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yh_mac24/Desktop/[ MRI ] BNMA/Data Processing/MRI_BNMA_Rproj/data/input/"/>
    </mc:Choice>
  </mc:AlternateContent>
  <xr:revisionPtr revIDLastSave="0" documentId="13_ncr:1_{05C2A5BC-F626-524D-BE7A-6223CC79D65B}" xr6:coauthVersionLast="47" xr6:coauthVersionMax="47" xr10:uidLastSave="{00000000-0000-0000-0000-000000000000}"/>
  <bookViews>
    <workbookView xWindow="38400" yWindow="-5000" windowWidth="38100" windowHeight="19880" xr2:uid="{F1AEA66C-A072-4D38-86DA-65552B8753EA}"/>
  </bookViews>
  <sheets>
    <sheet name="clean_data" sheetId="33" r:id="rId1"/>
    <sheet name="clean_mod" sheetId="32" r:id="rId2"/>
    <sheet name="coder1_YH" sheetId="16" r:id="rId3"/>
    <sheet name="coder2_NY_MT" sheetId="18" r:id="rId4"/>
    <sheet name="3. Discrepancy" sheetId="20" r:id="rId5"/>
    <sheet name="4. Discrepancy record" sheetId="28" r:id="rId6"/>
    <sheet name="0. Options" sheetId="30" r:id="rId7"/>
  </sheets>
  <definedNames>
    <definedName name="_xlnm._FilterDatabase" localSheetId="0" hidden="1">clean_data!$A$1:$AI$312</definedName>
    <definedName name="_xlnm._FilterDatabase" localSheetId="1" hidden="1">clean_mod!$A$1:$BA$312</definedName>
    <definedName name="_xlnm._FilterDatabase" localSheetId="2" hidden="1">coder1_YH!$A$1:$BC$312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65" i="32" l="1"/>
  <c r="J269" i="32"/>
  <c r="AE2" i="32"/>
  <c r="K202" i="33"/>
  <c r="K203" i="33" s="1"/>
  <c r="K204" i="33" s="1"/>
  <c r="K205" i="33"/>
  <c r="K206" i="33"/>
  <c r="K207" i="33"/>
  <c r="K208" i="33"/>
  <c r="K209" i="33"/>
  <c r="K210" i="33"/>
  <c r="K211" i="33"/>
  <c r="K212" i="33"/>
  <c r="K213" i="33"/>
  <c r="K214" i="33"/>
  <c r="C1" i="32"/>
  <c r="D1" i="32"/>
  <c r="E1" i="32"/>
  <c r="C3" i="32"/>
  <c r="C4" i="32"/>
  <c r="D4" i="32"/>
  <c r="C5" i="32"/>
  <c r="D5" i="32"/>
  <c r="C7" i="32"/>
  <c r="D7" i="32"/>
  <c r="C8" i="32"/>
  <c r="D8" i="32"/>
  <c r="C9" i="32"/>
  <c r="D9" i="32"/>
  <c r="C10" i="32"/>
  <c r="D10" i="32"/>
  <c r="C12" i="32"/>
  <c r="D12" i="32"/>
  <c r="C14" i="32"/>
  <c r="C15" i="32"/>
  <c r="C16" i="32"/>
  <c r="C17" i="32"/>
  <c r="C18" i="32"/>
  <c r="C20" i="32"/>
  <c r="C21" i="32"/>
  <c r="C22" i="32"/>
  <c r="D22" i="32"/>
  <c r="C23" i="32"/>
  <c r="D23" i="32"/>
  <c r="C26" i="32"/>
  <c r="C27" i="32"/>
  <c r="C28" i="32"/>
  <c r="C29" i="32"/>
  <c r="C30" i="32"/>
  <c r="C31" i="32"/>
  <c r="C32" i="32"/>
  <c r="C34" i="32"/>
  <c r="C36" i="32"/>
  <c r="C37" i="32"/>
  <c r="C38" i="32"/>
  <c r="C40" i="32"/>
  <c r="C41" i="32"/>
  <c r="C42" i="32"/>
  <c r="C43" i="32"/>
  <c r="C44" i="32"/>
  <c r="C46" i="32"/>
  <c r="C48" i="32"/>
  <c r="C50" i="32"/>
  <c r="C51" i="32"/>
  <c r="C52" i="32"/>
  <c r="C53" i="32"/>
  <c r="C54" i="32"/>
  <c r="C56" i="32"/>
  <c r="C57" i="32"/>
  <c r="D57" i="32"/>
  <c r="E57" i="32"/>
  <c r="C59" i="32"/>
  <c r="D59" i="32"/>
  <c r="E59" i="32"/>
  <c r="C60" i="32"/>
  <c r="D60" i="32"/>
  <c r="E60" i="32"/>
  <c r="C61" i="32"/>
  <c r="D61" i="32"/>
  <c r="E61" i="32"/>
  <c r="C62" i="32"/>
  <c r="C63" i="32"/>
  <c r="D63" i="32"/>
  <c r="E63" i="32"/>
  <c r="C64" i="32"/>
  <c r="D64" i="32"/>
  <c r="E64" i="32"/>
  <c r="C66" i="32"/>
  <c r="C67" i="32"/>
  <c r="C68" i="32"/>
  <c r="C69" i="32"/>
  <c r="C70" i="32"/>
  <c r="C71" i="32"/>
  <c r="C72" i="32"/>
  <c r="C73" i="32"/>
  <c r="C74" i="32"/>
  <c r="C75" i="32"/>
  <c r="C76" i="32"/>
  <c r="C77" i="32"/>
  <c r="C78" i="32"/>
  <c r="C79" i="32"/>
  <c r="C81" i="32"/>
  <c r="C82" i="32"/>
  <c r="C83" i="32"/>
  <c r="C85" i="32"/>
  <c r="C86" i="32"/>
  <c r="C87" i="32"/>
  <c r="C88" i="32"/>
  <c r="C89" i="32"/>
  <c r="C91" i="32"/>
  <c r="C92" i="32"/>
  <c r="C94" i="32"/>
  <c r="C95" i="32"/>
  <c r="C96" i="32"/>
  <c r="C98" i="32"/>
  <c r="C99" i="32"/>
  <c r="C101" i="32"/>
  <c r="C103" i="32"/>
  <c r="C105" i="32"/>
  <c r="C106" i="32"/>
  <c r="C107" i="32"/>
  <c r="C109" i="32"/>
  <c r="C111" i="32"/>
  <c r="C112" i="32"/>
  <c r="C113" i="32"/>
  <c r="C114" i="32"/>
  <c r="C115" i="32"/>
  <c r="C116" i="32"/>
  <c r="C117" i="32"/>
  <c r="C118" i="32"/>
  <c r="C119" i="32"/>
  <c r="C120" i="32"/>
  <c r="C121" i="32"/>
  <c r="C122" i="32"/>
  <c r="C123" i="32"/>
  <c r="C124" i="32"/>
  <c r="C125" i="32"/>
  <c r="C126" i="32"/>
  <c r="C127" i="32"/>
  <c r="C128" i="32"/>
  <c r="C129" i="32"/>
  <c r="C130" i="32"/>
  <c r="C131" i="32"/>
  <c r="C132" i="32"/>
  <c r="C133" i="32"/>
  <c r="C135" i="32"/>
  <c r="C136" i="32"/>
  <c r="C137" i="32"/>
  <c r="C138" i="32"/>
  <c r="C139" i="32"/>
  <c r="C140" i="32"/>
  <c r="C141" i="32"/>
  <c r="C143" i="32"/>
  <c r="C144" i="32"/>
  <c r="C145" i="32"/>
  <c r="C146" i="32"/>
  <c r="C147" i="32"/>
  <c r="C148" i="32"/>
  <c r="C149" i="32"/>
  <c r="C150" i="32"/>
  <c r="C151" i="32"/>
  <c r="C152" i="32"/>
  <c r="C153" i="32"/>
  <c r="C154" i="32"/>
  <c r="C155" i="32"/>
  <c r="C156" i="32"/>
  <c r="C157" i="32"/>
  <c r="C158" i="32"/>
  <c r="C159" i="32"/>
  <c r="C160" i="32"/>
  <c r="C161" i="32"/>
  <c r="C162" i="32"/>
  <c r="C163" i="32"/>
  <c r="C165" i="32"/>
  <c r="C167" i="32"/>
  <c r="C168" i="32"/>
  <c r="C169" i="32"/>
  <c r="C170" i="32"/>
  <c r="C171" i="32"/>
  <c r="C172" i="32"/>
  <c r="C173" i="32"/>
  <c r="C174" i="32"/>
  <c r="C175" i="32"/>
  <c r="C176" i="32"/>
  <c r="C177" i="32"/>
  <c r="C178" i="32"/>
  <c r="C179" i="32"/>
  <c r="C180" i="32"/>
  <c r="C181" i="32"/>
  <c r="C182" i="32"/>
  <c r="C183" i="32"/>
  <c r="C184" i="32"/>
  <c r="C185" i="32"/>
  <c r="C187" i="32"/>
  <c r="C189" i="32"/>
  <c r="C190" i="32"/>
  <c r="C191" i="32"/>
  <c r="C193" i="32"/>
  <c r="D193" i="32"/>
  <c r="C194" i="32"/>
  <c r="D194" i="32"/>
  <c r="C196" i="32"/>
  <c r="C198" i="32"/>
  <c r="C200" i="32"/>
  <c r="C201" i="32"/>
  <c r="C202" i="32"/>
  <c r="C203" i="32"/>
  <c r="C204" i="32"/>
  <c r="C205" i="32"/>
  <c r="D205" i="32"/>
  <c r="C207" i="32"/>
  <c r="D207" i="32"/>
  <c r="C208" i="32"/>
  <c r="D208" i="32"/>
  <c r="C209" i="32"/>
  <c r="D209" i="32"/>
  <c r="C211" i="32"/>
  <c r="C213" i="32"/>
  <c r="C215" i="32"/>
  <c r="C217" i="32"/>
  <c r="C218" i="32"/>
  <c r="C219" i="32"/>
  <c r="C221" i="32"/>
  <c r="C222" i="32"/>
  <c r="C223" i="32"/>
  <c r="C224" i="32"/>
  <c r="C225" i="32"/>
  <c r="C226" i="32"/>
  <c r="C227" i="32"/>
  <c r="C228" i="32"/>
  <c r="C229" i="32"/>
  <c r="C230" i="32"/>
  <c r="C231" i="32"/>
  <c r="C233" i="32"/>
  <c r="C234" i="32"/>
  <c r="C235" i="32"/>
  <c r="C236" i="32"/>
  <c r="C237" i="32"/>
  <c r="C238" i="32"/>
  <c r="C239" i="32"/>
  <c r="C240" i="32"/>
  <c r="D240" i="32"/>
  <c r="C242" i="32"/>
  <c r="E242" i="32"/>
  <c r="C243" i="32"/>
  <c r="C244" i="32"/>
  <c r="D244" i="32"/>
  <c r="E244" i="32"/>
  <c r="C245" i="32"/>
  <c r="D245" i="32"/>
  <c r="E245" i="32"/>
  <c r="C246" i="32"/>
  <c r="E246" i="32"/>
  <c r="C247" i="32"/>
  <c r="E247" i="32"/>
  <c r="C248" i="32"/>
  <c r="D248" i="32"/>
  <c r="E248" i="32"/>
  <c r="C250" i="32"/>
  <c r="D250" i="32"/>
  <c r="E250" i="32"/>
  <c r="C251" i="32"/>
  <c r="D251" i="32"/>
  <c r="E251" i="32"/>
  <c r="C252" i="32"/>
  <c r="D252" i="32"/>
  <c r="C253" i="32"/>
  <c r="D253" i="32"/>
  <c r="E253" i="32"/>
  <c r="C254" i="32"/>
  <c r="D254" i="32"/>
  <c r="E254" i="32"/>
  <c r="C255" i="32"/>
  <c r="D255" i="32"/>
  <c r="C256" i="32"/>
  <c r="D256" i="32"/>
  <c r="E256" i="32"/>
  <c r="C258" i="32"/>
  <c r="C260" i="32"/>
  <c r="C261" i="32"/>
  <c r="C262" i="32"/>
  <c r="C263" i="32"/>
  <c r="D263" i="32"/>
  <c r="C264" i="32"/>
  <c r="D264" i="32"/>
  <c r="C266" i="32"/>
  <c r="D266" i="32"/>
  <c r="C267" i="32"/>
  <c r="D267" i="32"/>
  <c r="C268" i="32"/>
  <c r="D268" i="32"/>
  <c r="C271" i="32"/>
  <c r="C272" i="32"/>
  <c r="C273" i="32"/>
  <c r="C274" i="32"/>
  <c r="C275" i="32"/>
  <c r="C276" i="32"/>
  <c r="C277" i="32"/>
  <c r="C278" i="32"/>
  <c r="C279" i="32"/>
  <c r="C280" i="32"/>
  <c r="C281" i="32"/>
  <c r="C282" i="32"/>
  <c r="C283" i="32"/>
  <c r="C284" i="32"/>
  <c r="C285" i="32"/>
  <c r="C286" i="32"/>
  <c r="C287" i="32"/>
  <c r="C288" i="32"/>
  <c r="C289" i="32"/>
  <c r="C290" i="32"/>
  <c r="C291" i="32"/>
  <c r="C292" i="32"/>
  <c r="C293" i="32"/>
  <c r="C294" i="32"/>
  <c r="C295" i="32"/>
  <c r="C296" i="32"/>
  <c r="C297" i="32"/>
  <c r="C298" i="32"/>
  <c r="C299" i="32"/>
  <c r="C300" i="32"/>
  <c r="C301" i="32"/>
  <c r="C302" i="32"/>
  <c r="D302" i="32"/>
  <c r="C303" i="32"/>
  <c r="D303" i="32"/>
  <c r="C306" i="32"/>
  <c r="C307" i="32"/>
  <c r="C308" i="32"/>
  <c r="C309" i="32"/>
  <c r="C310" i="32"/>
  <c r="C311" i="32"/>
  <c r="C312" i="32"/>
  <c r="C1" i="33"/>
  <c r="D1" i="33"/>
  <c r="E1" i="33"/>
  <c r="C3" i="33"/>
  <c r="C4" i="33"/>
  <c r="D4" i="33"/>
  <c r="C5" i="33"/>
  <c r="D5" i="33"/>
  <c r="C7" i="33"/>
  <c r="D7" i="33"/>
  <c r="C8" i="33"/>
  <c r="D8" i="33"/>
  <c r="C9" i="33"/>
  <c r="D9" i="33"/>
  <c r="C10" i="33"/>
  <c r="D10" i="33"/>
  <c r="C12" i="33"/>
  <c r="D12" i="33"/>
  <c r="C14" i="33"/>
  <c r="C15" i="33"/>
  <c r="C16" i="33"/>
  <c r="C17" i="33"/>
  <c r="C18" i="33"/>
  <c r="C20" i="33"/>
  <c r="C21" i="33"/>
  <c r="C22" i="33"/>
  <c r="D22" i="33"/>
  <c r="C23" i="33"/>
  <c r="D23" i="33"/>
  <c r="C26" i="33"/>
  <c r="C27" i="33"/>
  <c r="C28" i="33"/>
  <c r="C29" i="33"/>
  <c r="C30" i="33"/>
  <c r="C31" i="33"/>
  <c r="C32" i="33"/>
  <c r="C34" i="33"/>
  <c r="C36" i="33"/>
  <c r="C37" i="33"/>
  <c r="C38" i="33"/>
  <c r="C40" i="33"/>
  <c r="C41" i="33"/>
  <c r="C42" i="33"/>
  <c r="C43" i="33"/>
  <c r="C44" i="33"/>
  <c r="C46" i="33"/>
  <c r="C48" i="33"/>
  <c r="C50" i="33"/>
  <c r="C51" i="33"/>
  <c r="C52" i="33"/>
  <c r="C53" i="33"/>
  <c r="C54" i="33"/>
  <c r="C56" i="33"/>
  <c r="C57" i="33"/>
  <c r="D57" i="33"/>
  <c r="E57" i="33"/>
  <c r="C59" i="33"/>
  <c r="D59" i="33"/>
  <c r="E59" i="33"/>
  <c r="C60" i="33"/>
  <c r="D60" i="33"/>
  <c r="E60" i="33"/>
  <c r="C61" i="33"/>
  <c r="D61" i="33"/>
  <c r="E61" i="33"/>
  <c r="C62" i="33"/>
  <c r="C63" i="33"/>
  <c r="D63" i="33"/>
  <c r="E63" i="33"/>
  <c r="C64" i="33"/>
  <c r="D64" i="33"/>
  <c r="E64" i="33"/>
  <c r="C66" i="33"/>
  <c r="C67" i="33"/>
  <c r="C68" i="33"/>
  <c r="C69" i="33"/>
  <c r="C70" i="33"/>
  <c r="C71" i="33"/>
  <c r="C72" i="33"/>
  <c r="C73" i="33"/>
  <c r="C74" i="33"/>
  <c r="C75" i="33"/>
  <c r="C76" i="33"/>
  <c r="C77" i="33"/>
  <c r="C78" i="33"/>
  <c r="C79" i="33"/>
  <c r="C81" i="33"/>
  <c r="C82" i="33"/>
  <c r="C83" i="33"/>
  <c r="C85" i="33"/>
  <c r="C86" i="33"/>
  <c r="C87" i="33"/>
  <c r="C88" i="33"/>
  <c r="C89" i="33"/>
  <c r="C91" i="33"/>
  <c r="C92" i="33"/>
  <c r="C94" i="33"/>
  <c r="C95" i="33"/>
  <c r="C96" i="33"/>
  <c r="C98" i="33"/>
  <c r="C99" i="33"/>
  <c r="C101" i="33"/>
  <c r="C103" i="33"/>
  <c r="C105" i="33"/>
  <c r="C106" i="33"/>
  <c r="C107" i="33"/>
  <c r="C109"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5" i="33"/>
  <c r="C136" i="33"/>
  <c r="C137" i="33"/>
  <c r="C138" i="33"/>
  <c r="C139" i="33"/>
  <c r="C140" i="33"/>
  <c r="C141" i="33"/>
  <c r="C143" i="33"/>
  <c r="C144" i="33"/>
  <c r="C145" i="33"/>
  <c r="C146" i="33"/>
  <c r="C147" i="33"/>
  <c r="C148" i="33"/>
  <c r="C149" i="33"/>
  <c r="C150" i="33"/>
  <c r="C151" i="33"/>
  <c r="C152" i="33"/>
  <c r="C153" i="33"/>
  <c r="C154" i="33"/>
  <c r="C155" i="33"/>
  <c r="C156" i="33"/>
  <c r="C157" i="33"/>
  <c r="C158" i="33"/>
  <c r="C159" i="33"/>
  <c r="C160" i="33"/>
  <c r="C161" i="33"/>
  <c r="C162" i="33"/>
  <c r="C163" i="33"/>
  <c r="C165" i="33"/>
  <c r="C167" i="33"/>
  <c r="C168" i="33"/>
  <c r="C169" i="33"/>
  <c r="C170" i="33"/>
  <c r="C171" i="33"/>
  <c r="C172" i="33"/>
  <c r="C173" i="33"/>
  <c r="C174" i="33"/>
  <c r="C175" i="33"/>
  <c r="C176" i="33"/>
  <c r="C177" i="33"/>
  <c r="C178" i="33"/>
  <c r="C179" i="33"/>
  <c r="C180" i="33"/>
  <c r="C181" i="33"/>
  <c r="C182" i="33"/>
  <c r="C183" i="33"/>
  <c r="C184" i="33"/>
  <c r="C185" i="33"/>
  <c r="C187" i="33"/>
  <c r="C189" i="33"/>
  <c r="C190" i="33"/>
  <c r="C191" i="33"/>
  <c r="C193" i="33"/>
  <c r="D193" i="33"/>
  <c r="C194" i="33"/>
  <c r="D194" i="33"/>
  <c r="C196" i="33"/>
  <c r="C198" i="33"/>
  <c r="C200" i="33"/>
  <c r="C201" i="33"/>
  <c r="C202" i="33"/>
  <c r="C203" i="33"/>
  <c r="C204" i="33"/>
  <c r="C205" i="33"/>
  <c r="D205" i="33"/>
  <c r="C207" i="33"/>
  <c r="D207" i="33"/>
  <c r="C208" i="33"/>
  <c r="D208" i="33"/>
  <c r="C209" i="33"/>
  <c r="D209" i="33"/>
  <c r="C211" i="33"/>
  <c r="C213" i="33"/>
  <c r="C215" i="33"/>
  <c r="C217" i="33"/>
  <c r="C218" i="33"/>
  <c r="C219" i="33"/>
  <c r="C221" i="33"/>
  <c r="C222" i="33"/>
  <c r="C223" i="33"/>
  <c r="C224" i="33"/>
  <c r="C225" i="33"/>
  <c r="C226" i="33"/>
  <c r="C227" i="33"/>
  <c r="C228" i="33"/>
  <c r="C229" i="33"/>
  <c r="C230" i="33"/>
  <c r="C231" i="33"/>
  <c r="C233" i="33"/>
  <c r="C234" i="33"/>
  <c r="C235" i="33"/>
  <c r="C236" i="33"/>
  <c r="C237" i="33"/>
  <c r="C238" i="33"/>
  <c r="C239" i="33"/>
  <c r="C240" i="33"/>
  <c r="D240" i="33"/>
  <c r="C242" i="33"/>
  <c r="E242" i="33"/>
  <c r="C243" i="33"/>
  <c r="C244" i="33"/>
  <c r="D244" i="33"/>
  <c r="E244" i="33"/>
  <c r="C245" i="33"/>
  <c r="D245" i="33"/>
  <c r="E245" i="33"/>
  <c r="C246" i="33"/>
  <c r="E246" i="33"/>
  <c r="C247" i="33"/>
  <c r="E247" i="33"/>
  <c r="C248" i="33"/>
  <c r="D248" i="33"/>
  <c r="E248" i="33"/>
  <c r="C250" i="33"/>
  <c r="D250" i="33"/>
  <c r="E250" i="33"/>
  <c r="C251" i="33"/>
  <c r="D251" i="33"/>
  <c r="E251" i="33"/>
  <c r="C252" i="33"/>
  <c r="D252" i="33"/>
  <c r="C253" i="33"/>
  <c r="D253" i="33"/>
  <c r="E253" i="33"/>
  <c r="C254" i="33"/>
  <c r="D254" i="33"/>
  <c r="E254" i="33"/>
  <c r="C255" i="33"/>
  <c r="D255" i="33"/>
  <c r="C256" i="33"/>
  <c r="D256" i="33"/>
  <c r="E256" i="33"/>
  <c r="C258" i="33"/>
  <c r="C260" i="33"/>
  <c r="C261" i="33"/>
  <c r="C262" i="33"/>
  <c r="C263" i="33"/>
  <c r="D263" i="33"/>
  <c r="C264" i="33"/>
  <c r="D264" i="33"/>
  <c r="C266" i="33"/>
  <c r="D266" i="33"/>
  <c r="C267" i="33"/>
  <c r="D267" i="33"/>
  <c r="C268" i="33"/>
  <c r="D268" i="33"/>
  <c r="C271" i="33"/>
  <c r="C272" i="33"/>
  <c r="C273" i="33"/>
  <c r="C274" i="33"/>
  <c r="C275" i="33"/>
  <c r="C276" i="33"/>
  <c r="C277" i="33"/>
  <c r="C278" i="33"/>
  <c r="C279" i="33"/>
  <c r="C280" i="33"/>
  <c r="C281" i="33"/>
  <c r="C282" i="33"/>
  <c r="C283" i="33"/>
  <c r="C284" i="33"/>
  <c r="C285" i="33"/>
  <c r="C286" i="33"/>
  <c r="C287" i="33"/>
  <c r="C288" i="33"/>
  <c r="C289" i="33"/>
  <c r="C290" i="33"/>
  <c r="C291" i="33"/>
  <c r="C292" i="33"/>
  <c r="C293" i="33"/>
  <c r="C294" i="33"/>
  <c r="C295" i="33"/>
  <c r="C296" i="33"/>
  <c r="C297" i="33"/>
  <c r="C298" i="33"/>
  <c r="C299" i="33"/>
  <c r="C300" i="33"/>
  <c r="C301" i="33"/>
  <c r="C302" i="33"/>
  <c r="D302" i="33"/>
  <c r="C303" i="33"/>
  <c r="D303" i="33"/>
  <c r="C306" i="33"/>
  <c r="C307" i="33"/>
  <c r="C308" i="33"/>
  <c r="C309" i="33"/>
  <c r="C310" i="33"/>
  <c r="C311" i="33"/>
  <c r="C312" i="33"/>
  <c r="N4" i="32"/>
  <c r="O4" i="32"/>
  <c r="P4" i="32"/>
  <c r="N5" i="32"/>
  <c r="O5" i="32"/>
  <c r="P5" i="32"/>
  <c r="N6" i="32"/>
  <c r="O6" i="32"/>
  <c r="P6" i="32"/>
  <c r="N7" i="32"/>
  <c r="O7" i="32"/>
  <c r="P7" i="32"/>
  <c r="N8" i="32"/>
  <c r="O8" i="32"/>
  <c r="P8" i="32"/>
  <c r="N9" i="32"/>
  <c r="O9" i="32"/>
  <c r="P9" i="32"/>
  <c r="N10" i="32"/>
  <c r="O10" i="32"/>
  <c r="P10" i="32"/>
  <c r="N11" i="32"/>
  <c r="O11" i="32"/>
  <c r="P11" i="32"/>
  <c r="N12" i="32"/>
  <c r="O12" i="32"/>
  <c r="P12" i="32"/>
  <c r="N13" i="32"/>
  <c r="N14" i="32" s="1"/>
  <c r="N15" i="32" s="1"/>
  <c r="N16" i="32" s="1"/>
  <c r="N17" i="32" s="1"/>
  <c r="N18" i="32" s="1"/>
  <c r="O13" i="32"/>
  <c r="O14" i="32" s="1"/>
  <c r="O15" i="32" s="1"/>
  <c r="O16" i="32" s="1"/>
  <c r="O17" i="32" s="1"/>
  <c r="O18" i="32" s="1"/>
  <c r="P13" i="32"/>
  <c r="P14" i="32" s="1"/>
  <c r="P15" i="32" s="1"/>
  <c r="P16" i="32" s="1"/>
  <c r="P17" i="32" s="1"/>
  <c r="P18" i="32" s="1"/>
  <c r="N19" i="32"/>
  <c r="N20" i="32" s="1"/>
  <c r="N21" i="32" s="1"/>
  <c r="O19" i="32"/>
  <c r="O20" i="32" s="1"/>
  <c r="O21" i="32" s="1"/>
  <c r="P19" i="32"/>
  <c r="P20" i="32" s="1"/>
  <c r="P21" i="32" s="1"/>
  <c r="N22" i="32"/>
  <c r="O22" i="32"/>
  <c r="P22" i="32"/>
  <c r="N23" i="32"/>
  <c r="O23" i="32"/>
  <c r="P23" i="32"/>
  <c r="N24" i="32"/>
  <c r="O24" i="32"/>
  <c r="P24" i="32"/>
  <c r="N25" i="32"/>
  <c r="N26" i="32" s="1"/>
  <c r="N27" i="32" s="1"/>
  <c r="N28" i="32" s="1"/>
  <c r="N29" i="32" s="1"/>
  <c r="N30" i="32" s="1"/>
  <c r="N31" i="32" s="1"/>
  <c r="N32" i="32" s="1"/>
  <c r="O25" i="32"/>
  <c r="O26" i="32" s="1"/>
  <c r="O27" i="32" s="1"/>
  <c r="O28" i="32" s="1"/>
  <c r="O29" i="32" s="1"/>
  <c r="O30" i="32" s="1"/>
  <c r="O31" i="32" s="1"/>
  <c r="O32" i="32" s="1"/>
  <c r="P25" i="32"/>
  <c r="P26" i="32" s="1"/>
  <c r="P27" i="32" s="1"/>
  <c r="P28" i="32" s="1"/>
  <c r="P29" i="32" s="1"/>
  <c r="P30" i="32" s="1"/>
  <c r="P31" i="32" s="1"/>
  <c r="P32" i="32" s="1"/>
  <c r="N33" i="32"/>
  <c r="N34" i="32" s="1"/>
  <c r="O33" i="32"/>
  <c r="O34" i="32" s="1"/>
  <c r="P33" i="32"/>
  <c r="P34" i="32" s="1"/>
  <c r="N35" i="32"/>
  <c r="N36" i="32" s="1"/>
  <c r="O35" i="32"/>
  <c r="O36" i="32" s="1"/>
  <c r="P35" i="32"/>
  <c r="P36" i="32" s="1"/>
  <c r="N37" i="32"/>
  <c r="N38" i="32" s="1"/>
  <c r="O37" i="32"/>
  <c r="O38" i="32" s="1"/>
  <c r="P37" i="32"/>
  <c r="P38" i="32" s="1"/>
  <c r="N39" i="32"/>
  <c r="N40" i="32" s="1"/>
  <c r="N41" i="32" s="1"/>
  <c r="N42" i="32" s="1"/>
  <c r="N43" i="32" s="1"/>
  <c r="N44" i="32" s="1"/>
  <c r="O39" i="32"/>
  <c r="O40" i="32" s="1"/>
  <c r="O41" i="32" s="1"/>
  <c r="O42" i="32" s="1"/>
  <c r="O43" i="32" s="1"/>
  <c r="O44" i="32" s="1"/>
  <c r="P39" i="32"/>
  <c r="P40" i="32" s="1"/>
  <c r="P41" i="32" s="1"/>
  <c r="P42" i="32" s="1"/>
  <c r="P43" i="32" s="1"/>
  <c r="P44" i="32" s="1"/>
  <c r="N45" i="32"/>
  <c r="N46" i="32" s="1"/>
  <c r="O45" i="32"/>
  <c r="O46" i="32" s="1"/>
  <c r="P45" i="32"/>
  <c r="P46" i="32" s="1"/>
  <c r="N47" i="32"/>
  <c r="N48" i="32" s="1"/>
  <c r="O47" i="32"/>
  <c r="O48" i="32" s="1"/>
  <c r="P47" i="32"/>
  <c r="P48" i="32" s="1"/>
  <c r="N49" i="32"/>
  <c r="N50" i="32" s="1"/>
  <c r="N51" i="32" s="1"/>
  <c r="N52" i="32" s="1"/>
  <c r="N53" i="32" s="1"/>
  <c r="N54" i="32" s="1"/>
  <c r="O49" i="32"/>
  <c r="O50" i="32" s="1"/>
  <c r="O51" i="32" s="1"/>
  <c r="O52" i="32" s="1"/>
  <c r="O53" i="32" s="1"/>
  <c r="O54" i="32" s="1"/>
  <c r="P49" i="32"/>
  <c r="P50" i="32" s="1"/>
  <c r="P51" i="32" s="1"/>
  <c r="P52" i="32" s="1"/>
  <c r="P53" i="32" s="1"/>
  <c r="P54" i="32" s="1"/>
  <c r="N55" i="32"/>
  <c r="N56" i="32" s="1"/>
  <c r="O55" i="32"/>
  <c r="O56" i="32" s="1"/>
  <c r="P55" i="32"/>
  <c r="P56" i="32" s="1"/>
  <c r="N57" i="32"/>
  <c r="O57" i="32"/>
  <c r="P57" i="32"/>
  <c r="N58" i="32"/>
  <c r="O58" i="32"/>
  <c r="P58" i="32"/>
  <c r="N59" i="32"/>
  <c r="O59" i="32"/>
  <c r="P59" i="32"/>
  <c r="N60" i="32"/>
  <c r="O60" i="32"/>
  <c r="P60" i="32"/>
  <c r="N61" i="32"/>
  <c r="O61" i="32"/>
  <c r="P61" i="32"/>
  <c r="N62" i="32"/>
  <c r="O62" i="32"/>
  <c r="P62" i="32"/>
  <c r="N63" i="32"/>
  <c r="O63" i="32"/>
  <c r="P63" i="32"/>
  <c r="N64" i="32"/>
  <c r="O64" i="32"/>
  <c r="P64" i="32"/>
  <c r="N65" i="32"/>
  <c r="N66" i="32" s="1"/>
  <c r="N67" i="32" s="1"/>
  <c r="N68" i="32" s="1"/>
  <c r="N69" i="32" s="1"/>
  <c r="N70" i="32" s="1"/>
  <c r="N71" i="32" s="1"/>
  <c r="N72" i="32" s="1"/>
  <c r="N73" i="32" s="1"/>
  <c r="N74" i="32" s="1"/>
  <c r="N75" i="32" s="1"/>
  <c r="N76" i="32" s="1"/>
  <c r="N77" i="32" s="1"/>
  <c r="N78" i="32" s="1"/>
  <c r="N79" i="32" s="1"/>
  <c r="O65" i="32"/>
  <c r="O66" i="32" s="1"/>
  <c r="O67" i="32" s="1"/>
  <c r="O68" i="32" s="1"/>
  <c r="O69" i="32" s="1"/>
  <c r="O70" i="32" s="1"/>
  <c r="O71" i="32" s="1"/>
  <c r="O72" i="32" s="1"/>
  <c r="O73" i="32" s="1"/>
  <c r="O74" i="32" s="1"/>
  <c r="O75" i="32" s="1"/>
  <c r="O76" i="32" s="1"/>
  <c r="O77" i="32" s="1"/>
  <c r="O78" i="32" s="1"/>
  <c r="O79" i="32" s="1"/>
  <c r="P65" i="32"/>
  <c r="P66" i="32" s="1"/>
  <c r="P67" i="32" s="1"/>
  <c r="P68" i="32" s="1"/>
  <c r="P69" i="32" s="1"/>
  <c r="P70" i="32" s="1"/>
  <c r="P71" i="32" s="1"/>
  <c r="P72" i="32" s="1"/>
  <c r="P73" i="32" s="1"/>
  <c r="P74" i="32" s="1"/>
  <c r="P75" i="32" s="1"/>
  <c r="P76" i="32" s="1"/>
  <c r="P77" i="32" s="1"/>
  <c r="P78" i="32" s="1"/>
  <c r="P79" i="32" s="1"/>
  <c r="N80" i="32"/>
  <c r="N81" i="32" s="1"/>
  <c r="N82" i="32" s="1"/>
  <c r="N83" i="32" s="1"/>
  <c r="O80" i="32"/>
  <c r="O81" i="32" s="1"/>
  <c r="O82" i="32" s="1"/>
  <c r="O83" i="32" s="1"/>
  <c r="P80" i="32"/>
  <c r="P81" i="32" s="1"/>
  <c r="P82" i="32" s="1"/>
  <c r="P83" i="32" s="1"/>
  <c r="N84" i="32"/>
  <c r="N85" i="32" s="1"/>
  <c r="N86" i="32" s="1"/>
  <c r="N87" i="32" s="1"/>
  <c r="N88" i="32" s="1"/>
  <c r="N89" i="32" s="1"/>
  <c r="O84" i="32"/>
  <c r="O85" i="32" s="1"/>
  <c r="O86" i="32" s="1"/>
  <c r="O87" i="32" s="1"/>
  <c r="O88" i="32" s="1"/>
  <c r="O89" i="32" s="1"/>
  <c r="P84" i="32"/>
  <c r="P85" i="32" s="1"/>
  <c r="P86" i="32" s="1"/>
  <c r="P87" i="32" s="1"/>
  <c r="P88" i="32" s="1"/>
  <c r="P89" i="32" s="1"/>
  <c r="N90" i="32"/>
  <c r="N91" i="32" s="1"/>
  <c r="N92" i="32" s="1"/>
  <c r="O90" i="32"/>
  <c r="O91" i="32" s="1"/>
  <c r="O92" i="32" s="1"/>
  <c r="P90" i="32"/>
  <c r="P91" i="32" s="1"/>
  <c r="P92" i="32" s="1"/>
  <c r="N93" i="32"/>
  <c r="N94" i="32" s="1"/>
  <c r="N95" i="32" s="1"/>
  <c r="N96" i="32" s="1"/>
  <c r="O93" i="32"/>
  <c r="O94" i="32" s="1"/>
  <c r="O95" i="32" s="1"/>
  <c r="O96" i="32" s="1"/>
  <c r="P93" i="32"/>
  <c r="P94" i="32" s="1"/>
  <c r="P95" i="32" s="1"/>
  <c r="P96" i="32" s="1"/>
  <c r="N97" i="32"/>
  <c r="N98" i="32" s="1"/>
  <c r="N99" i="32" s="1"/>
  <c r="O97" i="32"/>
  <c r="O98" i="32" s="1"/>
  <c r="O99" i="32" s="1"/>
  <c r="P97" i="32"/>
  <c r="P98" i="32" s="1"/>
  <c r="P99" i="32" s="1"/>
  <c r="N100" i="32"/>
  <c r="N101" i="32" s="1"/>
  <c r="O100" i="32"/>
  <c r="O101" i="32" s="1"/>
  <c r="P100" i="32"/>
  <c r="P101" i="32" s="1"/>
  <c r="N102" i="32"/>
  <c r="N103" i="32" s="1"/>
  <c r="O102" i="32"/>
  <c r="O103" i="32" s="1"/>
  <c r="P102" i="32"/>
  <c r="P103" i="32" s="1"/>
  <c r="N104" i="32"/>
  <c r="N105" i="32" s="1"/>
  <c r="O104" i="32"/>
  <c r="O105" i="32" s="1"/>
  <c r="P104" i="32"/>
  <c r="P105" i="32" s="1"/>
  <c r="N106" i="32"/>
  <c r="N107" i="32" s="1"/>
  <c r="O106" i="32"/>
  <c r="O107" i="32" s="1"/>
  <c r="P106" i="32"/>
  <c r="P107" i="32" s="1"/>
  <c r="N108" i="32"/>
  <c r="N109" i="32" s="1"/>
  <c r="O108" i="32"/>
  <c r="O109" i="32" s="1"/>
  <c r="P108" i="32"/>
  <c r="P109" i="32" s="1"/>
  <c r="N110" i="32"/>
  <c r="N111" i="32" s="1"/>
  <c r="N112" i="32" s="1"/>
  <c r="N113" i="32" s="1"/>
  <c r="N114" i="32" s="1"/>
  <c r="N115" i="32" s="1"/>
  <c r="O110" i="32"/>
  <c r="O111" i="32" s="1"/>
  <c r="O112" i="32" s="1"/>
  <c r="O113" i="32" s="1"/>
  <c r="O114" i="32" s="1"/>
  <c r="O115" i="32" s="1"/>
  <c r="P110" i="32"/>
  <c r="P111" i="32" s="1"/>
  <c r="P112" i="32" s="1"/>
  <c r="P113" i="32" s="1"/>
  <c r="P114" i="32" s="1"/>
  <c r="P115" i="32" s="1"/>
  <c r="N116" i="32"/>
  <c r="N117" i="32" s="1"/>
  <c r="N118" i="32" s="1"/>
  <c r="N119" i="32" s="1"/>
  <c r="N120" i="32" s="1"/>
  <c r="N121" i="32" s="1"/>
  <c r="O116" i="32"/>
  <c r="O117" i="32" s="1"/>
  <c r="O118" i="32" s="1"/>
  <c r="O119" i="32" s="1"/>
  <c r="O120" i="32" s="1"/>
  <c r="O121" i="32" s="1"/>
  <c r="P116" i="32"/>
  <c r="P117" i="32" s="1"/>
  <c r="P118" i="32" s="1"/>
  <c r="P119" i="32" s="1"/>
  <c r="P120" i="32" s="1"/>
  <c r="P121" i="32" s="1"/>
  <c r="N122" i="32"/>
  <c r="N123" i="32" s="1"/>
  <c r="N124" i="32" s="1"/>
  <c r="N125" i="32" s="1"/>
  <c r="N126" i="32" s="1"/>
  <c r="N127" i="32" s="1"/>
  <c r="O122" i="32"/>
  <c r="O123" i="32" s="1"/>
  <c r="O124" i="32" s="1"/>
  <c r="O125" i="32" s="1"/>
  <c r="O126" i="32" s="1"/>
  <c r="O127" i="32" s="1"/>
  <c r="P122" i="32"/>
  <c r="P123" i="32" s="1"/>
  <c r="P124" i="32" s="1"/>
  <c r="P125" i="32" s="1"/>
  <c r="P126" i="32" s="1"/>
  <c r="P127" i="32" s="1"/>
  <c r="N128" i="32"/>
  <c r="N129" i="32" s="1"/>
  <c r="N130" i="32" s="1"/>
  <c r="N131" i="32" s="1"/>
  <c r="N132" i="32" s="1"/>
  <c r="N133" i="32" s="1"/>
  <c r="O128" i="32"/>
  <c r="O129" i="32" s="1"/>
  <c r="O130" i="32" s="1"/>
  <c r="O131" i="32" s="1"/>
  <c r="O132" i="32" s="1"/>
  <c r="O133" i="32" s="1"/>
  <c r="P128" i="32"/>
  <c r="P129" i="32" s="1"/>
  <c r="P130" i="32" s="1"/>
  <c r="P131" i="32" s="1"/>
  <c r="P132" i="32" s="1"/>
  <c r="P133" i="32" s="1"/>
  <c r="N134" i="32"/>
  <c r="N135" i="32" s="1"/>
  <c r="N136" i="32" s="1"/>
  <c r="N137" i="32" s="1"/>
  <c r="O134" i="32"/>
  <c r="O135" i="32" s="1"/>
  <c r="O136" i="32" s="1"/>
  <c r="O137" i="32" s="1"/>
  <c r="P134" i="32"/>
  <c r="P135" i="32" s="1"/>
  <c r="P136" i="32" s="1"/>
  <c r="P137" i="32" s="1"/>
  <c r="N138" i="32"/>
  <c r="N139" i="32" s="1"/>
  <c r="N140" i="32" s="1"/>
  <c r="N141" i="32" s="1"/>
  <c r="O138" i="32"/>
  <c r="O139" i="32" s="1"/>
  <c r="O140" i="32" s="1"/>
  <c r="O141" i="32" s="1"/>
  <c r="P138" i="32"/>
  <c r="P139" i="32" s="1"/>
  <c r="P140" i="32" s="1"/>
  <c r="P141" i="32" s="1"/>
  <c r="N142" i="32"/>
  <c r="N143" i="32" s="1"/>
  <c r="O142" i="32"/>
  <c r="O143" i="32" s="1"/>
  <c r="P142" i="32"/>
  <c r="P143" i="32" s="1"/>
  <c r="N144" i="32"/>
  <c r="N145" i="32" s="1"/>
  <c r="O144" i="32"/>
  <c r="O145" i="32" s="1"/>
  <c r="P144" i="32"/>
  <c r="P145" i="32" s="1"/>
  <c r="N146" i="32"/>
  <c r="N147" i="32" s="1"/>
  <c r="O146" i="32"/>
  <c r="O147" i="32" s="1"/>
  <c r="P146" i="32"/>
  <c r="P147" i="32" s="1"/>
  <c r="N148" i="32"/>
  <c r="N149" i="32" s="1"/>
  <c r="O148" i="32"/>
  <c r="O149" i="32" s="1"/>
  <c r="P148" i="32"/>
  <c r="P149" i="32" s="1"/>
  <c r="N150" i="32"/>
  <c r="N151" i="32" s="1"/>
  <c r="O150" i="32"/>
  <c r="O151" i="32" s="1"/>
  <c r="P150" i="32"/>
  <c r="P151" i="32" s="1"/>
  <c r="N152" i="32"/>
  <c r="N153" i="32" s="1"/>
  <c r="O152" i="32"/>
  <c r="O153" i="32" s="1"/>
  <c r="P152" i="32"/>
  <c r="P153" i="32" s="1"/>
  <c r="N154" i="32"/>
  <c r="N155" i="32" s="1"/>
  <c r="O154" i="32"/>
  <c r="O155" i="32" s="1"/>
  <c r="P154" i="32"/>
  <c r="P155" i="32" s="1"/>
  <c r="N156" i="32"/>
  <c r="N157" i="32" s="1"/>
  <c r="O156" i="32"/>
  <c r="O157" i="32" s="1"/>
  <c r="P156" i="32"/>
  <c r="P157" i="32" s="1"/>
  <c r="N158" i="32"/>
  <c r="N159" i="32" s="1"/>
  <c r="O158" i="32"/>
  <c r="O159" i="32" s="1"/>
  <c r="P158" i="32"/>
  <c r="P159" i="32" s="1"/>
  <c r="N160" i="32"/>
  <c r="N161" i="32" s="1"/>
  <c r="O160" i="32"/>
  <c r="O161" i="32" s="1"/>
  <c r="P160" i="32"/>
  <c r="P161" i="32" s="1"/>
  <c r="N162" i="32"/>
  <c r="N163" i="32" s="1"/>
  <c r="O162" i="32"/>
  <c r="O163" i="32" s="1"/>
  <c r="P162" i="32"/>
  <c r="P163" i="32" s="1"/>
  <c r="N164" i="32"/>
  <c r="N165" i="32" s="1"/>
  <c r="O164" i="32"/>
  <c r="O165" i="32" s="1"/>
  <c r="P164" i="32"/>
  <c r="P165" i="32" s="1"/>
  <c r="N166" i="32"/>
  <c r="N167" i="32" s="1"/>
  <c r="N168" i="32" s="1"/>
  <c r="N169" i="32" s="1"/>
  <c r="N170" i="32" s="1"/>
  <c r="N171" i="32" s="1"/>
  <c r="N172" i="32" s="1"/>
  <c r="N173" i="32" s="1"/>
  <c r="N174" i="32" s="1"/>
  <c r="N175" i="32" s="1"/>
  <c r="O166" i="32"/>
  <c r="O167" i="32" s="1"/>
  <c r="O168" i="32" s="1"/>
  <c r="O169" i="32" s="1"/>
  <c r="O170" i="32" s="1"/>
  <c r="O171" i="32" s="1"/>
  <c r="O172" i="32" s="1"/>
  <c r="O173" i="32" s="1"/>
  <c r="O174" i="32" s="1"/>
  <c r="O175" i="32" s="1"/>
  <c r="P166" i="32"/>
  <c r="P167" i="32" s="1"/>
  <c r="P168" i="32" s="1"/>
  <c r="P169" i="32" s="1"/>
  <c r="P170" i="32" s="1"/>
  <c r="P171" i="32" s="1"/>
  <c r="P172" i="32" s="1"/>
  <c r="P173" i="32" s="1"/>
  <c r="P174" i="32" s="1"/>
  <c r="P175" i="32" s="1"/>
  <c r="N176" i="32"/>
  <c r="N177" i="32" s="1"/>
  <c r="N178" i="32" s="1"/>
  <c r="N179" i="32" s="1"/>
  <c r="N180" i="32" s="1"/>
  <c r="N181" i="32" s="1"/>
  <c r="N182" i="32" s="1"/>
  <c r="N183" i="32" s="1"/>
  <c r="N184" i="32" s="1"/>
  <c r="N185" i="32" s="1"/>
  <c r="O176" i="32"/>
  <c r="O177" i="32" s="1"/>
  <c r="O178" i="32" s="1"/>
  <c r="O179" i="32" s="1"/>
  <c r="O180" i="32" s="1"/>
  <c r="O181" i="32" s="1"/>
  <c r="O182" i="32" s="1"/>
  <c r="O183" i="32" s="1"/>
  <c r="O184" i="32" s="1"/>
  <c r="O185" i="32" s="1"/>
  <c r="P176" i="32"/>
  <c r="P177" i="32" s="1"/>
  <c r="P178" i="32" s="1"/>
  <c r="P179" i="32" s="1"/>
  <c r="P180" i="32" s="1"/>
  <c r="P181" i="32" s="1"/>
  <c r="P182" i="32" s="1"/>
  <c r="P183" i="32" s="1"/>
  <c r="P184" i="32" s="1"/>
  <c r="P185" i="32" s="1"/>
  <c r="N186" i="32"/>
  <c r="N187" i="32" s="1"/>
  <c r="O186" i="32"/>
  <c r="O187" i="32" s="1"/>
  <c r="P186" i="32"/>
  <c r="P187" i="32" s="1"/>
  <c r="N188" i="32"/>
  <c r="O188" i="32"/>
  <c r="P188" i="32"/>
  <c r="N189" i="32"/>
  <c r="O189" i="32"/>
  <c r="P189" i="32"/>
  <c r="N190" i="32"/>
  <c r="O190" i="32"/>
  <c r="P190" i="32"/>
  <c r="N191" i="32"/>
  <c r="O191" i="32"/>
  <c r="P191" i="32"/>
  <c r="N192" i="32"/>
  <c r="O192" i="32"/>
  <c r="P192" i="32"/>
  <c r="N193" i="32"/>
  <c r="O193" i="32"/>
  <c r="P193" i="32"/>
  <c r="N194" i="32"/>
  <c r="O194" i="32"/>
  <c r="P194" i="32"/>
  <c r="N195" i="32"/>
  <c r="N196" i="32" s="1"/>
  <c r="O195" i="32"/>
  <c r="O196" i="32" s="1"/>
  <c r="P195" i="32"/>
  <c r="P196" i="32" s="1"/>
  <c r="N197" i="32"/>
  <c r="N198" i="32" s="1"/>
  <c r="O197" i="32"/>
  <c r="O198" i="32" s="1"/>
  <c r="P197" i="32"/>
  <c r="P198" i="32" s="1"/>
  <c r="N199" i="32"/>
  <c r="N200" i="32" s="1"/>
  <c r="N201" i="32" s="1"/>
  <c r="N202" i="32" s="1"/>
  <c r="N203" i="32" s="1"/>
  <c r="N204" i="32" s="1"/>
  <c r="O199" i="32"/>
  <c r="O200" i="32" s="1"/>
  <c r="O201" i="32" s="1"/>
  <c r="O202" i="32" s="1"/>
  <c r="O203" i="32" s="1"/>
  <c r="O204" i="32" s="1"/>
  <c r="P199" i="32"/>
  <c r="P200" i="32" s="1"/>
  <c r="P201" i="32" s="1"/>
  <c r="P202" i="32" s="1"/>
  <c r="P203" i="32" s="1"/>
  <c r="P204" i="32" s="1"/>
  <c r="N205" i="32"/>
  <c r="O205" i="32"/>
  <c r="P205" i="32"/>
  <c r="N206" i="32"/>
  <c r="O206" i="32"/>
  <c r="P206" i="32"/>
  <c r="N207" i="32"/>
  <c r="O207" i="32"/>
  <c r="P207" i="32"/>
  <c r="N208" i="32"/>
  <c r="O208" i="32"/>
  <c r="P208" i="32"/>
  <c r="N209" i="32"/>
  <c r="O209" i="32"/>
  <c r="P209" i="32"/>
  <c r="N210" i="32"/>
  <c r="N211" i="32" s="1"/>
  <c r="O210" i="32"/>
  <c r="O211" i="32" s="1"/>
  <c r="P210" i="32"/>
  <c r="P211" i="32" s="1"/>
  <c r="N212" i="32"/>
  <c r="N213" i="32" s="1"/>
  <c r="O212" i="32"/>
  <c r="O213" i="32" s="1"/>
  <c r="P212" i="32"/>
  <c r="P213" i="32" s="1"/>
  <c r="N214" i="32"/>
  <c r="N215" i="32" s="1"/>
  <c r="O214" i="32"/>
  <c r="O215" i="32" s="1"/>
  <c r="P214" i="32"/>
  <c r="P215" i="32" s="1"/>
  <c r="N216" i="32"/>
  <c r="N217" i="32" s="1"/>
  <c r="O216" i="32"/>
  <c r="O217" i="32" s="1"/>
  <c r="P216" i="32"/>
  <c r="P217" i="32" s="1"/>
  <c r="N218" i="32"/>
  <c r="N219" i="32" s="1"/>
  <c r="O218" i="32"/>
  <c r="O219" i="32" s="1"/>
  <c r="P218" i="32"/>
  <c r="P219" i="32" s="1"/>
  <c r="N220" i="32"/>
  <c r="N221" i="32" s="1"/>
  <c r="N222" i="32" s="1"/>
  <c r="N223" i="32" s="1"/>
  <c r="N224" i="32" s="1"/>
  <c r="N225" i="32" s="1"/>
  <c r="N226" i="32" s="1"/>
  <c r="N227" i="32" s="1"/>
  <c r="N228" i="32" s="1"/>
  <c r="N229" i="32" s="1"/>
  <c r="N230" i="32" s="1"/>
  <c r="N231" i="32" s="1"/>
  <c r="O220" i="32"/>
  <c r="O221" i="32" s="1"/>
  <c r="O222" i="32" s="1"/>
  <c r="O223" i="32" s="1"/>
  <c r="O224" i="32" s="1"/>
  <c r="O225" i="32" s="1"/>
  <c r="O226" i="32" s="1"/>
  <c r="O227" i="32" s="1"/>
  <c r="O228" i="32" s="1"/>
  <c r="O229" i="32" s="1"/>
  <c r="O230" i="32" s="1"/>
  <c r="O231" i="32" s="1"/>
  <c r="P220" i="32"/>
  <c r="P221" i="32" s="1"/>
  <c r="P222" i="32" s="1"/>
  <c r="P223" i="32" s="1"/>
  <c r="P224" i="32" s="1"/>
  <c r="P225" i="32" s="1"/>
  <c r="P226" i="32" s="1"/>
  <c r="P227" i="32" s="1"/>
  <c r="P228" i="32" s="1"/>
  <c r="P229" i="32" s="1"/>
  <c r="P230" i="32" s="1"/>
  <c r="P231" i="32" s="1"/>
  <c r="N232" i="32"/>
  <c r="N233" i="32" s="1"/>
  <c r="N234" i="32" s="1"/>
  <c r="N235" i="32" s="1"/>
  <c r="O232" i="32"/>
  <c r="O233" i="32" s="1"/>
  <c r="O234" i="32" s="1"/>
  <c r="O235" i="32" s="1"/>
  <c r="P232" i="32"/>
  <c r="P233" i="32" s="1"/>
  <c r="P234" i="32" s="1"/>
  <c r="P235" i="32" s="1"/>
  <c r="N236" i="32"/>
  <c r="N237" i="32" s="1"/>
  <c r="N238" i="32" s="1"/>
  <c r="N239" i="32" s="1"/>
  <c r="O236" i="32"/>
  <c r="O237" i="32" s="1"/>
  <c r="O238" i="32" s="1"/>
  <c r="O239" i="32" s="1"/>
  <c r="P236" i="32"/>
  <c r="P237" i="32" s="1"/>
  <c r="P238" i="32" s="1"/>
  <c r="P239" i="32" s="1"/>
  <c r="N240" i="32"/>
  <c r="O240" i="32"/>
  <c r="P240" i="32"/>
  <c r="N241" i="32"/>
  <c r="N242" i="32" s="1"/>
  <c r="N243" i="32" s="1"/>
  <c r="O241" i="32"/>
  <c r="O242" i="32" s="1"/>
  <c r="O243" i="32" s="1"/>
  <c r="P241" i="32"/>
  <c r="P242" i="32" s="1"/>
  <c r="P243" i="32" s="1"/>
  <c r="N244" i="32"/>
  <c r="O244" i="32"/>
  <c r="P244" i="32"/>
  <c r="N245" i="32"/>
  <c r="N246" i="32" s="1"/>
  <c r="N247" i="32" s="1"/>
  <c r="O245" i="32"/>
  <c r="O246" i="32" s="1"/>
  <c r="O247" i="32" s="1"/>
  <c r="P245" i="32"/>
  <c r="P246" i="32" s="1"/>
  <c r="P247" i="32" s="1"/>
  <c r="N248" i="32"/>
  <c r="O248" i="32"/>
  <c r="P248" i="32"/>
  <c r="N249" i="32"/>
  <c r="O249" i="32"/>
  <c r="P249" i="32"/>
  <c r="N250" i="32"/>
  <c r="O250" i="32"/>
  <c r="P250" i="32"/>
  <c r="N251" i="32"/>
  <c r="O251" i="32"/>
  <c r="P251" i="32"/>
  <c r="N252" i="32"/>
  <c r="O252" i="32"/>
  <c r="P252" i="32"/>
  <c r="N253" i="32"/>
  <c r="O253" i="32"/>
  <c r="P253" i="32"/>
  <c r="N254" i="32"/>
  <c r="O254" i="32"/>
  <c r="P254" i="32"/>
  <c r="N255" i="32"/>
  <c r="O255" i="32"/>
  <c r="P255" i="32"/>
  <c r="N256" i="32"/>
  <c r="O256" i="32"/>
  <c r="P256" i="32"/>
  <c r="N257" i="32"/>
  <c r="N258" i="32" s="1"/>
  <c r="O257" i="32"/>
  <c r="O258" i="32" s="1"/>
  <c r="P257" i="32"/>
  <c r="P258" i="32" s="1"/>
  <c r="N259" i="32"/>
  <c r="N260" i="32" s="1"/>
  <c r="N261" i="32" s="1"/>
  <c r="N262" i="32" s="1"/>
  <c r="O259" i="32"/>
  <c r="O260" i="32" s="1"/>
  <c r="O261" i="32" s="1"/>
  <c r="O262" i="32" s="1"/>
  <c r="P259" i="32"/>
  <c r="P260" i="32" s="1"/>
  <c r="P261" i="32" s="1"/>
  <c r="P262" i="32" s="1"/>
  <c r="N263" i="32"/>
  <c r="O263" i="32"/>
  <c r="P263" i="32"/>
  <c r="N264" i="32"/>
  <c r="O264" i="32"/>
  <c r="P264" i="32"/>
  <c r="N265" i="32"/>
  <c r="O265" i="32"/>
  <c r="P265" i="32"/>
  <c r="N266" i="32"/>
  <c r="O266" i="32"/>
  <c r="P266" i="32"/>
  <c r="N267" i="32"/>
  <c r="O267" i="32"/>
  <c r="P267" i="32"/>
  <c r="N268" i="32"/>
  <c r="O268" i="32"/>
  <c r="P268" i="32"/>
  <c r="N269" i="32"/>
  <c r="O269" i="32"/>
  <c r="P269" i="32"/>
  <c r="N270" i="32"/>
  <c r="N271" i="32" s="1"/>
  <c r="N272" i="32" s="1"/>
  <c r="N273" i="32" s="1"/>
  <c r="N274" i="32" s="1"/>
  <c r="N275" i="32" s="1"/>
  <c r="N276" i="32" s="1"/>
  <c r="N277" i="32" s="1"/>
  <c r="N278" i="32" s="1"/>
  <c r="N279" i="32" s="1"/>
  <c r="N280" i="32" s="1"/>
  <c r="N281" i="32" s="1"/>
  <c r="N282" i="32" s="1"/>
  <c r="N283" i="32" s="1"/>
  <c r="N284" i="32" s="1"/>
  <c r="N285" i="32" s="1"/>
  <c r="N286" i="32" s="1"/>
  <c r="N287" i="32" s="1"/>
  <c r="N288" i="32" s="1"/>
  <c r="N289" i="32" s="1"/>
  <c r="N290" i="32" s="1"/>
  <c r="N291" i="32" s="1"/>
  <c r="N292" i="32" s="1"/>
  <c r="N293" i="32" s="1"/>
  <c r="N294" i="32" s="1"/>
  <c r="N295" i="32" s="1"/>
  <c r="N296" i="32" s="1"/>
  <c r="N297" i="32" s="1"/>
  <c r="N298" i="32" s="1"/>
  <c r="N299" i="32" s="1"/>
  <c r="N300" i="32" s="1"/>
  <c r="N301" i="32" s="1"/>
  <c r="O270" i="32"/>
  <c r="O271" i="32" s="1"/>
  <c r="O272" i="32" s="1"/>
  <c r="O273" i="32" s="1"/>
  <c r="O274" i="32" s="1"/>
  <c r="O275" i="32" s="1"/>
  <c r="O276" i="32" s="1"/>
  <c r="O277" i="32" s="1"/>
  <c r="O278" i="32" s="1"/>
  <c r="O279" i="32" s="1"/>
  <c r="O280" i="32" s="1"/>
  <c r="O281" i="32" s="1"/>
  <c r="O282" i="32" s="1"/>
  <c r="O283" i="32" s="1"/>
  <c r="O284" i="32" s="1"/>
  <c r="O285" i="32" s="1"/>
  <c r="O286" i="32" s="1"/>
  <c r="O287" i="32" s="1"/>
  <c r="O288" i="32" s="1"/>
  <c r="O289" i="32" s="1"/>
  <c r="O290" i="32" s="1"/>
  <c r="O291" i="32" s="1"/>
  <c r="O292" i="32" s="1"/>
  <c r="O293" i="32" s="1"/>
  <c r="O294" i="32" s="1"/>
  <c r="O295" i="32" s="1"/>
  <c r="O296" i="32" s="1"/>
  <c r="O297" i="32" s="1"/>
  <c r="O298" i="32" s="1"/>
  <c r="O299" i="32" s="1"/>
  <c r="O300" i="32" s="1"/>
  <c r="O301" i="32" s="1"/>
  <c r="P270" i="32"/>
  <c r="P271" i="32" s="1"/>
  <c r="P272" i="32" s="1"/>
  <c r="P273" i="32" s="1"/>
  <c r="P274" i="32" s="1"/>
  <c r="P275" i="32" s="1"/>
  <c r="P276" i="32" s="1"/>
  <c r="P277" i="32" s="1"/>
  <c r="P278" i="32" s="1"/>
  <c r="P279" i="32" s="1"/>
  <c r="P280" i="32" s="1"/>
  <c r="P281" i="32" s="1"/>
  <c r="P282" i="32" s="1"/>
  <c r="P283" i="32" s="1"/>
  <c r="P284" i="32" s="1"/>
  <c r="P285" i="32" s="1"/>
  <c r="P286" i="32" s="1"/>
  <c r="P287" i="32" s="1"/>
  <c r="P288" i="32" s="1"/>
  <c r="P289" i="32" s="1"/>
  <c r="P290" i="32" s="1"/>
  <c r="P291" i="32" s="1"/>
  <c r="P292" i="32" s="1"/>
  <c r="P293" i="32" s="1"/>
  <c r="P294" i="32" s="1"/>
  <c r="P295" i="32" s="1"/>
  <c r="P296" i="32" s="1"/>
  <c r="P297" i="32" s="1"/>
  <c r="P298" i="32" s="1"/>
  <c r="P299" i="32" s="1"/>
  <c r="P300" i="32" s="1"/>
  <c r="P301" i="32" s="1"/>
  <c r="N302" i="32"/>
  <c r="O302" i="32"/>
  <c r="P302" i="32"/>
  <c r="N303" i="32"/>
  <c r="O303" i="32"/>
  <c r="P303" i="32"/>
  <c r="N304" i="32"/>
  <c r="O304" i="32"/>
  <c r="P304" i="32"/>
  <c r="N305" i="32"/>
  <c r="N306" i="32" s="1"/>
  <c r="N307" i="32" s="1"/>
  <c r="N308" i="32" s="1"/>
  <c r="N309" i="32" s="1"/>
  <c r="N310" i="32" s="1"/>
  <c r="N311" i="32" s="1"/>
  <c r="N312" i="32" s="1"/>
  <c r="O305" i="32"/>
  <c r="O306" i="32" s="1"/>
  <c r="O307" i="32" s="1"/>
  <c r="O308" i="32" s="1"/>
  <c r="O309" i="32" s="1"/>
  <c r="O310" i="32" s="1"/>
  <c r="O311" i="32" s="1"/>
  <c r="O312" i="32" s="1"/>
  <c r="P305" i="32"/>
  <c r="P306" i="32" s="1"/>
  <c r="P307" i="32" s="1"/>
  <c r="P308" i="32" s="1"/>
  <c r="P309" i="32" s="1"/>
  <c r="P310" i="32" s="1"/>
  <c r="P311" i="32" s="1"/>
  <c r="P312" i="32" s="1"/>
  <c r="O2" i="32"/>
  <c r="O3" i="32" s="1"/>
  <c r="P2" i="32"/>
  <c r="P3" i="32" s="1"/>
  <c r="N2" i="32"/>
  <c r="N3" i="32" s="1"/>
  <c r="L4" i="32"/>
  <c r="L5" i="32"/>
  <c r="L6" i="32"/>
  <c r="L7" i="32"/>
  <c r="L8" i="32"/>
  <c r="L9" i="32"/>
  <c r="L10" i="32"/>
  <c r="L11" i="32"/>
  <c r="L12" i="32"/>
  <c r="L13" i="32"/>
  <c r="L14" i="32" s="1"/>
  <c r="L15" i="32" s="1"/>
  <c r="L16" i="32" s="1"/>
  <c r="L17" i="32" s="1"/>
  <c r="L18" i="32" s="1"/>
  <c r="L19" i="32"/>
  <c r="L20" i="32" s="1"/>
  <c r="L21" i="32" s="1"/>
  <c r="L22" i="32"/>
  <c r="L23" i="32"/>
  <c r="L24" i="32"/>
  <c r="L25" i="32"/>
  <c r="L26" i="32" s="1"/>
  <c r="L27" i="32" s="1"/>
  <c r="L28" i="32" s="1"/>
  <c r="L29" i="32" s="1"/>
  <c r="L30" i="32" s="1"/>
  <c r="L31" i="32" s="1"/>
  <c r="L32" i="32" s="1"/>
  <c r="L33" i="32"/>
  <c r="L34" i="32" s="1"/>
  <c r="L35" i="32"/>
  <c r="L36" i="32" s="1"/>
  <c r="L37" i="32"/>
  <c r="L38" i="32" s="1"/>
  <c r="L39" i="32"/>
  <c r="L40" i="32" s="1"/>
  <c r="L41" i="32" s="1"/>
  <c r="L42" i="32" s="1"/>
  <c r="L43" i="32" s="1"/>
  <c r="L44" i="32" s="1"/>
  <c r="L45" i="32"/>
  <c r="L46" i="32" s="1"/>
  <c r="L47" i="32"/>
  <c r="L48" i="32" s="1"/>
  <c r="L49" i="32"/>
  <c r="L50" i="32" s="1"/>
  <c r="L51" i="32" s="1"/>
  <c r="L52" i="32" s="1"/>
  <c r="L53" i="32" s="1"/>
  <c r="L54" i="32" s="1"/>
  <c r="L55" i="32"/>
  <c r="L56" i="32" s="1"/>
  <c r="L57" i="32"/>
  <c r="L58" i="32"/>
  <c r="L59" i="32"/>
  <c r="L60" i="32"/>
  <c r="L61" i="32"/>
  <c r="L62" i="32"/>
  <c r="L63" i="32"/>
  <c r="L64" i="32"/>
  <c r="L65" i="32"/>
  <c r="L66" i="32" s="1"/>
  <c r="L67" i="32" s="1"/>
  <c r="L68" i="32" s="1"/>
  <c r="L69" i="32" s="1"/>
  <c r="L70" i="32" s="1"/>
  <c r="L71" i="32" s="1"/>
  <c r="L72" i="32" s="1"/>
  <c r="L73" i="32" s="1"/>
  <c r="L74" i="32" s="1"/>
  <c r="L75" i="32" s="1"/>
  <c r="L76" i="32" s="1"/>
  <c r="L77" i="32" s="1"/>
  <c r="L78" i="32" s="1"/>
  <c r="L79" i="32" s="1"/>
  <c r="L80" i="32"/>
  <c r="L81" i="32" s="1"/>
  <c r="L82" i="32" s="1"/>
  <c r="L83" i="32" s="1"/>
  <c r="L84" i="32"/>
  <c r="L85" i="32" s="1"/>
  <c r="L86" i="32" s="1"/>
  <c r="L87" i="32" s="1"/>
  <c r="L88" i="32" s="1"/>
  <c r="L89" i="32" s="1"/>
  <c r="L90" i="32"/>
  <c r="L91" i="32" s="1"/>
  <c r="L92" i="32" s="1"/>
  <c r="L93" i="32"/>
  <c r="L94" i="32" s="1"/>
  <c r="L95" i="32" s="1"/>
  <c r="L96" i="32" s="1"/>
  <c r="L97" i="32"/>
  <c r="L98" i="32" s="1"/>
  <c r="L99" i="32" s="1"/>
  <c r="L100" i="32"/>
  <c r="L101" i="32" s="1"/>
  <c r="L102" i="32"/>
  <c r="L103" i="32" s="1"/>
  <c r="L104" i="32"/>
  <c r="L105" i="32" s="1"/>
  <c r="L106" i="32"/>
  <c r="L107" i="32" s="1"/>
  <c r="L108" i="32"/>
  <c r="L109" i="32" s="1"/>
  <c r="L110" i="32"/>
  <c r="L111" i="32" s="1"/>
  <c r="L112" i="32" s="1"/>
  <c r="L113" i="32" s="1"/>
  <c r="L114" i="32" s="1"/>
  <c r="L115" i="32" s="1"/>
  <c r="L116" i="32"/>
  <c r="L117" i="32" s="1"/>
  <c r="L118" i="32" s="1"/>
  <c r="L119" i="32" s="1"/>
  <c r="L120" i="32" s="1"/>
  <c r="L121" i="32" s="1"/>
  <c r="L122" i="32"/>
  <c r="L123" i="32" s="1"/>
  <c r="L124" i="32" s="1"/>
  <c r="L125" i="32" s="1"/>
  <c r="L126" i="32" s="1"/>
  <c r="L127" i="32" s="1"/>
  <c r="L128" i="32"/>
  <c r="L129" i="32" s="1"/>
  <c r="L130" i="32" s="1"/>
  <c r="L131" i="32" s="1"/>
  <c r="L132" i="32" s="1"/>
  <c r="L133" i="32" s="1"/>
  <c r="L134" i="32"/>
  <c r="L135" i="32" s="1"/>
  <c r="L136" i="32" s="1"/>
  <c r="L137" i="32" s="1"/>
  <c r="L138" i="32"/>
  <c r="L139" i="32" s="1"/>
  <c r="L140" i="32" s="1"/>
  <c r="L141" i="32" s="1"/>
  <c r="L142" i="32"/>
  <c r="L143" i="32" s="1"/>
  <c r="L144" i="32"/>
  <c r="L145" i="32" s="1"/>
  <c r="L146" i="32"/>
  <c r="L147" i="32" s="1"/>
  <c r="L148" i="32"/>
  <c r="L149" i="32" s="1"/>
  <c r="L150" i="32"/>
  <c r="L151" i="32" s="1"/>
  <c r="L152" i="32"/>
  <c r="L153" i="32" s="1"/>
  <c r="L154" i="32"/>
  <c r="L155" i="32" s="1"/>
  <c r="L156" i="32"/>
  <c r="L157" i="32" s="1"/>
  <c r="L158" i="32"/>
  <c r="L159" i="32" s="1"/>
  <c r="L160" i="32"/>
  <c r="L161" i="32" s="1"/>
  <c r="L162" i="32"/>
  <c r="L163" i="32" s="1"/>
  <c r="L164" i="32"/>
  <c r="L165" i="32" s="1"/>
  <c r="L166" i="32"/>
  <c r="L167" i="32" s="1"/>
  <c r="L168" i="32" s="1"/>
  <c r="L169" i="32" s="1"/>
  <c r="L170" i="32" s="1"/>
  <c r="L171" i="32" s="1"/>
  <c r="L172" i="32" s="1"/>
  <c r="L173" i="32" s="1"/>
  <c r="L174" i="32" s="1"/>
  <c r="L175" i="32" s="1"/>
  <c r="L176" i="32"/>
  <c r="L177" i="32" s="1"/>
  <c r="L178" i="32" s="1"/>
  <c r="L179" i="32" s="1"/>
  <c r="L180" i="32" s="1"/>
  <c r="L181" i="32" s="1"/>
  <c r="L182" i="32" s="1"/>
  <c r="L183" i="32" s="1"/>
  <c r="L184" i="32" s="1"/>
  <c r="L185" i="32" s="1"/>
  <c r="L186" i="32"/>
  <c r="L187" i="32" s="1"/>
  <c r="L188" i="32"/>
  <c r="L189" i="32"/>
  <c r="L190" i="32"/>
  <c r="L191" i="32"/>
  <c r="L192" i="32"/>
  <c r="L193" i="32"/>
  <c r="L194" i="32"/>
  <c r="L195" i="32"/>
  <c r="L196" i="32" s="1"/>
  <c r="L197" i="32"/>
  <c r="L198" i="32" s="1"/>
  <c r="L199" i="32"/>
  <c r="L200" i="32" s="1"/>
  <c r="L201" i="32" s="1"/>
  <c r="L202" i="32" s="1"/>
  <c r="L203" i="32" s="1"/>
  <c r="L204" i="32" s="1"/>
  <c r="L205" i="32"/>
  <c r="L206" i="32"/>
  <c r="L207" i="32"/>
  <c r="L208" i="32"/>
  <c r="L209" i="32"/>
  <c r="L210" i="32"/>
  <c r="L211" i="32" s="1"/>
  <c r="L212" i="32"/>
  <c r="L213" i="32" s="1"/>
  <c r="L214" i="32"/>
  <c r="L215" i="32" s="1"/>
  <c r="L216" i="32"/>
  <c r="L217" i="32" s="1"/>
  <c r="L218" i="32"/>
  <c r="L219" i="32" s="1"/>
  <c r="L220" i="32"/>
  <c r="L221" i="32" s="1"/>
  <c r="L222" i="32" s="1"/>
  <c r="L223" i="32" s="1"/>
  <c r="L224" i="32" s="1"/>
  <c r="L225" i="32" s="1"/>
  <c r="L226" i="32" s="1"/>
  <c r="L227" i="32" s="1"/>
  <c r="L228" i="32" s="1"/>
  <c r="L229" i="32" s="1"/>
  <c r="L230" i="32" s="1"/>
  <c r="L231" i="32" s="1"/>
  <c r="L232" i="32"/>
  <c r="L233" i="32" s="1"/>
  <c r="L234" i="32" s="1"/>
  <c r="L235" i="32" s="1"/>
  <c r="L236" i="32"/>
  <c r="L237" i="32" s="1"/>
  <c r="L238" i="32" s="1"/>
  <c r="L239" i="32" s="1"/>
  <c r="L240" i="32"/>
  <c r="L241" i="32"/>
  <c r="L242" i="32" s="1"/>
  <c r="L243" i="32" s="1"/>
  <c r="L244" i="32"/>
  <c r="L245" i="32"/>
  <c r="L246" i="32" s="1"/>
  <c r="L247" i="32" s="1"/>
  <c r="L248" i="32"/>
  <c r="L249" i="32"/>
  <c r="L250" i="32"/>
  <c r="L251" i="32"/>
  <c r="L252" i="32"/>
  <c r="L253" i="32"/>
  <c r="L254" i="32"/>
  <c r="L255" i="32"/>
  <c r="L256" i="32"/>
  <c r="L257" i="32"/>
  <c r="L258" i="32" s="1"/>
  <c r="L259" i="32"/>
  <c r="L260" i="32" s="1"/>
  <c r="L261" i="32" s="1"/>
  <c r="L262" i="32" s="1"/>
  <c r="L263" i="32"/>
  <c r="L264" i="32"/>
  <c r="L265" i="32"/>
  <c r="L266" i="32"/>
  <c r="L267" i="32"/>
  <c r="L268" i="32"/>
  <c r="L269" i="32"/>
  <c r="L270" i="32"/>
  <c r="L271" i="32" s="1"/>
  <c r="L272" i="32" s="1"/>
  <c r="L273" i="32" s="1"/>
  <c r="L274" i="32" s="1"/>
  <c r="L275" i="32" s="1"/>
  <c r="L276" i="32" s="1"/>
  <c r="L277" i="32" s="1"/>
  <c r="L278" i="32" s="1"/>
  <c r="L279" i="32" s="1"/>
  <c r="L280" i="32" s="1"/>
  <c r="L281" i="32" s="1"/>
  <c r="L282" i="32" s="1"/>
  <c r="L283" i="32" s="1"/>
  <c r="L284" i="32" s="1"/>
  <c r="L285" i="32" s="1"/>
  <c r="L286" i="32" s="1"/>
  <c r="L287" i="32" s="1"/>
  <c r="L288" i="32" s="1"/>
  <c r="L289" i="32" s="1"/>
  <c r="L290" i="32" s="1"/>
  <c r="L291" i="32" s="1"/>
  <c r="L292" i="32" s="1"/>
  <c r="L293" i="32" s="1"/>
  <c r="L294" i="32" s="1"/>
  <c r="L295" i="32" s="1"/>
  <c r="L296" i="32" s="1"/>
  <c r="L297" i="32" s="1"/>
  <c r="L298" i="32" s="1"/>
  <c r="L299" i="32" s="1"/>
  <c r="L300" i="32" s="1"/>
  <c r="L301" i="32" s="1"/>
  <c r="L302" i="32"/>
  <c r="L303" i="32"/>
  <c r="L304" i="32"/>
  <c r="L305" i="32"/>
  <c r="L306" i="32" s="1"/>
  <c r="L307" i="32" s="1"/>
  <c r="L308" i="32" s="1"/>
  <c r="L309" i="32" s="1"/>
  <c r="L310" i="32" s="1"/>
  <c r="L311" i="32" s="1"/>
  <c r="L312" i="32" s="1"/>
  <c r="L2" i="32"/>
  <c r="L3" i="32" s="1"/>
  <c r="J4" i="32"/>
  <c r="J5" i="32"/>
  <c r="J6" i="32"/>
  <c r="J7" i="32"/>
  <c r="J8" i="32"/>
  <c r="J9" i="32"/>
  <c r="J10" i="32"/>
  <c r="J11" i="32"/>
  <c r="J12" i="32"/>
  <c r="J13" i="32"/>
  <c r="J14" i="32" s="1"/>
  <c r="J15" i="32" s="1"/>
  <c r="J16" i="32" s="1"/>
  <c r="J17" i="32" s="1"/>
  <c r="J18" i="32" s="1"/>
  <c r="J19" i="32"/>
  <c r="J20" i="32" s="1"/>
  <c r="J21" i="32" s="1"/>
  <c r="J22" i="32"/>
  <c r="J23" i="32"/>
  <c r="J24" i="32"/>
  <c r="J25" i="32"/>
  <c r="J26" i="32" s="1"/>
  <c r="J27" i="32" s="1"/>
  <c r="J28" i="32" s="1"/>
  <c r="J29" i="32" s="1"/>
  <c r="J30" i="32" s="1"/>
  <c r="J31" i="32" s="1"/>
  <c r="J32" i="32" s="1"/>
  <c r="J33" i="32"/>
  <c r="J34" i="32" s="1"/>
  <c r="J35" i="32"/>
  <c r="J36" i="32" s="1"/>
  <c r="J37" i="32"/>
  <c r="J38" i="32" s="1"/>
  <c r="J39" i="32"/>
  <c r="J40" i="32" s="1"/>
  <c r="J41" i="32" s="1"/>
  <c r="J42" i="32" s="1"/>
  <c r="J43" i="32" s="1"/>
  <c r="J44" i="32" s="1"/>
  <c r="J45" i="32"/>
  <c r="J46" i="32" s="1"/>
  <c r="J47" i="32"/>
  <c r="J48" i="32" s="1"/>
  <c r="J49" i="32"/>
  <c r="J50" i="32" s="1"/>
  <c r="J51" i="32" s="1"/>
  <c r="J52" i="32" s="1"/>
  <c r="J53" i="32" s="1"/>
  <c r="J54" i="32" s="1"/>
  <c r="J55" i="32"/>
  <c r="J56" i="32" s="1"/>
  <c r="J57" i="32"/>
  <c r="J58" i="32"/>
  <c r="J59" i="32"/>
  <c r="J60" i="32"/>
  <c r="J61" i="32"/>
  <c r="J62" i="32"/>
  <c r="J63" i="32"/>
  <c r="J64" i="32"/>
  <c r="J65" i="32"/>
  <c r="J66" i="32" s="1"/>
  <c r="J67" i="32" s="1"/>
  <c r="J68" i="32" s="1"/>
  <c r="J69" i="32" s="1"/>
  <c r="J70" i="32" s="1"/>
  <c r="J71" i="32" s="1"/>
  <c r="J72" i="32" s="1"/>
  <c r="J73" i="32" s="1"/>
  <c r="J74" i="32" s="1"/>
  <c r="J75" i="32" s="1"/>
  <c r="J76" i="32" s="1"/>
  <c r="J77" i="32" s="1"/>
  <c r="J78" i="32" s="1"/>
  <c r="J79" i="32" s="1"/>
  <c r="J80" i="32"/>
  <c r="J81" i="32" s="1"/>
  <c r="J82" i="32" s="1"/>
  <c r="J83" i="32" s="1"/>
  <c r="J84" i="32"/>
  <c r="J85" i="32" s="1"/>
  <c r="J86" i="32" s="1"/>
  <c r="J87" i="32" s="1"/>
  <c r="J88" i="32" s="1"/>
  <c r="J89" i="32" s="1"/>
  <c r="J90" i="32"/>
  <c r="J91" i="32" s="1"/>
  <c r="J92" i="32" s="1"/>
  <c r="J93" i="32"/>
  <c r="J94" i="32" s="1"/>
  <c r="J95" i="32" s="1"/>
  <c r="J96" i="32" s="1"/>
  <c r="J97" i="32"/>
  <c r="J98" i="32" s="1"/>
  <c r="J99" i="32" s="1"/>
  <c r="J100" i="32"/>
  <c r="J101" i="32" s="1"/>
  <c r="J102" i="32"/>
  <c r="J103" i="32" s="1"/>
  <c r="J104" i="32"/>
  <c r="J105" i="32" s="1"/>
  <c r="J106" i="32"/>
  <c r="J107" i="32" s="1"/>
  <c r="J108" i="32"/>
  <c r="J109" i="32" s="1"/>
  <c r="J110" i="32"/>
  <c r="J111" i="32" s="1"/>
  <c r="J112" i="32" s="1"/>
  <c r="J113" i="32" s="1"/>
  <c r="J114" i="32" s="1"/>
  <c r="J115" i="32" s="1"/>
  <c r="J116" i="32"/>
  <c r="J117" i="32" s="1"/>
  <c r="J118" i="32" s="1"/>
  <c r="J119" i="32" s="1"/>
  <c r="J120" i="32" s="1"/>
  <c r="J121" i="32" s="1"/>
  <c r="J122" i="32"/>
  <c r="J123" i="32" s="1"/>
  <c r="J124" i="32" s="1"/>
  <c r="J125" i="32" s="1"/>
  <c r="J126" i="32" s="1"/>
  <c r="J127" i="32" s="1"/>
  <c r="J128" i="32"/>
  <c r="J129" i="32" s="1"/>
  <c r="J130" i="32" s="1"/>
  <c r="J131" i="32" s="1"/>
  <c r="J132" i="32" s="1"/>
  <c r="J133" i="32" s="1"/>
  <c r="J134" i="32"/>
  <c r="J135" i="32" s="1"/>
  <c r="J136" i="32" s="1"/>
  <c r="J137" i="32" s="1"/>
  <c r="J138" i="32"/>
  <c r="J139" i="32" s="1"/>
  <c r="J140" i="32" s="1"/>
  <c r="J141" i="32" s="1"/>
  <c r="J142" i="32"/>
  <c r="J143" i="32" s="1"/>
  <c r="J144" i="32"/>
  <c r="J145" i="32" s="1"/>
  <c r="J146" i="32"/>
  <c r="J147" i="32" s="1"/>
  <c r="J148" i="32"/>
  <c r="J149" i="32" s="1"/>
  <c r="J150" i="32"/>
  <c r="J151" i="32" s="1"/>
  <c r="J152" i="32"/>
  <c r="J153" i="32" s="1"/>
  <c r="J154" i="32"/>
  <c r="J155" i="32" s="1"/>
  <c r="J156" i="32"/>
  <c r="J157" i="32" s="1"/>
  <c r="J158" i="32"/>
  <c r="J159" i="32" s="1"/>
  <c r="J160" i="32"/>
  <c r="J161" i="32" s="1"/>
  <c r="J162" i="32"/>
  <c r="J163" i="32" s="1"/>
  <c r="J164" i="32"/>
  <c r="J165" i="32" s="1"/>
  <c r="J166" i="32"/>
  <c r="J167" i="32" s="1"/>
  <c r="J168" i="32" s="1"/>
  <c r="J169" i="32" s="1"/>
  <c r="J170" i="32" s="1"/>
  <c r="J171" i="32" s="1"/>
  <c r="J172" i="32" s="1"/>
  <c r="J173" i="32" s="1"/>
  <c r="J174" i="32" s="1"/>
  <c r="J175" i="32" s="1"/>
  <c r="J176" i="32"/>
  <c r="J177" i="32" s="1"/>
  <c r="J178" i="32" s="1"/>
  <c r="J179" i="32" s="1"/>
  <c r="J180" i="32" s="1"/>
  <c r="J181" i="32" s="1"/>
  <c r="J182" i="32" s="1"/>
  <c r="J183" i="32" s="1"/>
  <c r="J184" i="32" s="1"/>
  <c r="J185" i="32" s="1"/>
  <c r="J186" i="32"/>
  <c r="J187" i="32" s="1"/>
  <c r="J188" i="32"/>
  <c r="J189" i="32"/>
  <c r="J190" i="32"/>
  <c r="J191" i="32"/>
  <c r="J192" i="32"/>
  <c r="J193" i="32"/>
  <c r="J194" i="32"/>
  <c r="J195" i="32"/>
  <c r="J196" i="32" s="1"/>
  <c r="J197" i="32"/>
  <c r="J198" i="32" s="1"/>
  <c r="J199" i="32"/>
  <c r="J200" i="32" s="1"/>
  <c r="J201" i="32" s="1"/>
  <c r="J202" i="32" s="1"/>
  <c r="J203" i="32" s="1"/>
  <c r="J204" i="32" s="1"/>
  <c r="J205" i="32"/>
  <c r="J206" i="32"/>
  <c r="J207" i="32"/>
  <c r="J208" i="32"/>
  <c r="J209" i="32"/>
  <c r="J210" i="32"/>
  <c r="J211" i="32" s="1"/>
  <c r="J212" i="32"/>
  <c r="J213" i="32" s="1"/>
  <c r="J214" i="32"/>
  <c r="J215" i="32" s="1"/>
  <c r="J216" i="32"/>
  <c r="J217" i="32" s="1"/>
  <c r="J218" i="32"/>
  <c r="J219" i="32" s="1"/>
  <c r="J220" i="32"/>
  <c r="J221" i="32" s="1"/>
  <c r="J222" i="32" s="1"/>
  <c r="J223" i="32" s="1"/>
  <c r="J224" i="32" s="1"/>
  <c r="J225" i="32" s="1"/>
  <c r="J226" i="32" s="1"/>
  <c r="J227" i="32" s="1"/>
  <c r="J228" i="32" s="1"/>
  <c r="J229" i="32" s="1"/>
  <c r="J230" i="32" s="1"/>
  <c r="J231" i="32" s="1"/>
  <c r="J232" i="32"/>
  <c r="J233" i="32" s="1"/>
  <c r="J234" i="32" s="1"/>
  <c r="J235" i="32" s="1"/>
  <c r="J236" i="32"/>
  <c r="J237" i="32" s="1"/>
  <c r="J238" i="32" s="1"/>
  <c r="J239" i="32" s="1"/>
  <c r="J240" i="32"/>
  <c r="J241" i="32"/>
  <c r="J242" i="32" s="1"/>
  <c r="J243" i="32" s="1"/>
  <c r="J244" i="32"/>
  <c r="J245" i="32"/>
  <c r="J246" i="32" s="1"/>
  <c r="J247" i="32" s="1"/>
  <c r="J248" i="32"/>
  <c r="J249" i="32"/>
  <c r="J250" i="32"/>
  <c r="J251" i="32"/>
  <c r="J252" i="32"/>
  <c r="J253" i="32"/>
  <c r="J254" i="32"/>
  <c r="J255" i="32"/>
  <c r="J256" i="32"/>
  <c r="J257" i="32"/>
  <c r="J258" i="32" s="1"/>
  <c r="J259" i="32"/>
  <c r="J260" i="32" s="1"/>
  <c r="J261" i="32" s="1"/>
  <c r="J262" i="32" s="1"/>
  <c r="J263" i="32"/>
  <c r="J264" i="32"/>
  <c r="J266" i="32"/>
  <c r="J267" i="32"/>
  <c r="J268" i="32"/>
  <c r="J270" i="32"/>
  <c r="J271" i="32" s="1"/>
  <c r="J272" i="32" s="1"/>
  <c r="J273" i="32" s="1"/>
  <c r="J274" i="32" s="1"/>
  <c r="J275" i="32" s="1"/>
  <c r="J276" i="32" s="1"/>
  <c r="J277" i="32" s="1"/>
  <c r="J278" i="32" s="1"/>
  <c r="J279" i="32" s="1"/>
  <c r="J280" i="32" s="1"/>
  <c r="J281" i="32" s="1"/>
  <c r="J282" i="32" s="1"/>
  <c r="J283" i="32" s="1"/>
  <c r="J284" i="32" s="1"/>
  <c r="J285" i="32" s="1"/>
  <c r="J286" i="32" s="1"/>
  <c r="J287" i="32" s="1"/>
  <c r="J288" i="32" s="1"/>
  <c r="J289" i="32" s="1"/>
  <c r="J290" i="32" s="1"/>
  <c r="J291" i="32" s="1"/>
  <c r="J292" i="32" s="1"/>
  <c r="J293" i="32" s="1"/>
  <c r="J294" i="32" s="1"/>
  <c r="J295" i="32" s="1"/>
  <c r="J296" i="32" s="1"/>
  <c r="J297" i="32" s="1"/>
  <c r="J298" i="32" s="1"/>
  <c r="J299" i="32" s="1"/>
  <c r="J300" i="32" s="1"/>
  <c r="J301" i="32" s="1"/>
  <c r="J302" i="32"/>
  <c r="J303" i="32"/>
  <c r="J304" i="32"/>
  <c r="J305" i="32"/>
  <c r="J306" i="32" s="1"/>
  <c r="J307" i="32" s="1"/>
  <c r="J308" i="32" s="1"/>
  <c r="J309" i="32" s="1"/>
  <c r="J310" i="32" s="1"/>
  <c r="J311" i="32" s="1"/>
  <c r="J312" i="32" s="1"/>
  <c r="J2" i="32"/>
  <c r="J3" i="32" s="1"/>
  <c r="X205" i="32"/>
  <c r="Z205" i="32" s="1"/>
  <c r="X209" i="32"/>
  <c r="Z209" i="32" s="1"/>
  <c r="X210" i="32"/>
  <c r="Z210" i="32" s="1"/>
  <c r="X213" i="32"/>
  <c r="Z213" i="32" s="1"/>
  <c r="X214" i="32"/>
  <c r="Z214" i="32" s="1"/>
  <c r="X215" i="32"/>
  <c r="Z215" i="32" s="1"/>
  <c r="X216" i="32"/>
  <c r="Z216" i="32" s="1"/>
  <c r="X217" i="32"/>
  <c r="Z217" i="32" s="1"/>
  <c r="X218" i="32"/>
  <c r="Z218" i="32" s="1"/>
  <c r="X219" i="32"/>
  <c r="Z219" i="32" s="1"/>
  <c r="X220" i="32"/>
  <c r="X221" i="32" s="1"/>
  <c r="X224" i="32"/>
  <c r="X225" i="32" s="1"/>
  <c r="X228" i="32"/>
  <c r="Z228" i="32" s="1"/>
  <c r="X232" i="32"/>
  <c r="Z232" i="32" s="1"/>
  <c r="X233" i="32"/>
  <c r="Z233" i="32" s="1"/>
  <c r="X234" i="32"/>
  <c r="Z234" i="32" s="1"/>
  <c r="Y234" i="32"/>
  <c r="AA234" i="32" s="1"/>
  <c r="X235" i="32"/>
  <c r="Z235" i="32" s="1"/>
  <c r="X236" i="32"/>
  <c r="Z236" i="32" s="1"/>
  <c r="X237" i="32"/>
  <c r="Z237" i="32" s="1"/>
  <c r="X238" i="32"/>
  <c r="Z238" i="32" s="1"/>
  <c r="Y238" i="32"/>
  <c r="AA238" i="32" s="1"/>
  <c r="X239" i="32"/>
  <c r="Z239" i="32" s="1"/>
  <c r="X240" i="32"/>
  <c r="Z240" i="32" s="1"/>
  <c r="X241" i="32"/>
  <c r="Z241" i="32" s="1"/>
  <c r="X242" i="32"/>
  <c r="Z242" i="32" s="1"/>
  <c r="Y242" i="32"/>
  <c r="AA242" i="32" s="1"/>
  <c r="X243" i="32"/>
  <c r="Z243" i="32" s="1"/>
  <c r="X244" i="32"/>
  <c r="Z244" i="32" s="1"/>
  <c r="X245" i="32"/>
  <c r="Z245" i="32" s="1"/>
  <c r="X246" i="32"/>
  <c r="Z246" i="32" s="1"/>
  <c r="Y246" i="32"/>
  <c r="AA246" i="32" s="1"/>
  <c r="X247" i="32"/>
  <c r="Z247" i="32" s="1"/>
  <c r="X248" i="32"/>
  <c r="Z248" i="32" s="1"/>
  <c r="X249" i="32"/>
  <c r="Z249" i="32" s="1"/>
  <c r="X250" i="32"/>
  <c r="Z250" i="32" s="1"/>
  <c r="X251" i="32"/>
  <c r="Z251" i="32" s="1"/>
  <c r="X252" i="32"/>
  <c r="Z252" i="32" s="1"/>
  <c r="X253" i="32"/>
  <c r="Z253" i="32" s="1"/>
  <c r="Y263" i="32"/>
  <c r="AA263" i="32" s="1"/>
  <c r="X267" i="32"/>
  <c r="Z267" i="32" s="1"/>
  <c r="X268" i="32"/>
  <c r="Z268" i="32" s="1"/>
  <c r="X286" i="32"/>
  <c r="X287" i="32" s="1"/>
  <c r="H176" i="32"/>
  <c r="H177" i="32" s="1"/>
  <c r="H178" i="32" s="1"/>
  <c r="H179" i="32" s="1"/>
  <c r="H180" i="32" s="1"/>
  <c r="H181" i="32" s="1"/>
  <c r="H182" i="32" s="1"/>
  <c r="H183" i="32" s="1"/>
  <c r="H184" i="32" s="1"/>
  <c r="H185" i="32" s="1"/>
  <c r="H186" i="32"/>
  <c r="H187" i="32" s="1"/>
  <c r="H188" i="32"/>
  <c r="H189" i="32"/>
  <c r="H190" i="32"/>
  <c r="H191" i="32"/>
  <c r="H192" i="32"/>
  <c r="H193" i="32"/>
  <c r="H194" i="32"/>
  <c r="H195" i="32"/>
  <c r="H196" i="32" s="1"/>
  <c r="H197" i="32"/>
  <c r="H80" i="32"/>
  <c r="H81" i="32" s="1"/>
  <c r="H82" i="32" s="1"/>
  <c r="H83" i="32" s="1"/>
  <c r="H84" i="32"/>
  <c r="H85" i="32" s="1"/>
  <c r="H86" i="32" s="1"/>
  <c r="H87" i="32" s="1"/>
  <c r="H88" i="32" s="1"/>
  <c r="H89" i="32" s="1"/>
  <c r="H90" i="32"/>
  <c r="H91" i="32" s="1"/>
  <c r="H92" i="32" s="1"/>
  <c r="H93" i="32"/>
  <c r="H94" i="32" s="1"/>
  <c r="AZ3" i="32"/>
  <c r="AZ4" i="32"/>
  <c r="AZ5" i="32" s="1"/>
  <c r="AZ6" i="32"/>
  <c r="AZ7" i="32" s="1"/>
  <c r="AZ8" i="32"/>
  <c r="AZ9" i="32" s="1"/>
  <c r="AZ10" i="32"/>
  <c r="AZ11" i="32"/>
  <c r="AZ12" i="32"/>
  <c r="AZ13" i="32"/>
  <c r="AZ14" i="32" s="1"/>
  <c r="AZ15" i="32"/>
  <c r="AZ16" i="32" s="1"/>
  <c r="AZ17" i="32"/>
  <c r="AZ18" i="32" s="1"/>
  <c r="AZ19" i="32"/>
  <c r="AZ20" i="32"/>
  <c r="AZ21" i="32"/>
  <c r="AZ22" i="32"/>
  <c r="AZ23" i="32"/>
  <c r="AZ24" i="32"/>
  <c r="AZ25" i="32"/>
  <c r="AZ26" i="32" s="1"/>
  <c r="AZ27" i="32"/>
  <c r="AZ28" i="32" s="1"/>
  <c r="AZ29" i="32"/>
  <c r="AZ30" i="32" s="1"/>
  <c r="AZ31" i="32"/>
  <c r="AZ32" i="32" s="1"/>
  <c r="AZ33" i="32"/>
  <c r="AZ34" i="32"/>
  <c r="AZ35" i="32"/>
  <c r="AZ36" i="32"/>
  <c r="AZ37" i="32"/>
  <c r="AZ38" i="32"/>
  <c r="AZ39" i="32"/>
  <c r="AZ40" i="32" s="1"/>
  <c r="AZ41" i="32"/>
  <c r="AZ42" i="32" s="1"/>
  <c r="AZ43" i="32"/>
  <c r="AZ44" i="32" s="1"/>
  <c r="AZ45" i="32"/>
  <c r="AZ46" i="32"/>
  <c r="AZ47" i="32"/>
  <c r="AZ48" i="32"/>
  <c r="AZ49" i="32"/>
  <c r="AZ50" i="32" s="1"/>
  <c r="AZ51" i="32"/>
  <c r="AZ52" i="32" s="1"/>
  <c r="AZ53" i="32"/>
  <c r="AZ54" i="32" s="1"/>
  <c r="AZ55" i="32"/>
  <c r="AZ56" i="32"/>
  <c r="AZ57" i="32"/>
  <c r="AZ58" i="32"/>
  <c r="AZ59" i="32"/>
  <c r="AZ60" i="32"/>
  <c r="AZ61" i="32"/>
  <c r="AZ62" i="32"/>
  <c r="AZ63" i="32"/>
  <c r="AZ64" i="32"/>
  <c r="AZ65" i="32" s="1"/>
  <c r="AZ66" i="32" s="1"/>
  <c r="AZ67" i="32" s="1"/>
  <c r="AZ68" i="32" s="1"/>
  <c r="AZ69" i="32" s="1"/>
  <c r="AZ70" i="32" s="1"/>
  <c r="AZ71" i="32" s="1"/>
  <c r="AZ72" i="32" s="1"/>
  <c r="AZ73" i="32" s="1"/>
  <c r="AZ74" i="32" s="1"/>
  <c r="AZ75" i="32"/>
  <c r="AZ76" i="32" s="1"/>
  <c r="AZ77" i="32" s="1"/>
  <c r="AZ78" i="32" s="1"/>
  <c r="AZ79" i="32" s="1"/>
  <c r="AZ80" i="32"/>
  <c r="AZ81" i="32" s="1"/>
  <c r="AZ82" i="32"/>
  <c r="AZ83" i="32" s="1"/>
  <c r="AZ84" i="32"/>
  <c r="AZ85" i="32" s="1"/>
  <c r="AZ86" i="32"/>
  <c r="AZ87" i="32" s="1"/>
  <c r="AZ88" i="32"/>
  <c r="AZ89" i="32" s="1"/>
  <c r="AZ90" i="32"/>
  <c r="AZ91" i="32"/>
  <c r="AZ92" i="32"/>
  <c r="AZ93" i="32"/>
  <c r="AZ94" i="32" s="1"/>
  <c r="AZ95" i="32"/>
  <c r="AZ96" i="32" s="1"/>
  <c r="AZ97" i="32"/>
  <c r="AZ98" i="32"/>
  <c r="AZ99" i="32"/>
  <c r="AZ100" i="32"/>
  <c r="AZ101" i="32"/>
  <c r="AZ102" i="32"/>
  <c r="AZ103" i="32"/>
  <c r="AZ104" i="32"/>
  <c r="AZ105" i="32"/>
  <c r="AZ106" i="32"/>
  <c r="AZ107" i="32"/>
  <c r="AZ108" i="32"/>
  <c r="AZ109" i="32"/>
  <c r="AZ110" i="32"/>
  <c r="AZ111" i="32" s="1"/>
  <c r="AZ112" i="32" s="1"/>
  <c r="AZ113" i="32"/>
  <c r="AZ114" i="32" s="1"/>
  <c r="AZ115" i="32" s="1"/>
  <c r="AZ116" i="32"/>
  <c r="AZ117" i="32" s="1"/>
  <c r="AZ118" i="32" s="1"/>
  <c r="AZ119" i="32"/>
  <c r="AZ120" i="32" s="1"/>
  <c r="AZ121" i="32" s="1"/>
  <c r="AZ122" i="32"/>
  <c r="AZ123" i="32" s="1"/>
  <c r="AZ124" i="32" s="1"/>
  <c r="AZ125" i="32"/>
  <c r="AZ126" i="32" s="1"/>
  <c r="AZ127" i="32" s="1"/>
  <c r="AZ128" i="32"/>
  <c r="AZ129" i="32" s="1"/>
  <c r="AZ130" i="32" s="1"/>
  <c r="AZ131" i="32"/>
  <c r="AZ132" i="32" s="1"/>
  <c r="AZ133" i="32" s="1"/>
  <c r="AZ134" i="32"/>
  <c r="AZ135" i="32" s="1"/>
  <c r="AZ136" i="32"/>
  <c r="AZ137" i="32" s="1"/>
  <c r="AZ138" i="32"/>
  <c r="AZ139" i="32" s="1"/>
  <c r="AZ140" i="32"/>
  <c r="AZ141" i="32" s="1"/>
  <c r="AZ142" i="32"/>
  <c r="AZ143" i="32"/>
  <c r="AZ144" i="32"/>
  <c r="AZ145" i="32"/>
  <c r="AZ146" i="32"/>
  <c r="AZ147" i="32"/>
  <c r="AZ148" i="32"/>
  <c r="AZ149" i="32"/>
  <c r="AZ150" i="32"/>
  <c r="AZ151" i="32"/>
  <c r="AZ152" i="32"/>
  <c r="AZ153" i="32"/>
  <c r="AZ154" i="32"/>
  <c r="AZ155" i="32"/>
  <c r="AZ156" i="32"/>
  <c r="AZ157" i="32"/>
  <c r="AZ158" i="32"/>
  <c r="AZ159" i="32"/>
  <c r="AZ160" i="32"/>
  <c r="AZ161" i="32"/>
  <c r="AZ162" i="32"/>
  <c r="AZ163" i="32"/>
  <c r="AZ164" i="32"/>
  <c r="AZ165" i="32"/>
  <c r="AZ166" i="32"/>
  <c r="AZ167" i="32" s="1"/>
  <c r="AZ168" i="32" s="1"/>
  <c r="AZ169" i="32" s="1"/>
  <c r="AZ170" i="32" s="1"/>
  <c r="AZ171" i="32"/>
  <c r="AZ172" i="32" s="1"/>
  <c r="AZ173" i="32" s="1"/>
  <c r="AZ174" i="32" s="1"/>
  <c r="AZ175" i="32" s="1"/>
  <c r="AZ176" i="32"/>
  <c r="AZ177" i="32" s="1"/>
  <c r="AZ178" i="32" s="1"/>
  <c r="AZ179" i="32" s="1"/>
  <c r="AZ180" i="32" s="1"/>
  <c r="AZ181" i="32"/>
  <c r="AZ182" i="32" s="1"/>
  <c r="AZ183" i="32" s="1"/>
  <c r="AZ184" i="32" s="1"/>
  <c r="AZ185" i="32" s="1"/>
  <c r="AZ186" i="32"/>
  <c r="AZ187" i="32"/>
  <c r="AZ188" i="32"/>
  <c r="AZ189" i="32"/>
  <c r="AZ190" i="32"/>
  <c r="AZ191" i="32"/>
  <c r="AZ192" i="32"/>
  <c r="AZ193" i="32"/>
  <c r="AZ194" i="32"/>
  <c r="AZ195" i="32"/>
  <c r="AZ196" i="32"/>
  <c r="AZ197" i="32"/>
  <c r="AZ198" i="32"/>
  <c r="AZ199" i="32"/>
  <c r="AZ200" i="32" s="1"/>
  <c r="AZ201" i="32" s="1"/>
  <c r="AZ202" i="32"/>
  <c r="AZ203" i="32" s="1"/>
  <c r="AZ204" i="32" s="1"/>
  <c r="AZ205" i="32"/>
  <c r="AZ206" i="32"/>
  <c r="AZ207" i="32"/>
  <c r="AZ208" i="32"/>
  <c r="AZ209" i="32"/>
  <c r="AZ210" i="32"/>
  <c r="AZ211" i="32"/>
  <c r="AZ212" i="32"/>
  <c r="AZ213" i="32"/>
  <c r="AZ214" i="32"/>
  <c r="AZ215" i="32"/>
  <c r="AZ216" i="32"/>
  <c r="AZ217" i="32"/>
  <c r="AZ218" i="32"/>
  <c r="AZ219" i="32"/>
  <c r="AZ220" i="32"/>
  <c r="AZ221" i="32" s="1"/>
  <c r="AZ222" i="32" s="1"/>
  <c r="AZ223" i="32" s="1"/>
  <c r="AZ224" i="32"/>
  <c r="AZ225" i="32" s="1"/>
  <c r="AZ226" i="32" s="1"/>
  <c r="AZ227" i="32" s="1"/>
  <c r="AZ228" i="32"/>
  <c r="AZ229" i="32" s="1"/>
  <c r="AZ230" i="32" s="1"/>
  <c r="AZ231" i="32" s="1"/>
  <c r="AZ232" i="32"/>
  <c r="AZ233" i="32"/>
  <c r="AZ234" i="32"/>
  <c r="AZ235" i="32"/>
  <c r="AZ236" i="32"/>
  <c r="AZ237" i="32"/>
  <c r="AZ238" i="32"/>
  <c r="AZ239" i="32"/>
  <c r="AZ240" i="32"/>
  <c r="AZ241" i="32"/>
  <c r="AZ242" i="32"/>
  <c r="AZ243" i="32"/>
  <c r="AZ244" i="32"/>
  <c r="AZ245" i="32"/>
  <c r="AZ246" i="32"/>
  <c r="AZ247" i="32"/>
  <c r="AZ248" i="32"/>
  <c r="AZ249" i="32"/>
  <c r="AZ250" i="32"/>
  <c r="AZ251" i="32"/>
  <c r="AZ252" i="32"/>
  <c r="AZ253" i="32"/>
  <c r="AZ254" i="32"/>
  <c r="AZ255" i="32"/>
  <c r="AZ256" i="32"/>
  <c r="AZ257" i="32"/>
  <c r="AZ258" i="32"/>
  <c r="AZ259" i="32"/>
  <c r="AZ260" i="32"/>
  <c r="AZ261" i="32"/>
  <c r="AZ262" i="32"/>
  <c r="AZ263" i="32"/>
  <c r="AZ264" i="32"/>
  <c r="AZ265" i="32"/>
  <c r="AZ266" i="32"/>
  <c r="AZ267" i="32"/>
  <c r="AZ268" i="32"/>
  <c r="AZ269" i="32"/>
  <c r="AZ270" i="32"/>
  <c r="AZ271" i="32" s="1"/>
  <c r="AZ272" i="32" s="1"/>
  <c r="AZ273" i="32" s="1"/>
  <c r="AZ274" i="32" s="1"/>
  <c r="AZ275" i="32" s="1"/>
  <c r="AZ276" i="32" s="1"/>
  <c r="AZ277" i="32" s="1"/>
  <c r="AZ278" i="32" s="1"/>
  <c r="AZ279" i="32" s="1"/>
  <c r="AZ280" i="32" s="1"/>
  <c r="AZ281" i="32" s="1"/>
  <c r="AZ282" i="32" s="1"/>
  <c r="AZ283" i="32" s="1"/>
  <c r="AZ284" i="32" s="1"/>
  <c r="AZ285" i="32" s="1"/>
  <c r="AZ286" i="32"/>
  <c r="AZ287" i="32" s="1"/>
  <c r="AZ288" i="32" s="1"/>
  <c r="AZ289" i="32" s="1"/>
  <c r="AZ290" i="32" s="1"/>
  <c r="AZ291" i="32" s="1"/>
  <c r="AZ292" i="32" s="1"/>
  <c r="AZ293" i="32" s="1"/>
  <c r="AZ294" i="32" s="1"/>
  <c r="AZ295" i="32" s="1"/>
  <c r="AZ296" i="32" s="1"/>
  <c r="AZ297" i="32" s="1"/>
  <c r="AZ298" i="32" s="1"/>
  <c r="AZ299" i="32" s="1"/>
  <c r="AZ300" i="32" s="1"/>
  <c r="AZ301" i="32" s="1"/>
  <c r="AZ302" i="32"/>
  <c r="AZ303" i="32"/>
  <c r="AZ304" i="32"/>
  <c r="AZ305" i="32"/>
  <c r="AZ306" i="32" s="1"/>
  <c r="AZ307" i="32" s="1"/>
  <c r="AZ308" i="32" s="1"/>
  <c r="AZ309" i="32"/>
  <c r="AZ310" i="32" s="1"/>
  <c r="AZ311" i="32" s="1"/>
  <c r="AZ312" i="32" s="1"/>
  <c r="AZ2" i="32"/>
  <c r="AX3" i="32"/>
  <c r="AY3" i="32"/>
  <c r="AX4" i="32"/>
  <c r="AX5" i="32" s="1"/>
  <c r="AY4" i="32"/>
  <c r="AY5" i="32" s="1"/>
  <c r="AX6" i="32"/>
  <c r="AX7" i="32" s="1"/>
  <c r="AY6" i="32"/>
  <c r="AY7" i="32" s="1"/>
  <c r="AX8" i="32"/>
  <c r="AX9" i="32" s="1"/>
  <c r="AY8" i="32"/>
  <c r="AY9" i="32" s="1"/>
  <c r="AX10" i="32"/>
  <c r="AY10" i="32"/>
  <c r="AX11" i="32"/>
  <c r="AY11" i="32"/>
  <c r="AX12" i="32"/>
  <c r="AY12" i="32"/>
  <c r="AX13" i="32"/>
  <c r="AX14" i="32" s="1"/>
  <c r="AY13" i="32"/>
  <c r="AY14" i="32" s="1"/>
  <c r="AX15" i="32"/>
  <c r="AX16" i="32" s="1"/>
  <c r="AY15" i="32"/>
  <c r="AY16" i="32" s="1"/>
  <c r="AX17" i="32"/>
  <c r="AX18" i="32" s="1"/>
  <c r="AY17" i="32"/>
  <c r="AY18" i="32" s="1"/>
  <c r="AX19" i="32"/>
  <c r="AY19" i="32"/>
  <c r="AX20" i="32"/>
  <c r="AY20" i="32"/>
  <c r="AX21" i="32"/>
  <c r="AY21" i="32"/>
  <c r="AX22" i="32"/>
  <c r="AY22" i="32"/>
  <c r="AX23" i="32"/>
  <c r="AY23" i="32"/>
  <c r="AX24" i="32"/>
  <c r="AY24" i="32"/>
  <c r="AX25" i="32"/>
  <c r="AX26" i="32" s="1"/>
  <c r="AY25" i="32"/>
  <c r="AY26" i="32" s="1"/>
  <c r="AX27" i="32"/>
  <c r="AX28" i="32" s="1"/>
  <c r="AY27" i="32"/>
  <c r="AY28" i="32" s="1"/>
  <c r="AX29" i="32"/>
  <c r="AX30" i="32" s="1"/>
  <c r="AY29" i="32"/>
  <c r="AY30" i="32" s="1"/>
  <c r="AX31" i="32"/>
  <c r="AX32" i="32" s="1"/>
  <c r="AY31" i="32"/>
  <c r="AY32" i="32" s="1"/>
  <c r="AX33" i="32"/>
  <c r="AX34" i="32" s="1"/>
  <c r="AY33" i="32"/>
  <c r="AY34" i="32"/>
  <c r="AX35" i="32"/>
  <c r="AX36" i="32" s="1"/>
  <c r="AY35" i="32"/>
  <c r="AY36" i="32"/>
  <c r="AX37" i="32"/>
  <c r="AX38" i="32" s="1"/>
  <c r="AY37" i="32"/>
  <c r="AY38" i="32"/>
  <c r="AX39" i="32"/>
  <c r="AX40" i="32" s="1"/>
  <c r="AY39" i="32"/>
  <c r="AY40" i="32" s="1"/>
  <c r="AX41" i="32"/>
  <c r="AX42" i="32" s="1"/>
  <c r="AY41" i="32"/>
  <c r="AY42" i="32" s="1"/>
  <c r="AX43" i="32"/>
  <c r="AX44" i="32" s="1"/>
  <c r="AY43" i="32"/>
  <c r="AY44" i="32" s="1"/>
  <c r="AX45" i="32"/>
  <c r="AY45" i="32"/>
  <c r="AX46" i="32"/>
  <c r="AY46" i="32"/>
  <c r="AX47" i="32"/>
  <c r="AY47" i="32"/>
  <c r="AX48" i="32"/>
  <c r="AY48" i="32"/>
  <c r="AX49" i="32"/>
  <c r="AX50" i="32" s="1"/>
  <c r="AY49" i="32"/>
  <c r="AY50" i="32" s="1"/>
  <c r="AX51" i="32"/>
  <c r="AX52" i="32" s="1"/>
  <c r="AY51" i="32"/>
  <c r="AY52" i="32" s="1"/>
  <c r="AX53" i="32"/>
  <c r="AX54" i="32" s="1"/>
  <c r="AY53" i="32"/>
  <c r="AY54" i="32" s="1"/>
  <c r="AX55" i="32"/>
  <c r="AY55" i="32"/>
  <c r="AX56" i="32"/>
  <c r="AY56" i="32"/>
  <c r="AX57" i="32"/>
  <c r="AY57" i="32"/>
  <c r="AX58" i="32"/>
  <c r="AY58" i="32"/>
  <c r="AX59" i="32"/>
  <c r="AY59" i="32"/>
  <c r="AX60" i="32"/>
  <c r="AY60" i="32"/>
  <c r="AX61" i="32"/>
  <c r="AY61" i="32"/>
  <c r="AX62" i="32"/>
  <c r="AY62" i="32"/>
  <c r="AX63" i="32"/>
  <c r="AY63" i="32"/>
  <c r="AX64" i="32"/>
  <c r="AY64" i="32"/>
  <c r="AX65" i="32"/>
  <c r="AX66" i="32" s="1"/>
  <c r="AX67" i="32" s="1"/>
  <c r="AX68" i="32" s="1"/>
  <c r="AX69" i="32" s="1"/>
  <c r="AY65" i="32"/>
  <c r="AY66" i="32" s="1"/>
  <c r="AY67" i="32" s="1"/>
  <c r="AY68" i="32" s="1"/>
  <c r="AY69" i="32" s="1"/>
  <c r="AX70" i="32"/>
  <c r="AX71" i="32" s="1"/>
  <c r="AX72" i="32" s="1"/>
  <c r="AX73" i="32" s="1"/>
  <c r="AX74" i="32" s="1"/>
  <c r="AY70" i="32"/>
  <c r="AY71" i="32" s="1"/>
  <c r="AY72" i="32" s="1"/>
  <c r="AY73" i="32" s="1"/>
  <c r="AY74" i="32" s="1"/>
  <c r="AX75" i="32"/>
  <c r="AX76" i="32" s="1"/>
  <c r="AX77" i="32" s="1"/>
  <c r="AX78" i="32" s="1"/>
  <c r="AX79" i="32" s="1"/>
  <c r="AY75" i="32"/>
  <c r="AY76" i="32" s="1"/>
  <c r="AY77" i="32" s="1"/>
  <c r="AY78" i="32" s="1"/>
  <c r="AY79" i="32" s="1"/>
  <c r="AX80" i="32"/>
  <c r="AX81" i="32" s="1"/>
  <c r="AY80" i="32"/>
  <c r="AY81" i="32" s="1"/>
  <c r="AX82" i="32"/>
  <c r="AX83" i="32" s="1"/>
  <c r="AY82" i="32"/>
  <c r="AY83" i="32" s="1"/>
  <c r="AX84" i="32"/>
  <c r="AX85" i="32" s="1"/>
  <c r="AY84" i="32"/>
  <c r="AY85" i="32" s="1"/>
  <c r="AX86" i="32"/>
  <c r="AX87" i="32" s="1"/>
  <c r="AY86" i="32"/>
  <c r="AY87" i="32" s="1"/>
  <c r="AX88" i="32"/>
  <c r="AX89" i="32" s="1"/>
  <c r="AY88" i="32"/>
  <c r="AY89" i="32" s="1"/>
  <c r="AX90" i="32"/>
  <c r="AY90" i="32"/>
  <c r="AX91" i="32"/>
  <c r="AY91" i="32"/>
  <c r="AX92" i="32"/>
  <c r="AY92" i="32"/>
  <c r="AX93" i="32"/>
  <c r="AX94" i="32" s="1"/>
  <c r="AY93" i="32"/>
  <c r="AY94" i="32" s="1"/>
  <c r="AX95" i="32"/>
  <c r="AX96" i="32" s="1"/>
  <c r="AY95" i="32"/>
  <c r="AY96" i="32" s="1"/>
  <c r="AX97" i="32"/>
  <c r="AY97" i="32"/>
  <c r="AX98" i="32"/>
  <c r="AY98" i="32"/>
  <c r="AX99" i="32"/>
  <c r="AY99" i="32"/>
  <c r="AX100" i="32"/>
  <c r="AY100" i="32"/>
  <c r="AX101" i="32"/>
  <c r="AY101" i="32"/>
  <c r="AX102" i="32"/>
  <c r="AY102" i="32"/>
  <c r="AX103" i="32"/>
  <c r="AY103" i="32"/>
  <c r="AX104" i="32"/>
  <c r="AY104" i="32"/>
  <c r="AX105" i="32"/>
  <c r="AY105" i="32"/>
  <c r="AX106" i="32"/>
  <c r="AY106" i="32"/>
  <c r="AX107" i="32"/>
  <c r="AY107" i="32"/>
  <c r="AX108" i="32"/>
  <c r="AY108" i="32"/>
  <c r="AX109" i="32"/>
  <c r="AY109" i="32"/>
  <c r="AX110" i="32"/>
  <c r="AX111" i="32" s="1"/>
  <c r="AX112" i="32" s="1"/>
  <c r="AY110" i="32"/>
  <c r="AY111" i="32" s="1"/>
  <c r="AY112" i="32" s="1"/>
  <c r="AX113" i="32"/>
  <c r="AX114" i="32" s="1"/>
  <c r="AX115" i="32" s="1"/>
  <c r="AY113" i="32"/>
  <c r="AY114" i="32" s="1"/>
  <c r="AY115" i="32" s="1"/>
  <c r="AX116" i="32"/>
  <c r="AX117" i="32" s="1"/>
  <c r="AX118" i="32" s="1"/>
  <c r="AY116" i="32"/>
  <c r="AY117" i="32" s="1"/>
  <c r="AY118" i="32" s="1"/>
  <c r="AX119" i="32"/>
  <c r="AX120" i="32" s="1"/>
  <c r="AX121" i="32" s="1"/>
  <c r="AY119" i="32"/>
  <c r="AY120" i="32" s="1"/>
  <c r="AY121" i="32" s="1"/>
  <c r="AX122" i="32"/>
  <c r="AX123" i="32" s="1"/>
  <c r="AX124" i="32" s="1"/>
  <c r="AY122" i="32"/>
  <c r="AY123" i="32" s="1"/>
  <c r="AY124" i="32" s="1"/>
  <c r="AX125" i="32"/>
  <c r="AX126" i="32" s="1"/>
  <c r="AX127" i="32" s="1"/>
  <c r="AY125" i="32"/>
  <c r="AY126" i="32" s="1"/>
  <c r="AY127" i="32" s="1"/>
  <c r="AX128" i="32"/>
  <c r="AX129" i="32" s="1"/>
  <c r="AX130" i="32" s="1"/>
  <c r="AY128" i="32"/>
  <c r="AY129" i="32" s="1"/>
  <c r="AY130" i="32" s="1"/>
  <c r="AX131" i="32"/>
  <c r="AX132" i="32" s="1"/>
  <c r="AX133" i="32" s="1"/>
  <c r="AY131" i="32"/>
  <c r="AY132" i="32" s="1"/>
  <c r="AY133" i="32" s="1"/>
  <c r="AX134" i="32"/>
  <c r="AX135" i="32" s="1"/>
  <c r="AY134" i="32"/>
  <c r="AY135" i="32" s="1"/>
  <c r="AX136" i="32"/>
  <c r="AX137" i="32" s="1"/>
  <c r="AY136" i="32"/>
  <c r="AY137" i="32" s="1"/>
  <c r="AX138" i="32"/>
  <c r="AX139" i="32" s="1"/>
  <c r="AY138" i="32"/>
  <c r="AY139" i="32" s="1"/>
  <c r="AX140" i="32"/>
  <c r="AX141" i="32" s="1"/>
  <c r="AY140" i="32"/>
  <c r="AY141" i="32" s="1"/>
  <c r="AX142" i="32"/>
  <c r="AY142" i="32"/>
  <c r="AX143" i="32"/>
  <c r="AY143" i="32"/>
  <c r="AX145" i="32"/>
  <c r="AY145" i="32"/>
  <c r="AX147" i="32"/>
  <c r="AY147" i="32"/>
  <c r="AX149" i="32"/>
  <c r="AY149" i="32"/>
  <c r="AX151" i="32"/>
  <c r="AY151" i="32"/>
  <c r="AX153" i="32"/>
  <c r="AY153" i="32"/>
  <c r="AX155" i="32"/>
  <c r="AY155" i="32"/>
  <c r="AX157" i="32"/>
  <c r="AY157" i="32"/>
  <c r="AX159" i="32"/>
  <c r="AY159" i="32"/>
  <c r="AX161" i="32"/>
  <c r="AY161" i="32"/>
  <c r="AX163" i="32"/>
  <c r="AY163" i="32"/>
  <c r="AX164" i="32"/>
  <c r="AY164" i="32"/>
  <c r="AX165" i="32"/>
  <c r="AY165" i="32"/>
  <c r="AX166" i="32"/>
  <c r="AX167" i="32" s="1"/>
  <c r="AX168" i="32" s="1"/>
  <c r="AX169" i="32" s="1"/>
  <c r="AX170" i="32" s="1"/>
  <c r="AY166" i="32"/>
  <c r="AY167" i="32" s="1"/>
  <c r="AY168" i="32" s="1"/>
  <c r="AY169" i="32" s="1"/>
  <c r="AY170" i="32" s="1"/>
  <c r="AX171" i="32"/>
  <c r="AX172" i="32" s="1"/>
  <c r="AX173" i="32" s="1"/>
  <c r="AX174" i="32" s="1"/>
  <c r="AX175" i="32" s="1"/>
  <c r="AY171" i="32"/>
  <c r="AY172" i="32" s="1"/>
  <c r="AY173" i="32" s="1"/>
  <c r="AY174" i="32" s="1"/>
  <c r="AY175" i="32" s="1"/>
  <c r="AX176" i="32"/>
  <c r="AX177" i="32" s="1"/>
  <c r="AX178" i="32" s="1"/>
  <c r="AX179" i="32" s="1"/>
  <c r="AX180" i="32" s="1"/>
  <c r="AY176" i="32"/>
  <c r="AY177" i="32" s="1"/>
  <c r="AY178" i="32" s="1"/>
  <c r="AY179" i="32" s="1"/>
  <c r="AY180" i="32" s="1"/>
  <c r="AX181" i="32"/>
  <c r="AX182" i="32" s="1"/>
  <c r="AX183" i="32" s="1"/>
  <c r="AX184" i="32" s="1"/>
  <c r="AX185" i="32" s="1"/>
  <c r="AY181" i="32"/>
  <c r="AY182" i="32" s="1"/>
  <c r="AY183" i="32" s="1"/>
  <c r="AY184" i="32" s="1"/>
  <c r="AY185" i="32" s="1"/>
  <c r="AX186" i="32"/>
  <c r="AY186" i="32"/>
  <c r="AX187" i="32"/>
  <c r="AY187" i="32"/>
  <c r="AX188" i="32"/>
  <c r="AY188" i="32"/>
  <c r="AX189" i="32"/>
  <c r="AY189" i="32"/>
  <c r="AX190" i="32"/>
  <c r="AY190" i="32"/>
  <c r="AX191" i="32"/>
  <c r="AY191" i="32"/>
  <c r="AX192" i="32"/>
  <c r="AY192" i="32"/>
  <c r="AX193" i="32"/>
  <c r="AY193" i="32"/>
  <c r="AX194" i="32"/>
  <c r="AY194" i="32"/>
  <c r="AX195" i="32"/>
  <c r="AY195" i="32"/>
  <c r="AX196" i="32"/>
  <c r="AY196" i="32"/>
  <c r="AX197" i="32"/>
  <c r="AY197" i="32"/>
  <c r="AX198" i="32"/>
  <c r="AY198" i="32"/>
  <c r="AX199" i="32"/>
  <c r="AX200" i="32" s="1"/>
  <c r="AX201" i="32" s="1"/>
  <c r="AY199" i="32"/>
  <c r="AY200" i="32" s="1"/>
  <c r="AY201" i="32" s="1"/>
  <c r="AX202" i="32"/>
  <c r="AX203" i="32" s="1"/>
  <c r="AX204" i="32" s="1"/>
  <c r="AY202" i="32"/>
  <c r="AY203" i="32" s="1"/>
  <c r="AY204" i="32" s="1"/>
  <c r="AX205" i="32"/>
  <c r="AY205" i="32"/>
  <c r="AX206" i="32"/>
  <c r="AY206" i="32"/>
  <c r="AX207" i="32"/>
  <c r="AY207" i="32"/>
  <c r="AX208" i="32"/>
  <c r="AY208" i="32"/>
  <c r="AX209" i="32"/>
  <c r="AY209" i="32"/>
  <c r="AX210" i="32"/>
  <c r="AY210" i="32"/>
  <c r="AX211" i="32"/>
  <c r="AY211" i="32"/>
  <c r="AX212" i="32"/>
  <c r="AY212" i="32"/>
  <c r="AX213" i="32"/>
  <c r="AY213" i="32"/>
  <c r="AX214" i="32"/>
  <c r="AY214" i="32"/>
  <c r="AX215" i="32"/>
  <c r="AY215" i="32"/>
  <c r="AX216" i="32"/>
  <c r="AY216" i="32"/>
  <c r="AX217" i="32"/>
  <c r="AY217" i="32"/>
  <c r="AX218" i="32"/>
  <c r="AY218" i="32"/>
  <c r="AX219" i="32"/>
  <c r="AY219" i="32"/>
  <c r="AX220" i="32"/>
  <c r="AX221" i="32" s="1"/>
  <c r="AX222" i="32" s="1"/>
  <c r="AX223" i="32" s="1"/>
  <c r="AY220" i="32"/>
  <c r="AY221" i="32" s="1"/>
  <c r="AY222" i="32" s="1"/>
  <c r="AY223" i="32" s="1"/>
  <c r="AX224" i="32"/>
  <c r="AX225" i="32" s="1"/>
  <c r="AX226" i="32" s="1"/>
  <c r="AX227" i="32" s="1"/>
  <c r="AY224" i="32"/>
  <c r="AY225" i="32" s="1"/>
  <c r="AY226" i="32" s="1"/>
  <c r="AY227" i="32" s="1"/>
  <c r="AX228" i="32"/>
  <c r="AX229" i="32" s="1"/>
  <c r="AX230" i="32" s="1"/>
  <c r="AX231" i="32" s="1"/>
  <c r="AY228" i="32"/>
  <c r="AY229" i="32" s="1"/>
  <c r="AY230" i="32" s="1"/>
  <c r="AY231" i="32" s="1"/>
  <c r="AX232" i="32"/>
  <c r="AY232" i="32"/>
  <c r="AX233" i="32"/>
  <c r="AY233" i="32"/>
  <c r="AX234" i="32"/>
  <c r="AY234" i="32"/>
  <c r="AX235" i="32"/>
  <c r="AY235" i="32"/>
  <c r="AX236" i="32"/>
  <c r="AY236" i="32"/>
  <c r="AX237" i="32"/>
  <c r="AY237" i="32"/>
  <c r="AX238" i="32"/>
  <c r="AY238" i="32"/>
  <c r="AX239" i="32"/>
  <c r="AY239" i="32"/>
  <c r="AX240" i="32"/>
  <c r="AY240" i="32"/>
  <c r="AX241" i="32"/>
  <c r="AY241" i="32"/>
  <c r="AX242" i="32"/>
  <c r="AY242" i="32"/>
  <c r="AX243" i="32"/>
  <c r="AY243" i="32"/>
  <c r="AX244" i="32"/>
  <c r="AY244" i="32"/>
  <c r="AX245" i="32"/>
  <c r="AY245" i="32"/>
  <c r="AX246" i="32"/>
  <c r="AY246" i="32"/>
  <c r="AX247" i="32"/>
  <c r="AY247" i="32"/>
  <c r="AX248" i="32"/>
  <c r="AY248" i="32"/>
  <c r="AX249" i="32"/>
  <c r="AY249" i="32"/>
  <c r="AX250" i="32"/>
  <c r="AY250" i="32"/>
  <c r="AX251" i="32"/>
  <c r="AY251" i="32"/>
  <c r="AX252" i="32"/>
  <c r="AY252" i="32"/>
  <c r="AX253" i="32"/>
  <c r="AY253" i="32"/>
  <c r="AX254" i="32"/>
  <c r="AY254" i="32"/>
  <c r="AX255" i="32"/>
  <c r="AY255" i="32"/>
  <c r="AX256" i="32"/>
  <c r="AY256" i="32"/>
  <c r="AX257" i="32"/>
  <c r="AY257" i="32"/>
  <c r="AX258" i="32"/>
  <c r="AY258" i="32"/>
  <c r="AX259" i="32"/>
  <c r="AY259" i="32"/>
  <c r="AX260" i="32"/>
  <c r="AY260" i="32"/>
  <c r="AX261" i="32"/>
  <c r="AY261" i="32"/>
  <c r="AX262" i="32"/>
  <c r="AY262" i="32"/>
  <c r="AX263" i="32"/>
  <c r="AY263" i="32"/>
  <c r="AX264" i="32"/>
  <c r="AY264" i="32"/>
  <c r="AX265" i="32"/>
  <c r="AY265" i="32"/>
  <c r="AX266" i="32"/>
  <c r="AY266" i="32"/>
  <c r="AX267" i="32"/>
  <c r="AY267" i="32"/>
  <c r="AX268" i="32"/>
  <c r="AY268" i="32"/>
  <c r="AX269" i="32"/>
  <c r="AY269" i="32"/>
  <c r="AX270" i="32"/>
  <c r="AX271" i="32" s="1"/>
  <c r="AX272" i="32" s="1"/>
  <c r="AX273" i="32" s="1"/>
  <c r="AX274" i="32" s="1"/>
  <c r="AX275" i="32" s="1"/>
  <c r="AX276" i="32" s="1"/>
  <c r="AX277" i="32" s="1"/>
  <c r="AX278" i="32" s="1"/>
  <c r="AX279" i="32" s="1"/>
  <c r="AX280" i="32" s="1"/>
  <c r="AX281" i="32" s="1"/>
  <c r="AX282" i="32" s="1"/>
  <c r="AX283" i="32" s="1"/>
  <c r="AX284" i="32" s="1"/>
  <c r="AX285" i="32" s="1"/>
  <c r="AY270" i="32"/>
  <c r="AY271" i="32" s="1"/>
  <c r="AY272" i="32" s="1"/>
  <c r="AY273" i="32" s="1"/>
  <c r="AY274" i="32" s="1"/>
  <c r="AY275" i="32" s="1"/>
  <c r="AY276" i="32" s="1"/>
  <c r="AY277" i="32" s="1"/>
  <c r="AY278" i="32" s="1"/>
  <c r="AY279" i="32" s="1"/>
  <c r="AY280" i="32" s="1"/>
  <c r="AY281" i="32" s="1"/>
  <c r="AY282" i="32" s="1"/>
  <c r="AY283" i="32" s="1"/>
  <c r="AY284" i="32" s="1"/>
  <c r="AY285" i="32" s="1"/>
  <c r="AX286" i="32"/>
  <c r="AX287" i="32" s="1"/>
  <c r="AX288" i="32" s="1"/>
  <c r="AX289" i="32" s="1"/>
  <c r="AX290" i="32" s="1"/>
  <c r="AX291" i="32" s="1"/>
  <c r="AX292" i="32" s="1"/>
  <c r="AX293" i="32" s="1"/>
  <c r="AX294" i="32" s="1"/>
  <c r="AX295" i="32" s="1"/>
  <c r="AX296" i="32" s="1"/>
  <c r="AX297" i="32" s="1"/>
  <c r="AX298" i="32" s="1"/>
  <c r="AX299" i="32" s="1"/>
  <c r="AX300" i="32" s="1"/>
  <c r="AX301" i="32" s="1"/>
  <c r="AY286" i="32"/>
  <c r="AY287" i="32" s="1"/>
  <c r="AY288" i="32" s="1"/>
  <c r="AY289" i="32" s="1"/>
  <c r="AY290" i="32" s="1"/>
  <c r="AY291" i="32" s="1"/>
  <c r="AY292" i="32" s="1"/>
  <c r="AY293" i="32" s="1"/>
  <c r="AY294" i="32" s="1"/>
  <c r="AY295" i="32" s="1"/>
  <c r="AY296" i="32" s="1"/>
  <c r="AY297" i="32" s="1"/>
  <c r="AY298" i="32" s="1"/>
  <c r="AY299" i="32" s="1"/>
  <c r="AY300" i="32" s="1"/>
  <c r="AY301" i="32" s="1"/>
  <c r="AX302" i="32"/>
  <c r="AY302" i="32"/>
  <c r="AX303" i="32"/>
  <c r="AX304" i="32"/>
  <c r="AX305" i="32"/>
  <c r="AX306" i="32" s="1"/>
  <c r="AX307" i="32" s="1"/>
  <c r="AX308" i="32" s="1"/>
  <c r="AY305" i="32"/>
  <c r="AY306" i="32" s="1"/>
  <c r="AY307" i="32" s="1"/>
  <c r="AY308" i="32" s="1"/>
  <c r="AX309" i="32"/>
  <c r="AX310" i="32" s="1"/>
  <c r="AX311" i="32" s="1"/>
  <c r="AX312" i="32" s="1"/>
  <c r="AY309" i="32"/>
  <c r="AY310" i="32" s="1"/>
  <c r="AY311" i="32" s="1"/>
  <c r="AY312" i="32" s="1"/>
  <c r="AY2" i="32"/>
  <c r="AX2" i="32"/>
  <c r="AS3" i="32"/>
  <c r="AT3" i="32"/>
  <c r="AU3" i="32"/>
  <c r="AS4" i="32"/>
  <c r="AS5" i="32" s="1"/>
  <c r="AT4" i="32"/>
  <c r="AT5" i="32" s="1"/>
  <c r="AU4" i="32"/>
  <c r="AU5" i="32" s="1"/>
  <c r="AS6" i="32"/>
  <c r="AS7" i="32" s="1"/>
  <c r="AT6" i="32"/>
  <c r="AT7" i="32" s="1"/>
  <c r="AU6" i="32"/>
  <c r="AU7" i="32" s="1"/>
  <c r="AS8" i="32"/>
  <c r="AS9" i="32" s="1"/>
  <c r="AT8" i="32"/>
  <c r="AT9" i="32" s="1"/>
  <c r="AU8" i="32"/>
  <c r="AU9" i="32" s="1"/>
  <c r="AV8" i="32"/>
  <c r="AV9" i="32" s="1"/>
  <c r="AS10" i="32"/>
  <c r="AT10" i="32"/>
  <c r="AU10" i="32"/>
  <c r="AS11" i="32"/>
  <c r="AT11" i="32"/>
  <c r="AU11" i="32"/>
  <c r="AS12" i="32"/>
  <c r="AT12" i="32"/>
  <c r="AU12" i="32"/>
  <c r="AV12" i="32"/>
  <c r="AS13" i="32"/>
  <c r="AS14" i="32" s="1"/>
  <c r="AT13" i="32"/>
  <c r="AT14" i="32" s="1"/>
  <c r="AU13" i="32"/>
  <c r="AU14" i="32" s="1"/>
  <c r="AV13" i="32"/>
  <c r="AV14" i="32" s="1"/>
  <c r="AS15" i="32"/>
  <c r="AS16" i="32" s="1"/>
  <c r="AT15" i="32"/>
  <c r="AT16" i="32" s="1"/>
  <c r="AU15" i="32"/>
  <c r="AU16" i="32" s="1"/>
  <c r="AV15" i="32"/>
  <c r="AV16" i="32" s="1"/>
  <c r="AS17" i="32"/>
  <c r="AS18" i="32" s="1"/>
  <c r="AT17" i="32"/>
  <c r="AT18" i="32" s="1"/>
  <c r="AU17" i="32"/>
  <c r="AU18" i="32" s="1"/>
  <c r="AV17" i="32"/>
  <c r="AV18" i="32" s="1"/>
  <c r="AS19" i="32"/>
  <c r="AT19" i="32"/>
  <c r="AU19" i="32"/>
  <c r="AS20" i="32"/>
  <c r="AT20" i="32"/>
  <c r="AU20" i="32"/>
  <c r="AS21" i="32"/>
  <c r="AT21" i="32"/>
  <c r="AU21" i="32"/>
  <c r="AS22" i="32"/>
  <c r="AT22" i="32"/>
  <c r="AU22" i="32"/>
  <c r="AS23" i="32"/>
  <c r="AT23" i="32"/>
  <c r="AU23" i="32"/>
  <c r="AS24" i="32"/>
  <c r="AT24" i="32"/>
  <c r="AU24" i="32"/>
  <c r="AS25" i="32"/>
  <c r="AS26" i="32" s="1"/>
  <c r="AT25" i="32"/>
  <c r="AT26" i="32" s="1"/>
  <c r="AU25" i="32"/>
  <c r="AU26" i="32" s="1"/>
  <c r="AV25" i="32"/>
  <c r="AV26" i="32" s="1"/>
  <c r="AS27" i="32"/>
  <c r="AS28" i="32" s="1"/>
  <c r="AT27" i="32"/>
  <c r="AT28" i="32" s="1"/>
  <c r="AU27" i="32"/>
  <c r="AU28" i="32" s="1"/>
  <c r="AV27" i="32"/>
  <c r="AV28" i="32" s="1"/>
  <c r="AS29" i="32"/>
  <c r="AS30" i="32" s="1"/>
  <c r="AT29" i="32"/>
  <c r="AT30" i="32" s="1"/>
  <c r="AU29" i="32"/>
  <c r="AU30" i="32" s="1"/>
  <c r="AV29" i="32"/>
  <c r="AV30" i="32" s="1"/>
  <c r="AS31" i="32"/>
  <c r="AS32" i="32" s="1"/>
  <c r="AT31" i="32"/>
  <c r="AT32" i="32" s="1"/>
  <c r="AU31" i="32"/>
  <c r="AU32" i="32" s="1"/>
  <c r="AV31" i="32"/>
  <c r="AV32" i="32" s="1"/>
  <c r="AS33" i="32"/>
  <c r="AT33" i="32"/>
  <c r="AU33" i="32"/>
  <c r="AS34" i="32"/>
  <c r="AT34" i="32"/>
  <c r="AU34" i="32"/>
  <c r="AV34" i="32"/>
  <c r="AS35" i="32"/>
  <c r="AT35" i="32"/>
  <c r="AU35" i="32"/>
  <c r="AS36" i="32"/>
  <c r="AT36" i="32"/>
  <c r="AU36" i="32"/>
  <c r="AV36" i="32"/>
  <c r="AS37" i="32"/>
  <c r="AT37" i="32"/>
  <c r="AU37" i="32"/>
  <c r="AS38" i="32"/>
  <c r="AT38" i="32"/>
  <c r="AU38" i="32"/>
  <c r="AV38" i="32"/>
  <c r="AS39" i="32"/>
  <c r="AS40" i="32" s="1"/>
  <c r="AT39" i="32"/>
  <c r="AT40" i="32" s="1"/>
  <c r="AU39" i="32"/>
  <c r="AU40" i="32" s="1"/>
  <c r="AS41" i="32"/>
  <c r="AS42" i="32" s="1"/>
  <c r="AT41" i="32"/>
  <c r="AT42" i="32" s="1"/>
  <c r="AU41" i="32"/>
  <c r="AU42" i="32" s="1"/>
  <c r="AS43" i="32"/>
  <c r="AS44" i="32" s="1"/>
  <c r="AT43" i="32"/>
  <c r="AT44" i="32" s="1"/>
  <c r="AU43" i="32"/>
  <c r="AU44" i="32" s="1"/>
  <c r="AV43" i="32"/>
  <c r="AV44" i="32" s="1"/>
  <c r="AS45" i="32"/>
  <c r="AT45" i="32"/>
  <c r="AU45" i="32"/>
  <c r="AS46" i="32"/>
  <c r="AT46" i="32"/>
  <c r="AU46" i="32"/>
  <c r="AV46" i="32"/>
  <c r="AS47" i="32"/>
  <c r="AT47" i="32"/>
  <c r="AU47" i="32"/>
  <c r="AV47" i="32"/>
  <c r="AS48" i="32"/>
  <c r="AT48" i="32"/>
  <c r="AU48" i="32"/>
  <c r="AV48" i="32"/>
  <c r="AS49" i="32"/>
  <c r="AS50" i="32" s="1"/>
  <c r="AT49" i="32"/>
  <c r="AT50" i="32" s="1"/>
  <c r="AU49" i="32"/>
  <c r="AU50" i="32" s="1"/>
  <c r="AS51" i="32"/>
  <c r="AS52" i="32" s="1"/>
  <c r="AT51" i="32"/>
  <c r="AT52" i="32" s="1"/>
  <c r="AU51" i="32"/>
  <c r="AU52" i="32" s="1"/>
  <c r="AS53" i="32"/>
  <c r="AS54" i="32" s="1"/>
  <c r="AT53" i="32"/>
  <c r="AT54" i="32" s="1"/>
  <c r="AU53" i="32"/>
  <c r="AU54" i="32" s="1"/>
  <c r="AV53" i="32"/>
  <c r="AV54" i="32" s="1"/>
  <c r="AS55" i="32"/>
  <c r="AT55" i="32"/>
  <c r="AU55" i="32"/>
  <c r="AS56" i="32"/>
  <c r="AT56" i="32"/>
  <c r="AU56" i="32"/>
  <c r="AV56" i="32"/>
  <c r="AS57" i="32"/>
  <c r="AT57" i="32"/>
  <c r="AU57" i="32"/>
  <c r="AS58" i="32"/>
  <c r="AT58" i="32"/>
  <c r="AU58" i="32"/>
  <c r="AS59" i="32"/>
  <c r="AT59" i="32"/>
  <c r="AU59" i="32"/>
  <c r="AS60" i="32"/>
  <c r="AT60" i="32"/>
  <c r="AU60" i="32"/>
  <c r="AS61" i="32"/>
  <c r="AT61" i="32"/>
  <c r="AU61" i="32"/>
  <c r="AV61" i="32"/>
  <c r="AS62" i="32"/>
  <c r="AT62" i="32"/>
  <c r="AU62" i="32"/>
  <c r="AV62" i="32"/>
  <c r="AS63" i="32"/>
  <c r="AT63" i="32"/>
  <c r="AU63" i="32"/>
  <c r="AV63" i="32"/>
  <c r="AS64" i="32"/>
  <c r="AT64" i="32"/>
  <c r="AU64" i="32"/>
  <c r="AV64" i="32"/>
  <c r="AS65" i="32"/>
  <c r="AS66" i="32" s="1"/>
  <c r="AS67" i="32" s="1"/>
  <c r="AS68" i="32" s="1"/>
  <c r="AS69" i="32" s="1"/>
  <c r="AT65" i="32"/>
  <c r="AT66" i="32" s="1"/>
  <c r="AT67" i="32" s="1"/>
  <c r="AT68" i="32" s="1"/>
  <c r="AT69" i="32" s="1"/>
  <c r="AU65" i="32"/>
  <c r="AU66" i="32" s="1"/>
  <c r="AU67" i="32" s="1"/>
  <c r="AU68" i="32" s="1"/>
  <c r="AU69" i="32" s="1"/>
  <c r="AS70" i="32"/>
  <c r="AS71" i="32" s="1"/>
  <c r="AS72" i="32" s="1"/>
  <c r="AS73" i="32" s="1"/>
  <c r="AS74" i="32" s="1"/>
  <c r="AT70" i="32"/>
  <c r="AT71" i="32" s="1"/>
  <c r="AT72" i="32" s="1"/>
  <c r="AT73" i="32" s="1"/>
  <c r="AT74" i="32" s="1"/>
  <c r="AU70" i="32"/>
  <c r="AU71" i="32" s="1"/>
  <c r="AU72" i="32" s="1"/>
  <c r="AU73" i="32" s="1"/>
  <c r="AU74" i="32" s="1"/>
  <c r="AS75" i="32"/>
  <c r="AS76" i="32" s="1"/>
  <c r="AS77" i="32" s="1"/>
  <c r="AS78" i="32" s="1"/>
  <c r="AS79" i="32" s="1"/>
  <c r="AT75" i="32"/>
  <c r="AT76" i="32" s="1"/>
  <c r="AT77" i="32" s="1"/>
  <c r="AT78" i="32" s="1"/>
  <c r="AT79" i="32" s="1"/>
  <c r="AU75" i="32"/>
  <c r="AU76" i="32" s="1"/>
  <c r="AU77" i="32" s="1"/>
  <c r="AU78" i="32" s="1"/>
  <c r="AU79" i="32" s="1"/>
  <c r="AV75" i="32"/>
  <c r="AV76" i="32" s="1"/>
  <c r="AV77" i="32" s="1"/>
  <c r="AV78" i="32" s="1"/>
  <c r="AV79" i="32" s="1"/>
  <c r="AS80" i="32"/>
  <c r="AS81" i="32" s="1"/>
  <c r="AT80" i="32"/>
  <c r="AT81" i="32" s="1"/>
  <c r="AU80" i="32"/>
  <c r="AU81" i="32" s="1"/>
  <c r="AS82" i="32"/>
  <c r="AS83" i="32" s="1"/>
  <c r="AT82" i="32"/>
  <c r="AT83" i="32" s="1"/>
  <c r="AU82" i="32"/>
  <c r="AU83" i="32" s="1"/>
  <c r="AS84" i="32"/>
  <c r="AS85" i="32" s="1"/>
  <c r="AT84" i="32"/>
  <c r="AT85" i="32" s="1"/>
  <c r="AU84" i="32"/>
  <c r="AU85" i="32" s="1"/>
  <c r="AS86" i="32"/>
  <c r="AS87" i="32" s="1"/>
  <c r="AT86" i="32"/>
  <c r="AT87" i="32" s="1"/>
  <c r="AU86" i="32"/>
  <c r="AU87" i="32" s="1"/>
  <c r="AS88" i="32"/>
  <c r="AS89" i="32" s="1"/>
  <c r="AT88" i="32"/>
  <c r="AT89" i="32" s="1"/>
  <c r="AU88" i="32"/>
  <c r="AU89" i="32" s="1"/>
  <c r="AS90" i="32"/>
  <c r="AT90" i="32"/>
  <c r="AU90" i="32"/>
  <c r="AS91" i="32"/>
  <c r="AT91" i="32"/>
  <c r="AU91" i="32"/>
  <c r="AS92" i="32"/>
  <c r="AT92" i="32"/>
  <c r="AU92" i="32"/>
  <c r="AV92" i="32"/>
  <c r="AS93" i="32"/>
  <c r="AS94" i="32" s="1"/>
  <c r="AT93" i="32"/>
  <c r="AT94" i="32" s="1"/>
  <c r="AU93" i="32"/>
  <c r="AU94" i="32" s="1"/>
  <c r="AS95" i="32"/>
  <c r="AS96" i="32" s="1"/>
  <c r="AT95" i="32"/>
  <c r="AT96" i="32" s="1"/>
  <c r="AU95" i="32"/>
  <c r="AU96" i="32" s="1"/>
  <c r="AV95" i="32"/>
  <c r="AV96" i="32" s="1"/>
  <c r="AS97" i="32"/>
  <c r="AT97" i="32"/>
  <c r="AU97" i="32"/>
  <c r="AS98" i="32"/>
  <c r="AT98" i="32"/>
  <c r="AU98" i="32"/>
  <c r="AS99" i="32"/>
  <c r="AT99" i="32"/>
  <c r="AU99" i="32"/>
  <c r="AV99" i="32"/>
  <c r="AS100" i="32"/>
  <c r="AT100" i="32"/>
  <c r="AU100" i="32"/>
  <c r="AS101" i="32"/>
  <c r="AT101" i="32"/>
  <c r="AU101" i="32"/>
  <c r="AV101" i="32"/>
  <c r="AS102" i="32"/>
  <c r="AT102" i="32"/>
  <c r="AU102" i="32"/>
  <c r="AS103" i="32"/>
  <c r="AT103" i="32"/>
  <c r="AU103" i="32"/>
  <c r="AV103" i="32"/>
  <c r="AS104" i="32"/>
  <c r="AT104" i="32"/>
  <c r="AU104" i="32"/>
  <c r="AS105" i="32"/>
  <c r="AT105" i="32"/>
  <c r="AU105" i="32"/>
  <c r="AV105" i="32"/>
  <c r="AS106" i="32"/>
  <c r="AT106" i="32"/>
  <c r="AU106" i="32"/>
  <c r="AS107" i="32"/>
  <c r="AT107" i="32"/>
  <c r="AU107" i="32"/>
  <c r="AV107" i="32"/>
  <c r="AS108" i="32"/>
  <c r="AT108" i="32"/>
  <c r="AU108" i="32"/>
  <c r="AS109" i="32"/>
  <c r="AT109" i="32"/>
  <c r="AU109" i="32"/>
  <c r="AV109" i="32"/>
  <c r="AS110" i="32"/>
  <c r="AS111" i="32" s="1"/>
  <c r="AS112" i="32" s="1"/>
  <c r="AT110" i="32"/>
  <c r="AT111" i="32" s="1"/>
  <c r="AT112" i="32" s="1"/>
  <c r="AU110" i="32"/>
  <c r="AU111" i="32" s="1"/>
  <c r="AU112" i="32" s="1"/>
  <c r="AV110" i="32"/>
  <c r="AV111" i="32" s="1"/>
  <c r="AV112" i="32" s="1"/>
  <c r="AS113" i="32"/>
  <c r="AS114" i="32" s="1"/>
  <c r="AS115" i="32" s="1"/>
  <c r="AT113" i="32"/>
  <c r="AT114" i="32" s="1"/>
  <c r="AT115" i="32" s="1"/>
  <c r="AU113" i="32"/>
  <c r="AU114" i="32" s="1"/>
  <c r="AU115" i="32" s="1"/>
  <c r="AV113" i="32"/>
  <c r="AV114" i="32" s="1"/>
  <c r="AV115" i="32" s="1"/>
  <c r="AS116" i="32"/>
  <c r="AS117" i="32" s="1"/>
  <c r="AS118" i="32" s="1"/>
  <c r="AT116" i="32"/>
  <c r="AT117" i="32" s="1"/>
  <c r="AT118" i="32" s="1"/>
  <c r="AU116" i="32"/>
  <c r="AU117" i="32" s="1"/>
  <c r="AU118" i="32" s="1"/>
  <c r="AV116" i="32"/>
  <c r="AV117" i="32" s="1"/>
  <c r="AV118" i="32" s="1"/>
  <c r="AS119" i="32"/>
  <c r="AS120" i="32" s="1"/>
  <c r="AS121" i="32" s="1"/>
  <c r="AT119" i="32"/>
  <c r="AT120" i="32" s="1"/>
  <c r="AT121" i="32" s="1"/>
  <c r="AU119" i="32"/>
  <c r="AU120" i="32" s="1"/>
  <c r="AU121" i="32" s="1"/>
  <c r="AV119" i="32"/>
  <c r="AV120" i="32" s="1"/>
  <c r="AV121" i="32" s="1"/>
  <c r="AS122" i="32"/>
  <c r="AS123" i="32" s="1"/>
  <c r="AS124" i="32" s="1"/>
  <c r="AT122" i="32"/>
  <c r="AT123" i="32" s="1"/>
  <c r="AT124" i="32" s="1"/>
  <c r="AU122" i="32"/>
  <c r="AU123" i="32" s="1"/>
  <c r="AU124" i="32" s="1"/>
  <c r="AV122" i="32"/>
  <c r="AV123" i="32" s="1"/>
  <c r="AV124" i="32" s="1"/>
  <c r="AS125" i="32"/>
  <c r="AS126" i="32" s="1"/>
  <c r="AS127" i="32" s="1"/>
  <c r="AT125" i="32"/>
  <c r="AT126" i="32" s="1"/>
  <c r="AT127" i="32" s="1"/>
  <c r="AU125" i="32"/>
  <c r="AU126" i="32" s="1"/>
  <c r="AU127" i="32" s="1"/>
  <c r="AV125" i="32"/>
  <c r="AV126" i="32" s="1"/>
  <c r="AV127" i="32" s="1"/>
  <c r="AS128" i="32"/>
  <c r="AS129" i="32" s="1"/>
  <c r="AS130" i="32" s="1"/>
  <c r="AT128" i="32"/>
  <c r="AT129" i="32" s="1"/>
  <c r="AT130" i="32" s="1"/>
  <c r="AU128" i="32"/>
  <c r="AU129" i="32" s="1"/>
  <c r="AU130" i="32" s="1"/>
  <c r="AV128" i="32"/>
  <c r="AV129" i="32" s="1"/>
  <c r="AV130" i="32" s="1"/>
  <c r="AS131" i="32"/>
  <c r="AS132" i="32" s="1"/>
  <c r="AS133" i="32" s="1"/>
  <c r="AT131" i="32"/>
  <c r="AT132" i="32" s="1"/>
  <c r="AT133" i="32" s="1"/>
  <c r="AU131" i="32"/>
  <c r="AU132" i="32" s="1"/>
  <c r="AU133" i="32" s="1"/>
  <c r="AV131" i="32"/>
  <c r="AV132" i="32" s="1"/>
  <c r="AV133" i="32" s="1"/>
  <c r="AS134" i="32"/>
  <c r="AS135" i="32" s="1"/>
  <c r="AT134" i="32"/>
  <c r="AT135" i="32" s="1"/>
  <c r="AU134" i="32"/>
  <c r="AU135" i="32" s="1"/>
  <c r="AV134" i="32"/>
  <c r="AV135" i="32" s="1"/>
  <c r="AS136" i="32"/>
  <c r="AS137" i="32" s="1"/>
  <c r="AT136" i="32"/>
  <c r="AT137" i="32" s="1"/>
  <c r="AU136" i="32"/>
  <c r="AU137" i="32" s="1"/>
  <c r="AV136" i="32"/>
  <c r="AV137" i="32" s="1"/>
  <c r="AS138" i="32"/>
  <c r="AS139" i="32" s="1"/>
  <c r="AT138" i="32"/>
  <c r="AT139" i="32" s="1"/>
  <c r="AU138" i="32"/>
  <c r="AU139" i="32" s="1"/>
  <c r="AV138" i="32"/>
  <c r="AV139" i="32" s="1"/>
  <c r="AS140" i="32"/>
  <c r="AS141" i="32" s="1"/>
  <c r="AT140" i="32"/>
  <c r="AT141" i="32" s="1"/>
  <c r="AU140" i="32"/>
  <c r="AU141" i="32" s="1"/>
  <c r="AV140" i="32"/>
  <c r="AV141" i="32" s="1"/>
  <c r="AS142" i="32"/>
  <c r="AT142" i="32"/>
  <c r="AU142" i="32"/>
  <c r="AS143" i="32"/>
  <c r="AT143" i="32"/>
  <c r="AU143" i="32"/>
  <c r="AV143" i="32"/>
  <c r="AS144" i="32"/>
  <c r="AT144" i="32"/>
  <c r="AU144" i="32"/>
  <c r="AS145" i="32"/>
  <c r="AT145" i="32"/>
  <c r="AU145" i="32"/>
  <c r="AV145" i="32"/>
  <c r="AS146" i="32"/>
  <c r="AT146" i="32"/>
  <c r="AU146" i="32"/>
  <c r="AS147" i="32"/>
  <c r="AT147" i="32"/>
  <c r="AU147" i="32"/>
  <c r="AV147" i="32"/>
  <c r="AS148" i="32"/>
  <c r="AT148" i="32"/>
  <c r="AU148" i="32"/>
  <c r="AS149" i="32"/>
  <c r="AT149" i="32"/>
  <c r="AU149" i="32"/>
  <c r="AV149" i="32"/>
  <c r="AS150" i="32"/>
  <c r="AT150" i="32"/>
  <c r="AU150" i="32"/>
  <c r="AS151" i="32"/>
  <c r="AT151" i="32"/>
  <c r="AU151" i="32"/>
  <c r="AV151" i="32"/>
  <c r="AS152" i="32"/>
  <c r="AT152" i="32"/>
  <c r="AU152" i="32"/>
  <c r="AS153" i="32"/>
  <c r="AT153" i="32"/>
  <c r="AU153" i="32"/>
  <c r="AV153" i="32"/>
  <c r="AS154" i="32"/>
  <c r="AT154" i="32"/>
  <c r="AU154" i="32"/>
  <c r="AS155" i="32"/>
  <c r="AT155" i="32"/>
  <c r="AU155" i="32"/>
  <c r="AV155" i="32"/>
  <c r="AS156" i="32"/>
  <c r="AT156" i="32"/>
  <c r="AU156" i="32"/>
  <c r="AS157" i="32"/>
  <c r="AT157" i="32"/>
  <c r="AU157" i="32"/>
  <c r="AV157" i="32"/>
  <c r="AS158" i="32"/>
  <c r="AT158" i="32"/>
  <c r="AU158" i="32"/>
  <c r="AS159" i="32"/>
  <c r="AT159" i="32"/>
  <c r="AU159" i="32"/>
  <c r="AV159" i="32"/>
  <c r="AS160" i="32"/>
  <c r="AT160" i="32"/>
  <c r="AU160" i="32"/>
  <c r="AS161" i="32"/>
  <c r="AT161" i="32"/>
  <c r="AU161" i="32"/>
  <c r="AV161" i="32"/>
  <c r="AS162" i="32"/>
  <c r="AT162" i="32"/>
  <c r="AU162" i="32"/>
  <c r="AS163" i="32"/>
  <c r="AT163" i="32"/>
  <c r="AU163" i="32"/>
  <c r="AV163" i="32"/>
  <c r="AS164" i="32"/>
  <c r="AT164" i="32"/>
  <c r="AU164" i="32"/>
  <c r="AV164" i="32"/>
  <c r="AS165" i="32"/>
  <c r="AT165" i="32"/>
  <c r="AU165" i="32"/>
  <c r="AV165" i="32"/>
  <c r="AS166" i="32"/>
  <c r="AS167" i="32" s="1"/>
  <c r="AS168" i="32" s="1"/>
  <c r="AS169" i="32" s="1"/>
  <c r="AS170" i="32" s="1"/>
  <c r="AT166" i="32"/>
  <c r="AT167" i="32" s="1"/>
  <c r="AT168" i="32" s="1"/>
  <c r="AT169" i="32" s="1"/>
  <c r="AT170" i="32" s="1"/>
  <c r="AU166" i="32"/>
  <c r="AU167" i="32" s="1"/>
  <c r="AU168" i="32" s="1"/>
  <c r="AU169" i="32" s="1"/>
  <c r="AU170" i="32" s="1"/>
  <c r="AV166" i="32"/>
  <c r="AV167" i="32" s="1"/>
  <c r="AV168" i="32" s="1"/>
  <c r="AV169" i="32" s="1"/>
  <c r="AV170" i="32" s="1"/>
  <c r="AS171" i="32"/>
  <c r="AS172" i="32" s="1"/>
  <c r="AS173" i="32" s="1"/>
  <c r="AS174" i="32" s="1"/>
  <c r="AS175" i="32" s="1"/>
  <c r="AT171" i="32"/>
  <c r="AT172" i="32" s="1"/>
  <c r="AT173" i="32" s="1"/>
  <c r="AT174" i="32" s="1"/>
  <c r="AT175" i="32" s="1"/>
  <c r="AU171" i="32"/>
  <c r="AU172" i="32" s="1"/>
  <c r="AU173" i="32" s="1"/>
  <c r="AU174" i="32" s="1"/>
  <c r="AU175" i="32" s="1"/>
  <c r="AV171" i="32"/>
  <c r="AV172" i="32" s="1"/>
  <c r="AV173" i="32" s="1"/>
  <c r="AV174" i="32" s="1"/>
  <c r="AV175" i="32" s="1"/>
  <c r="AS176" i="32"/>
  <c r="AS177" i="32" s="1"/>
  <c r="AS178" i="32" s="1"/>
  <c r="AS179" i="32" s="1"/>
  <c r="AS180" i="32" s="1"/>
  <c r="AT176" i="32"/>
  <c r="AT177" i="32" s="1"/>
  <c r="AT178" i="32" s="1"/>
  <c r="AT179" i="32" s="1"/>
  <c r="AT180" i="32" s="1"/>
  <c r="AU176" i="32"/>
  <c r="AU177" i="32" s="1"/>
  <c r="AU178" i="32" s="1"/>
  <c r="AU179" i="32" s="1"/>
  <c r="AU180" i="32" s="1"/>
  <c r="AV176" i="32"/>
  <c r="AV177" i="32" s="1"/>
  <c r="AV178" i="32" s="1"/>
  <c r="AV179" i="32" s="1"/>
  <c r="AV180" i="32" s="1"/>
  <c r="AS181" i="32"/>
  <c r="AS182" i="32" s="1"/>
  <c r="AS183" i="32" s="1"/>
  <c r="AS184" i="32" s="1"/>
  <c r="AS185" i="32" s="1"/>
  <c r="AT181" i="32"/>
  <c r="AT182" i="32" s="1"/>
  <c r="AT183" i="32" s="1"/>
  <c r="AT184" i="32" s="1"/>
  <c r="AT185" i="32" s="1"/>
  <c r="AU181" i="32"/>
  <c r="AU182" i="32" s="1"/>
  <c r="AU183" i="32" s="1"/>
  <c r="AU184" i="32" s="1"/>
  <c r="AU185" i="32" s="1"/>
  <c r="AV181" i="32"/>
  <c r="AV182" i="32" s="1"/>
  <c r="AV183" i="32" s="1"/>
  <c r="AV184" i="32" s="1"/>
  <c r="AV185" i="32" s="1"/>
  <c r="AS186" i="32"/>
  <c r="AT186" i="32"/>
  <c r="AU186" i="32"/>
  <c r="AV186" i="32"/>
  <c r="AS187" i="32"/>
  <c r="AT187" i="32"/>
  <c r="AU187" i="32"/>
  <c r="AV187" i="32"/>
  <c r="AS188" i="32"/>
  <c r="AT188" i="32"/>
  <c r="AU188" i="32"/>
  <c r="AV188" i="32"/>
  <c r="AS189" i="32"/>
  <c r="AT189" i="32"/>
  <c r="AU189" i="32"/>
  <c r="AV189" i="32"/>
  <c r="AS190" i="32"/>
  <c r="AT190" i="32"/>
  <c r="AU190" i="32"/>
  <c r="AV190" i="32"/>
  <c r="AS191" i="32"/>
  <c r="AT191" i="32"/>
  <c r="AU191" i="32"/>
  <c r="AV191" i="32"/>
  <c r="AS192" i="32"/>
  <c r="AT192" i="32"/>
  <c r="AU192" i="32"/>
  <c r="AV192" i="32"/>
  <c r="AS193" i="32"/>
  <c r="AT193" i="32"/>
  <c r="AU193" i="32"/>
  <c r="AV193" i="32"/>
  <c r="AS194" i="32"/>
  <c r="AT194" i="32"/>
  <c r="AU194" i="32"/>
  <c r="AV194" i="32"/>
  <c r="AS195" i="32"/>
  <c r="AT195" i="32"/>
  <c r="AU195" i="32"/>
  <c r="AV195" i="32"/>
  <c r="AS196" i="32"/>
  <c r="AT196" i="32"/>
  <c r="AU196" i="32"/>
  <c r="AV196" i="32"/>
  <c r="AS197" i="32"/>
  <c r="AT197" i="32"/>
  <c r="AU197" i="32"/>
  <c r="AV197" i="32"/>
  <c r="AS198" i="32"/>
  <c r="AT198" i="32"/>
  <c r="AU198" i="32"/>
  <c r="AV198" i="32"/>
  <c r="AS199" i="32"/>
  <c r="AS200" i="32" s="1"/>
  <c r="AS201" i="32" s="1"/>
  <c r="AS202" i="32" s="1"/>
  <c r="AS203" i="32" s="1"/>
  <c r="AS204" i="32" s="1"/>
  <c r="AT199" i="32"/>
  <c r="AT200" i="32" s="1"/>
  <c r="AT201" i="32" s="1"/>
  <c r="AU199" i="32"/>
  <c r="AU200" i="32" s="1"/>
  <c r="AU201" i="32" s="1"/>
  <c r="AV199" i="32"/>
  <c r="AV200" i="32" s="1"/>
  <c r="AV201" i="32" s="1"/>
  <c r="AT202" i="32"/>
  <c r="AT203" i="32" s="1"/>
  <c r="AT204" i="32" s="1"/>
  <c r="AU202" i="32"/>
  <c r="AU203" i="32" s="1"/>
  <c r="AU204" i="32" s="1"/>
  <c r="AV202" i="32"/>
  <c r="AV203" i="32" s="1"/>
  <c r="AV204" i="32" s="1"/>
  <c r="AS205" i="32"/>
  <c r="AT205" i="32"/>
  <c r="AU205" i="32"/>
  <c r="AS206" i="32"/>
  <c r="AT206" i="32"/>
  <c r="AU206" i="32"/>
  <c r="AS207" i="32"/>
  <c r="AT207" i="32"/>
  <c r="AU207" i="32"/>
  <c r="AS208" i="32"/>
  <c r="AT208" i="32"/>
  <c r="AU208" i="32"/>
  <c r="AS209" i="32"/>
  <c r="AT209" i="32"/>
  <c r="AU209" i="32"/>
  <c r="AS210" i="32"/>
  <c r="AT210" i="32"/>
  <c r="AU210" i="32"/>
  <c r="AS211" i="32"/>
  <c r="AT211" i="32"/>
  <c r="AU211" i="32"/>
  <c r="AS212" i="32"/>
  <c r="AT212" i="32"/>
  <c r="AU212" i="32"/>
  <c r="AS213" i="32"/>
  <c r="AT213" i="32"/>
  <c r="AU213" i="32"/>
  <c r="AS214" i="32"/>
  <c r="AT214" i="32"/>
  <c r="AU214" i="32"/>
  <c r="AS215" i="32"/>
  <c r="AT215" i="32"/>
  <c r="AU215" i="32"/>
  <c r="AS216" i="32"/>
  <c r="AT216" i="32"/>
  <c r="AU216" i="32"/>
  <c r="AS217" i="32"/>
  <c r="AT217" i="32"/>
  <c r="AU217" i="32"/>
  <c r="AS218" i="32"/>
  <c r="AT218" i="32"/>
  <c r="AU218" i="32"/>
  <c r="AS219" i="32"/>
  <c r="AT219" i="32"/>
  <c r="AU219" i="32"/>
  <c r="AS220" i="32"/>
  <c r="AS221" i="32" s="1"/>
  <c r="AS222" i="32" s="1"/>
  <c r="AS223" i="32" s="1"/>
  <c r="AT220" i="32"/>
  <c r="AT221" i="32" s="1"/>
  <c r="AT222" i="32" s="1"/>
  <c r="AT223" i="32" s="1"/>
  <c r="AU220" i="32"/>
  <c r="AU221" i="32" s="1"/>
  <c r="AU222" i="32" s="1"/>
  <c r="AU223" i="32" s="1"/>
  <c r="AS224" i="32"/>
  <c r="AS225" i="32" s="1"/>
  <c r="AS226" i="32" s="1"/>
  <c r="AS227" i="32" s="1"/>
  <c r="AT224" i="32"/>
  <c r="AT225" i="32" s="1"/>
  <c r="AT226" i="32" s="1"/>
  <c r="AT227" i="32" s="1"/>
  <c r="AU224" i="32"/>
  <c r="AU225" i="32" s="1"/>
  <c r="AU226" i="32" s="1"/>
  <c r="AU227" i="32" s="1"/>
  <c r="AS228" i="32"/>
  <c r="AS229" i="32" s="1"/>
  <c r="AS230" i="32" s="1"/>
  <c r="AS231" i="32" s="1"/>
  <c r="AT228" i="32"/>
  <c r="AT229" i="32" s="1"/>
  <c r="AT230" i="32" s="1"/>
  <c r="AT231" i="32" s="1"/>
  <c r="AU228" i="32"/>
  <c r="AU229" i="32" s="1"/>
  <c r="AU230" i="32" s="1"/>
  <c r="AU231" i="32" s="1"/>
  <c r="AS232" i="32"/>
  <c r="AT232" i="32"/>
  <c r="AU232" i="32"/>
  <c r="AS233" i="32"/>
  <c r="AT233" i="32"/>
  <c r="AU233" i="32"/>
  <c r="AS234" i="32"/>
  <c r="AT234" i="32"/>
  <c r="AU234" i="32"/>
  <c r="AS235" i="32"/>
  <c r="AT235" i="32"/>
  <c r="AU235" i="32"/>
  <c r="AS236" i="32"/>
  <c r="AT236" i="32"/>
  <c r="AU236" i="32"/>
  <c r="AS237" i="32"/>
  <c r="AT237" i="32"/>
  <c r="AU237" i="32"/>
  <c r="AS238" i="32"/>
  <c r="AT238" i="32"/>
  <c r="AU238" i="32"/>
  <c r="AS239" i="32"/>
  <c r="AT239" i="32"/>
  <c r="AU239" i="32"/>
  <c r="AS240" i="32"/>
  <c r="AT240" i="32"/>
  <c r="AU240" i="32"/>
  <c r="AS241" i="32"/>
  <c r="AT241" i="32"/>
  <c r="AU241" i="32"/>
  <c r="AS242" i="32"/>
  <c r="AT242" i="32"/>
  <c r="AU242" i="32"/>
  <c r="AS243" i="32"/>
  <c r="AT243" i="32"/>
  <c r="AU243" i="32"/>
  <c r="AV243" i="32"/>
  <c r="AS244" i="32"/>
  <c r="AT244" i="32"/>
  <c r="AU244" i="32"/>
  <c r="AV244" i="32"/>
  <c r="AS245" i="32"/>
  <c r="AT245" i="32"/>
  <c r="AU245" i="32"/>
  <c r="AV245" i="32"/>
  <c r="AS246" i="32"/>
  <c r="AT246" i="32"/>
  <c r="AU246" i="32"/>
  <c r="AV246" i="32"/>
  <c r="AS247" i="32"/>
  <c r="AT247" i="32"/>
  <c r="AU247" i="32"/>
  <c r="AV247" i="32"/>
  <c r="AS248" i="32"/>
  <c r="AT248" i="32"/>
  <c r="AU248" i="32"/>
  <c r="AS249" i="32"/>
  <c r="AT249" i="32"/>
  <c r="AU249" i="32"/>
  <c r="AS250" i="32"/>
  <c r="AT250" i="32"/>
  <c r="AU250" i="32"/>
  <c r="AS251" i="32"/>
  <c r="AT251" i="32"/>
  <c r="AU251" i="32"/>
  <c r="AS252" i="32"/>
  <c r="AT252" i="32"/>
  <c r="AU252" i="32"/>
  <c r="AS253" i="32"/>
  <c r="AT253" i="32"/>
  <c r="AU253" i="32"/>
  <c r="AS254" i="32"/>
  <c r="AT254" i="32"/>
  <c r="AU254" i="32"/>
  <c r="AV254" i="32"/>
  <c r="AS255" i="32"/>
  <c r="AT255" i="32"/>
  <c r="AU255" i="32"/>
  <c r="AV255" i="32"/>
  <c r="AS256" i="32"/>
  <c r="AT256" i="32"/>
  <c r="AU256" i="32"/>
  <c r="AV256" i="32"/>
  <c r="AS257" i="32"/>
  <c r="AT257" i="32"/>
  <c r="AU257" i="32"/>
  <c r="AS258" i="32"/>
  <c r="AT258" i="32"/>
  <c r="AU258" i="32"/>
  <c r="AV258" i="32"/>
  <c r="AS259" i="32"/>
  <c r="AT259" i="32"/>
  <c r="AU259" i="32"/>
  <c r="AS260" i="32"/>
  <c r="AT260" i="32"/>
  <c r="AU260" i="32"/>
  <c r="AS261" i="32"/>
  <c r="AT261" i="32"/>
  <c r="AU261" i="32"/>
  <c r="AS262" i="32"/>
  <c r="AT262" i="32"/>
  <c r="AU262" i="32"/>
  <c r="AV262" i="32"/>
  <c r="AS263" i="32"/>
  <c r="AT263" i="32"/>
  <c r="AU263" i="32"/>
  <c r="AV263" i="32"/>
  <c r="AS264" i="32"/>
  <c r="AT264" i="32"/>
  <c r="AU264" i="32"/>
  <c r="AS265" i="32"/>
  <c r="AT265" i="32"/>
  <c r="AU265" i="32"/>
  <c r="AS266" i="32"/>
  <c r="AT266" i="32"/>
  <c r="AU266" i="32"/>
  <c r="AS267" i="32"/>
  <c r="AT267" i="32"/>
  <c r="AU267" i="32"/>
  <c r="AS268" i="32"/>
  <c r="AT268" i="32"/>
  <c r="AU268" i="32"/>
  <c r="AS269" i="32"/>
  <c r="AT269" i="32"/>
  <c r="AU269" i="32"/>
  <c r="AS270" i="32"/>
  <c r="AS271" i="32" s="1"/>
  <c r="AS272" i="32" s="1"/>
  <c r="AS273" i="32" s="1"/>
  <c r="AS274" i="32" s="1"/>
  <c r="AS275" i="32" s="1"/>
  <c r="AS276" i="32" s="1"/>
  <c r="AS277" i="32" s="1"/>
  <c r="AS278" i="32" s="1"/>
  <c r="AS279" i="32" s="1"/>
  <c r="AS280" i="32" s="1"/>
  <c r="AS281" i="32" s="1"/>
  <c r="AS282" i="32" s="1"/>
  <c r="AS283" i="32" s="1"/>
  <c r="AS284" i="32" s="1"/>
  <c r="AS285" i="32" s="1"/>
  <c r="AT270" i="32"/>
  <c r="AT271" i="32" s="1"/>
  <c r="AT272" i="32" s="1"/>
  <c r="AT273" i="32" s="1"/>
  <c r="AT274" i="32" s="1"/>
  <c r="AT275" i="32" s="1"/>
  <c r="AT276" i="32" s="1"/>
  <c r="AT277" i="32" s="1"/>
  <c r="AT278" i="32" s="1"/>
  <c r="AT279" i="32" s="1"/>
  <c r="AT280" i="32" s="1"/>
  <c r="AT281" i="32" s="1"/>
  <c r="AT282" i="32" s="1"/>
  <c r="AT283" i="32" s="1"/>
  <c r="AT284" i="32" s="1"/>
  <c r="AT285" i="32" s="1"/>
  <c r="AU270" i="32"/>
  <c r="AU271" i="32" s="1"/>
  <c r="AU272" i="32" s="1"/>
  <c r="AU273" i="32" s="1"/>
  <c r="AU274" i="32" s="1"/>
  <c r="AU275" i="32" s="1"/>
  <c r="AU276" i="32" s="1"/>
  <c r="AU277" i="32" s="1"/>
  <c r="AU278" i="32" s="1"/>
  <c r="AU279" i="32" s="1"/>
  <c r="AU280" i="32" s="1"/>
  <c r="AU281" i="32" s="1"/>
  <c r="AU282" i="32" s="1"/>
  <c r="AU283" i="32" s="1"/>
  <c r="AU284" i="32" s="1"/>
  <c r="AU285" i="32" s="1"/>
  <c r="AS286" i="32"/>
  <c r="AS287" i="32" s="1"/>
  <c r="AS288" i="32" s="1"/>
  <c r="AS289" i="32" s="1"/>
  <c r="AS290" i="32" s="1"/>
  <c r="AS291" i="32" s="1"/>
  <c r="AS292" i="32" s="1"/>
  <c r="AS293" i="32" s="1"/>
  <c r="AS294" i="32" s="1"/>
  <c r="AS295" i="32" s="1"/>
  <c r="AS296" i="32" s="1"/>
  <c r="AS297" i="32" s="1"/>
  <c r="AS298" i="32" s="1"/>
  <c r="AS299" i="32" s="1"/>
  <c r="AS300" i="32" s="1"/>
  <c r="AS301" i="32" s="1"/>
  <c r="AT286" i="32"/>
  <c r="AT287" i="32" s="1"/>
  <c r="AT288" i="32" s="1"/>
  <c r="AT289" i="32" s="1"/>
  <c r="AT290" i="32" s="1"/>
  <c r="AT291" i="32" s="1"/>
  <c r="AT292" i="32" s="1"/>
  <c r="AT293" i="32" s="1"/>
  <c r="AT294" i="32" s="1"/>
  <c r="AT295" i="32" s="1"/>
  <c r="AT296" i="32" s="1"/>
  <c r="AT297" i="32" s="1"/>
  <c r="AT298" i="32" s="1"/>
  <c r="AT299" i="32" s="1"/>
  <c r="AT300" i="32" s="1"/>
  <c r="AT301" i="32" s="1"/>
  <c r="AU286" i="32"/>
  <c r="AU287" i="32" s="1"/>
  <c r="AU288" i="32" s="1"/>
  <c r="AU289" i="32" s="1"/>
  <c r="AU290" i="32" s="1"/>
  <c r="AU291" i="32" s="1"/>
  <c r="AU292" i="32" s="1"/>
  <c r="AU293" i="32" s="1"/>
  <c r="AU294" i="32" s="1"/>
  <c r="AU295" i="32" s="1"/>
  <c r="AU296" i="32" s="1"/>
  <c r="AU297" i="32" s="1"/>
  <c r="AU298" i="32" s="1"/>
  <c r="AU299" i="32" s="1"/>
  <c r="AU300" i="32" s="1"/>
  <c r="AU301" i="32" s="1"/>
  <c r="AS302" i="32"/>
  <c r="AT302" i="32"/>
  <c r="AU302" i="32"/>
  <c r="AV302" i="32"/>
  <c r="AS303" i="32"/>
  <c r="AT303" i="32"/>
  <c r="AU303" i="32"/>
  <c r="AV303" i="32"/>
  <c r="AS304" i="32"/>
  <c r="AT304" i="32"/>
  <c r="AU304" i="32"/>
  <c r="AV304" i="32"/>
  <c r="AS305" i="32"/>
  <c r="AS306" i="32" s="1"/>
  <c r="AS307" i="32" s="1"/>
  <c r="AS308" i="32" s="1"/>
  <c r="AT305" i="32"/>
  <c r="AT306" i="32" s="1"/>
  <c r="AT307" i="32" s="1"/>
  <c r="AT308" i="32" s="1"/>
  <c r="AU305" i="32"/>
  <c r="AU306" i="32" s="1"/>
  <c r="AU307" i="32" s="1"/>
  <c r="AU308" i="32" s="1"/>
  <c r="AV305" i="32"/>
  <c r="AV306" i="32" s="1"/>
  <c r="AV307" i="32" s="1"/>
  <c r="AV308" i="32" s="1"/>
  <c r="AS309" i="32"/>
  <c r="AS310" i="32" s="1"/>
  <c r="AS311" i="32" s="1"/>
  <c r="AS312" i="32" s="1"/>
  <c r="AT309" i="32"/>
  <c r="AT310" i="32" s="1"/>
  <c r="AT311" i="32" s="1"/>
  <c r="AT312" i="32" s="1"/>
  <c r="AU309" i="32"/>
  <c r="AU310" i="32" s="1"/>
  <c r="AU311" i="32" s="1"/>
  <c r="AU312" i="32" s="1"/>
  <c r="AV309" i="32"/>
  <c r="AV310" i="32" s="1"/>
  <c r="AV311" i="32" s="1"/>
  <c r="AV312" i="32" s="1"/>
  <c r="AU2" i="32"/>
  <c r="AT2" i="32"/>
  <c r="AS2" i="32"/>
  <c r="AO3" i="32"/>
  <c r="AP3" i="32"/>
  <c r="AQ3" i="32"/>
  <c r="AO4" i="32"/>
  <c r="AO5" i="32" s="1"/>
  <c r="AP4" i="32"/>
  <c r="AP5" i="32" s="1"/>
  <c r="AQ4" i="32"/>
  <c r="AQ5" i="32" s="1"/>
  <c r="AO6" i="32"/>
  <c r="AO7" i="32" s="1"/>
  <c r="AP6" i="32"/>
  <c r="AP7" i="32" s="1"/>
  <c r="AQ6" i="32"/>
  <c r="AQ7" i="32" s="1"/>
  <c r="AO8" i="32"/>
  <c r="AO9" i="32" s="1"/>
  <c r="AP8" i="32"/>
  <c r="AP9" i="32" s="1"/>
  <c r="AQ8" i="32"/>
  <c r="AQ9" i="32" s="1"/>
  <c r="AO10" i="32"/>
  <c r="AP10" i="32"/>
  <c r="AQ10" i="32"/>
  <c r="AO11" i="32"/>
  <c r="AP11" i="32"/>
  <c r="AQ11" i="32"/>
  <c r="AO12" i="32"/>
  <c r="AP12" i="32"/>
  <c r="AQ12" i="32"/>
  <c r="AO13" i="32"/>
  <c r="AO14" i="32" s="1"/>
  <c r="AP13" i="32"/>
  <c r="AP14" i="32" s="1"/>
  <c r="AQ13" i="32"/>
  <c r="AQ14" i="32" s="1"/>
  <c r="AO15" i="32"/>
  <c r="AO16" i="32" s="1"/>
  <c r="AP15" i="32"/>
  <c r="AP16" i="32" s="1"/>
  <c r="AQ15" i="32"/>
  <c r="AQ16" i="32" s="1"/>
  <c r="AO17" i="32"/>
  <c r="AO18" i="32" s="1"/>
  <c r="AP17" i="32"/>
  <c r="AP18" i="32" s="1"/>
  <c r="AQ17" i="32"/>
  <c r="AQ18" i="32" s="1"/>
  <c r="AO19" i="32"/>
  <c r="AP19" i="32"/>
  <c r="AQ19" i="32"/>
  <c r="AO20" i="32"/>
  <c r="AP20" i="32"/>
  <c r="AQ20" i="32"/>
  <c r="AO21" i="32"/>
  <c r="AP21" i="32"/>
  <c r="AQ21" i="32"/>
  <c r="AO22" i="32"/>
  <c r="AP22" i="32"/>
  <c r="AQ22" i="32"/>
  <c r="AO23" i="32"/>
  <c r="AP23" i="32"/>
  <c r="AQ23" i="32"/>
  <c r="AO24" i="32"/>
  <c r="AP24" i="32"/>
  <c r="AQ24" i="32"/>
  <c r="AO25" i="32"/>
  <c r="AO26" i="32" s="1"/>
  <c r="AP25" i="32"/>
  <c r="AP26" i="32" s="1"/>
  <c r="AQ25" i="32"/>
  <c r="AQ26" i="32" s="1"/>
  <c r="AO27" i="32"/>
  <c r="AO28" i="32" s="1"/>
  <c r="AP27" i="32"/>
  <c r="AP28" i="32" s="1"/>
  <c r="AQ27" i="32"/>
  <c r="AQ28" i="32" s="1"/>
  <c r="AO29" i="32"/>
  <c r="AO30" i="32" s="1"/>
  <c r="AP29" i="32"/>
  <c r="AP30" i="32" s="1"/>
  <c r="AQ29" i="32"/>
  <c r="AQ30" i="32" s="1"/>
  <c r="AO31" i="32"/>
  <c r="AO32" i="32" s="1"/>
  <c r="AP31" i="32"/>
  <c r="AP32" i="32" s="1"/>
  <c r="AQ31" i="32"/>
  <c r="AQ32" i="32" s="1"/>
  <c r="AO33" i="32"/>
  <c r="AP33" i="32"/>
  <c r="AQ33" i="32"/>
  <c r="AO34" i="32"/>
  <c r="AP34" i="32"/>
  <c r="AQ34" i="32"/>
  <c r="AO35" i="32"/>
  <c r="AP35" i="32"/>
  <c r="AQ35" i="32"/>
  <c r="AO36" i="32"/>
  <c r="AP36" i="32"/>
  <c r="AQ36" i="32"/>
  <c r="AO37" i="32"/>
  <c r="AP37" i="32"/>
  <c r="AQ37" i="32"/>
  <c r="AO38" i="32"/>
  <c r="AP38" i="32"/>
  <c r="AQ38" i="32"/>
  <c r="AO39" i="32"/>
  <c r="AO40" i="32" s="1"/>
  <c r="AP39" i="32"/>
  <c r="AP40" i="32" s="1"/>
  <c r="AQ39" i="32"/>
  <c r="AQ40" i="32" s="1"/>
  <c r="AO41" i="32"/>
  <c r="AO42" i="32" s="1"/>
  <c r="AP41" i="32"/>
  <c r="AP42" i="32" s="1"/>
  <c r="AQ41" i="32"/>
  <c r="AQ42" i="32" s="1"/>
  <c r="AO43" i="32"/>
  <c r="AO44" i="32" s="1"/>
  <c r="AP43" i="32"/>
  <c r="AP44" i="32" s="1"/>
  <c r="AQ43" i="32"/>
  <c r="AQ44" i="32" s="1"/>
  <c r="AO45" i="32"/>
  <c r="AP45" i="32"/>
  <c r="AQ45" i="32"/>
  <c r="AO46" i="32"/>
  <c r="AP46" i="32"/>
  <c r="AQ46" i="32"/>
  <c r="AO47" i="32"/>
  <c r="AP47" i="32"/>
  <c r="AQ47" i="32"/>
  <c r="AO48" i="32"/>
  <c r="AP48" i="32"/>
  <c r="AQ48" i="32"/>
  <c r="AO49" i="32"/>
  <c r="AO50" i="32" s="1"/>
  <c r="AP49" i="32"/>
  <c r="AP50" i="32" s="1"/>
  <c r="AQ49" i="32"/>
  <c r="AQ50" i="32" s="1"/>
  <c r="AO51" i="32"/>
  <c r="AO52" i="32" s="1"/>
  <c r="AP51" i="32"/>
  <c r="AP52" i="32" s="1"/>
  <c r="AQ51" i="32"/>
  <c r="AQ52" i="32" s="1"/>
  <c r="AO53" i="32"/>
  <c r="AO54" i="32" s="1"/>
  <c r="AP53" i="32"/>
  <c r="AP54" i="32" s="1"/>
  <c r="AQ53" i="32"/>
  <c r="AQ54" i="32" s="1"/>
  <c r="AO55" i="32"/>
  <c r="AP55" i="32"/>
  <c r="AQ55" i="32"/>
  <c r="AO56" i="32"/>
  <c r="AP56" i="32"/>
  <c r="AQ56" i="32"/>
  <c r="AO57" i="32"/>
  <c r="AP57" i="32"/>
  <c r="AQ57" i="32"/>
  <c r="AO58" i="32"/>
  <c r="AP58" i="32"/>
  <c r="AQ58" i="32"/>
  <c r="AO59" i="32"/>
  <c r="AP59" i="32"/>
  <c r="AQ59" i="32"/>
  <c r="AO60" i="32"/>
  <c r="AP60" i="32"/>
  <c r="AQ60" i="32"/>
  <c r="AO61" i="32"/>
  <c r="AP61" i="32"/>
  <c r="AQ61" i="32"/>
  <c r="AO62" i="32"/>
  <c r="AP62" i="32"/>
  <c r="AQ62" i="32"/>
  <c r="AO63" i="32"/>
  <c r="AP63" i="32"/>
  <c r="AQ63" i="32"/>
  <c r="AO64" i="32"/>
  <c r="AP64" i="32"/>
  <c r="AQ64" i="32"/>
  <c r="AO65" i="32"/>
  <c r="AO66" i="32" s="1"/>
  <c r="AO67" i="32" s="1"/>
  <c r="AO68" i="32" s="1"/>
  <c r="AO69" i="32" s="1"/>
  <c r="AP65" i="32"/>
  <c r="AP66" i="32" s="1"/>
  <c r="AP67" i="32" s="1"/>
  <c r="AP68" i="32" s="1"/>
  <c r="AP69" i="32" s="1"/>
  <c r="AQ65" i="32"/>
  <c r="AQ66" i="32" s="1"/>
  <c r="AQ67" i="32" s="1"/>
  <c r="AQ68" i="32" s="1"/>
  <c r="AQ69" i="32" s="1"/>
  <c r="AO70" i="32"/>
  <c r="AO71" i="32" s="1"/>
  <c r="AO72" i="32" s="1"/>
  <c r="AO73" i="32" s="1"/>
  <c r="AO74" i="32" s="1"/>
  <c r="AP70" i="32"/>
  <c r="AP71" i="32" s="1"/>
  <c r="AP72" i="32" s="1"/>
  <c r="AP73" i="32" s="1"/>
  <c r="AP74" i="32" s="1"/>
  <c r="AQ70" i="32"/>
  <c r="AQ71" i="32" s="1"/>
  <c r="AQ72" i="32" s="1"/>
  <c r="AQ73" i="32" s="1"/>
  <c r="AQ74" i="32" s="1"/>
  <c r="AO75" i="32"/>
  <c r="AO76" i="32" s="1"/>
  <c r="AO77" i="32" s="1"/>
  <c r="AO78" i="32" s="1"/>
  <c r="AO79" i="32" s="1"/>
  <c r="AP75" i="32"/>
  <c r="AP76" i="32" s="1"/>
  <c r="AP77" i="32" s="1"/>
  <c r="AP78" i="32" s="1"/>
  <c r="AP79" i="32" s="1"/>
  <c r="AQ75" i="32"/>
  <c r="AQ76" i="32" s="1"/>
  <c r="AQ77" i="32" s="1"/>
  <c r="AQ78" i="32" s="1"/>
  <c r="AQ79" i="32" s="1"/>
  <c r="AO80" i="32"/>
  <c r="AO81" i="32" s="1"/>
  <c r="AP80" i="32"/>
  <c r="AP81" i="32" s="1"/>
  <c r="AQ80" i="32"/>
  <c r="AQ81" i="32" s="1"/>
  <c r="AO82" i="32"/>
  <c r="AO83" i="32" s="1"/>
  <c r="AP82" i="32"/>
  <c r="AP83" i="32" s="1"/>
  <c r="AQ82" i="32"/>
  <c r="AQ83" i="32" s="1"/>
  <c r="AO84" i="32"/>
  <c r="AO85" i="32" s="1"/>
  <c r="AP84" i="32"/>
  <c r="AP85" i="32" s="1"/>
  <c r="AQ84" i="32"/>
  <c r="AQ85" i="32" s="1"/>
  <c r="AO86" i="32"/>
  <c r="AO87" i="32" s="1"/>
  <c r="AP86" i="32"/>
  <c r="AP87" i="32" s="1"/>
  <c r="AQ86" i="32"/>
  <c r="AQ87" i="32" s="1"/>
  <c r="AO88" i="32"/>
  <c r="AO89" i="32" s="1"/>
  <c r="AP88" i="32"/>
  <c r="AP89" i="32" s="1"/>
  <c r="AQ88" i="32"/>
  <c r="AQ89" i="32" s="1"/>
  <c r="AO90" i="32"/>
  <c r="AP90" i="32"/>
  <c r="AQ90" i="32"/>
  <c r="AO91" i="32"/>
  <c r="AP91" i="32"/>
  <c r="AQ91" i="32"/>
  <c r="AO92" i="32"/>
  <c r="AP92" i="32"/>
  <c r="AQ92" i="32"/>
  <c r="AO93" i="32"/>
  <c r="AO94" i="32" s="1"/>
  <c r="AP93" i="32"/>
  <c r="AP94" i="32" s="1"/>
  <c r="AQ93" i="32"/>
  <c r="AQ94" i="32" s="1"/>
  <c r="AO95" i="32"/>
  <c r="AO96" i="32" s="1"/>
  <c r="AP95" i="32"/>
  <c r="AP96" i="32" s="1"/>
  <c r="AQ95" i="32"/>
  <c r="AQ96" i="32" s="1"/>
  <c r="AO97" i="32"/>
  <c r="AP97" i="32"/>
  <c r="AQ97" i="32"/>
  <c r="AO98" i="32"/>
  <c r="AP98" i="32"/>
  <c r="AQ98" i="32"/>
  <c r="AO99" i="32"/>
  <c r="AP99" i="32"/>
  <c r="AQ99" i="32"/>
  <c r="AO100" i="32"/>
  <c r="AP100" i="32"/>
  <c r="AQ100" i="32"/>
  <c r="AO101" i="32"/>
  <c r="AP101" i="32"/>
  <c r="AQ101" i="32"/>
  <c r="AO102" i="32"/>
  <c r="AP102" i="32"/>
  <c r="AQ102" i="32"/>
  <c r="AO103" i="32"/>
  <c r="AP103" i="32"/>
  <c r="AQ103" i="32"/>
  <c r="AO104" i="32"/>
  <c r="AP104" i="32"/>
  <c r="AQ104" i="32"/>
  <c r="AO105" i="32"/>
  <c r="AP105" i="32"/>
  <c r="AQ105" i="32"/>
  <c r="AO106" i="32"/>
  <c r="AP106" i="32"/>
  <c r="AQ106" i="32"/>
  <c r="AO107" i="32"/>
  <c r="AP107" i="32"/>
  <c r="AQ107" i="32"/>
  <c r="AO108" i="32"/>
  <c r="AP108" i="32"/>
  <c r="AQ108" i="32"/>
  <c r="AO109" i="32"/>
  <c r="AP109" i="32"/>
  <c r="AQ109" i="32"/>
  <c r="AO110" i="32"/>
  <c r="AO111" i="32" s="1"/>
  <c r="AO112" i="32" s="1"/>
  <c r="AP110" i="32"/>
  <c r="AP111" i="32" s="1"/>
  <c r="AP112" i="32" s="1"/>
  <c r="AQ110" i="32"/>
  <c r="AQ111" i="32" s="1"/>
  <c r="AQ112" i="32" s="1"/>
  <c r="AO113" i="32"/>
  <c r="AO114" i="32" s="1"/>
  <c r="AO115" i="32" s="1"/>
  <c r="AP113" i="32"/>
  <c r="AP114" i="32" s="1"/>
  <c r="AP115" i="32" s="1"/>
  <c r="AQ113" i="32"/>
  <c r="AQ114" i="32" s="1"/>
  <c r="AQ115" i="32" s="1"/>
  <c r="AO116" i="32"/>
  <c r="AO117" i="32" s="1"/>
  <c r="AO118" i="32" s="1"/>
  <c r="AP116" i="32"/>
  <c r="AP117" i="32" s="1"/>
  <c r="AP118" i="32" s="1"/>
  <c r="AQ116" i="32"/>
  <c r="AQ117" i="32" s="1"/>
  <c r="AQ118" i="32" s="1"/>
  <c r="AO119" i="32"/>
  <c r="AO120" i="32" s="1"/>
  <c r="AO121" i="32" s="1"/>
  <c r="AP119" i="32"/>
  <c r="AP120" i="32" s="1"/>
  <c r="AP121" i="32" s="1"/>
  <c r="AQ119" i="32"/>
  <c r="AQ120" i="32" s="1"/>
  <c r="AQ121" i="32" s="1"/>
  <c r="AO122" i="32"/>
  <c r="AO123" i="32" s="1"/>
  <c r="AO124" i="32" s="1"/>
  <c r="AP122" i="32"/>
  <c r="AP123" i="32" s="1"/>
  <c r="AP124" i="32" s="1"/>
  <c r="AQ122" i="32"/>
  <c r="AQ123" i="32" s="1"/>
  <c r="AQ124" i="32" s="1"/>
  <c r="AO125" i="32"/>
  <c r="AO126" i="32" s="1"/>
  <c r="AO127" i="32" s="1"/>
  <c r="AP125" i="32"/>
  <c r="AP126" i="32" s="1"/>
  <c r="AP127" i="32" s="1"/>
  <c r="AQ125" i="32"/>
  <c r="AQ126" i="32" s="1"/>
  <c r="AQ127" i="32" s="1"/>
  <c r="AO128" i="32"/>
  <c r="AO129" i="32" s="1"/>
  <c r="AO130" i="32" s="1"/>
  <c r="AP128" i="32"/>
  <c r="AP129" i="32" s="1"/>
  <c r="AP130" i="32" s="1"/>
  <c r="AQ128" i="32"/>
  <c r="AQ129" i="32" s="1"/>
  <c r="AQ130" i="32" s="1"/>
  <c r="AO131" i="32"/>
  <c r="AO132" i="32" s="1"/>
  <c r="AO133" i="32" s="1"/>
  <c r="AP131" i="32"/>
  <c r="AP132" i="32" s="1"/>
  <c r="AP133" i="32" s="1"/>
  <c r="AQ131" i="32"/>
  <c r="AQ132" i="32" s="1"/>
  <c r="AQ133" i="32" s="1"/>
  <c r="AO134" i="32"/>
  <c r="AO135" i="32" s="1"/>
  <c r="AP134" i="32"/>
  <c r="AP135" i="32" s="1"/>
  <c r="AQ134" i="32"/>
  <c r="AQ135" i="32" s="1"/>
  <c r="AO136" i="32"/>
  <c r="AO137" i="32" s="1"/>
  <c r="AP136" i="32"/>
  <c r="AP137" i="32" s="1"/>
  <c r="AQ136" i="32"/>
  <c r="AQ137" i="32" s="1"/>
  <c r="AO138" i="32"/>
  <c r="AO139" i="32" s="1"/>
  <c r="AP138" i="32"/>
  <c r="AP139" i="32" s="1"/>
  <c r="AQ138" i="32"/>
  <c r="AQ139" i="32" s="1"/>
  <c r="AO140" i="32"/>
  <c r="AO141" i="32" s="1"/>
  <c r="AP140" i="32"/>
  <c r="AP141" i="32" s="1"/>
  <c r="AQ140" i="32"/>
  <c r="AQ141" i="32" s="1"/>
  <c r="AO142" i="32"/>
  <c r="AP142" i="32"/>
  <c r="AQ142" i="32"/>
  <c r="AO143" i="32"/>
  <c r="AP143" i="32"/>
  <c r="AQ143" i="32"/>
  <c r="AO144" i="32"/>
  <c r="AP144" i="32"/>
  <c r="AQ144" i="32"/>
  <c r="AO145" i="32"/>
  <c r="AP145" i="32"/>
  <c r="AQ145" i="32"/>
  <c r="AO146" i="32"/>
  <c r="AP146" i="32"/>
  <c r="AQ146" i="32"/>
  <c r="AO147" i="32"/>
  <c r="AP147" i="32"/>
  <c r="AQ147" i="32"/>
  <c r="AO148" i="32"/>
  <c r="AP148" i="32"/>
  <c r="AQ148" i="32"/>
  <c r="AO149" i="32"/>
  <c r="AP149" i="32"/>
  <c r="AQ149" i="32"/>
  <c r="AO150" i="32"/>
  <c r="AP150" i="32"/>
  <c r="AQ150" i="32"/>
  <c r="AO151" i="32"/>
  <c r="AP151" i="32"/>
  <c r="AQ151" i="32"/>
  <c r="AO152" i="32"/>
  <c r="AP152" i="32"/>
  <c r="AQ152" i="32"/>
  <c r="AO153" i="32"/>
  <c r="AP153" i="32"/>
  <c r="AQ153" i="32"/>
  <c r="AO154" i="32"/>
  <c r="AP154" i="32"/>
  <c r="AQ154" i="32"/>
  <c r="AO155" i="32"/>
  <c r="AP155" i="32"/>
  <c r="AQ155" i="32"/>
  <c r="AO156" i="32"/>
  <c r="AP156" i="32"/>
  <c r="AQ156" i="32"/>
  <c r="AO157" i="32"/>
  <c r="AP157" i="32"/>
  <c r="AQ157" i="32"/>
  <c r="AO158" i="32"/>
  <c r="AP158" i="32"/>
  <c r="AQ158" i="32"/>
  <c r="AO159" i="32"/>
  <c r="AP159" i="32"/>
  <c r="AQ159" i="32"/>
  <c r="AO160" i="32"/>
  <c r="AP160" i="32"/>
  <c r="AQ160" i="32"/>
  <c r="AO161" i="32"/>
  <c r="AP161" i="32"/>
  <c r="AQ161" i="32"/>
  <c r="AO162" i="32"/>
  <c r="AP162" i="32"/>
  <c r="AQ162" i="32"/>
  <c r="AO163" i="32"/>
  <c r="AP163" i="32"/>
  <c r="AQ163" i="32"/>
  <c r="AO164" i="32"/>
  <c r="AP164" i="32"/>
  <c r="AQ164" i="32"/>
  <c r="AO165" i="32"/>
  <c r="AP165" i="32"/>
  <c r="AQ165" i="32"/>
  <c r="AO166" i="32"/>
  <c r="AO167" i="32" s="1"/>
  <c r="AO168" i="32" s="1"/>
  <c r="AO169" i="32" s="1"/>
  <c r="AO170" i="32" s="1"/>
  <c r="AP166" i="32"/>
  <c r="AP167" i="32" s="1"/>
  <c r="AP168" i="32" s="1"/>
  <c r="AP169" i="32" s="1"/>
  <c r="AP170" i="32" s="1"/>
  <c r="AQ166" i="32"/>
  <c r="AQ167" i="32" s="1"/>
  <c r="AQ168" i="32" s="1"/>
  <c r="AQ169" i="32" s="1"/>
  <c r="AQ170" i="32" s="1"/>
  <c r="AO171" i="32"/>
  <c r="AO172" i="32" s="1"/>
  <c r="AO173" i="32" s="1"/>
  <c r="AO174" i="32" s="1"/>
  <c r="AO175" i="32" s="1"/>
  <c r="AP171" i="32"/>
  <c r="AP172" i="32" s="1"/>
  <c r="AP173" i="32" s="1"/>
  <c r="AP174" i="32" s="1"/>
  <c r="AP175" i="32" s="1"/>
  <c r="AQ171" i="32"/>
  <c r="AQ172" i="32" s="1"/>
  <c r="AQ173" i="32" s="1"/>
  <c r="AQ174" i="32" s="1"/>
  <c r="AQ175" i="32" s="1"/>
  <c r="AO176" i="32"/>
  <c r="AO177" i="32" s="1"/>
  <c r="AO178" i="32" s="1"/>
  <c r="AO179" i="32" s="1"/>
  <c r="AO180" i="32" s="1"/>
  <c r="AP176" i="32"/>
  <c r="AP177" i="32" s="1"/>
  <c r="AP178" i="32" s="1"/>
  <c r="AP179" i="32" s="1"/>
  <c r="AP180" i="32" s="1"/>
  <c r="AQ176" i="32"/>
  <c r="AQ177" i="32" s="1"/>
  <c r="AQ178" i="32" s="1"/>
  <c r="AQ179" i="32" s="1"/>
  <c r="AQ180" i="32" s="1"/>
  <c r="AO181" i="32"/>
  <c r="AO182" i="32" s="1"/>
  <c r="AO183" i="32" s="1"/>
  <c r="AO184" i="32" s="1"/>
  <c r="AO185" i="32" s="1"/>
  <c r="AP181" i="32"/>
  <c r="AP182" i="32" s="1"/>
  <c r="AP183" i="32" s="1"/>
  <c r="AP184" i="32" s="1"/>
  <c r="AP185" i="32" s="1"/>
  <c r="AQ181" i="32"/>
  <c r="AQ182" i="32" s="1"/>
  <c r="AQ183" i="32" s="1"/>
  <c r="AQ184" i="32" s="1"/>
  <c r="AQ185" i="32" s="1"/>
  <c r="AO186" i="32"/>
  <c r="AP186" i="32"/>
  <c r="AQ186" i="32"/>
  <c r="AO187" i="32"/>
  <c r="AP187" i="32"/>
  <c r="AQ187" i="32"/>
  <c r="AO188" i="32"/>
  <c r="AP188" i="32"/>
  <c r="AQ188" i="32"/>
  <c r="AO189" i="32"/>
  <c r="AP189" i="32"/>
  <c r="AQ189" i="32"/>
  <c r="AO190" i="32"/>
  <c r="AP190" i="32"/>
  <c r="AQ190" i="32"/>
  <c r="AO191" i="32"/>
  <c r="AP191" i="32"/>
  <c r="AQ191" i="32"/>
  <c r="AO192" i="32"/>
  <c r="AP192" i="32"/>
  <c r="AQ192" i="32"/>
  <c r="AO193" i="32"/>
  <c r="AP193" i="32"/>
  <c r="AQ193" i="32"/>
  <c r="AO194" i="32"/>
  <c r="AP194" i="32"/>
  <c r="AQ194" i="32"/>
  <c r="AO195" i="32"/>
  <c r="AP195" i="32"/>
  <c r="AQ195" i="32"/>
  <c r="AO196" i="32"/>
  <c r="AP196" i="32"/>
  <c r="AQ196" i="32"/>
  <c r="AO197" i="32"/>
  <c r="AP197" i="32"/>
  <c r="AQ197" i="32"/>
  <c r="AO198" i="32"/>
  <c r="AP198" i="32"/>
  <c r="AQ198" i="32"/>
  <c r="AO199" i="32"/>
  <c r="AO200" i="32" s="1"/>
  <c r="AO201" i="32" s="1"/>
  <c r="AP199" i="32"/>
  <c r="AP200" i="32" s="1"/>
  <c r="AP201" i="32" s="1"/>
  <c r="AQ199" i="32"/>
  <c r="AQ200" i="32" s="1"/>
  <c r="AQ201" i="32" s="1"/>
  <c r="AO202" i="32"/>
  <c r="AO203" i="32" s="1"/>
  <c r="AO204" i="32" s="1"/>
  <c r="AP202" i="32"/>
  <c r="AP203" i="32" s="1"/>
  <c r="AP204" i="32" s="1"/>
  <c r="AQ202" i="32"/>
  <c r="AQ203" i="32" s="1"/>
  <c r="AQ204" i="32" s="1"/>
  <c r="AO205" i="32"/>
  <c r="AP205" i="32"/>
  <c r="AQ205" i="32"/>
  <c r="AO206" i="32"/>
  <c r="AP206" i="32"/>
  <c r="AQ206" i="32"/>
  <c r="AO207" i="32"/>
  <c r="AP207" i="32"/>
  <c r="AQ207" i="32"/>
  <c r="AO208" i="32"/>
  <c r="AP208" i="32"/>
  <c r="AQ208" i="32"/>
  <c r="AO209" i="32"/>
  <c r="AP209" i="32"/>
  <c r="AQ209" i="32"/>
  <c r="AO210" i="32"/>
  <c r="AP210" i="32"/>
  <c r="AQ210" i="32"/>
  <c r="AO211" i="32"/>
  <c r="AP211" i="32"/>
  <c r="AQ211" i="32"/>
  <c r="AO212" i="32"/>
  <c r="AP212" i="32"/>
  <c r="AQ212" i="32"/>
  <c r="AO213" i="32"/>
  <c r="AP213" i="32"/>
  <c r="AQ213" i="32"/>
  <c r="AO214" i="32"/>
  <c r="AP214" i="32"/>
  <c r="AQ214" i="32"/>
  <c r="AO215" i="32"/>
  <c r="AP215" i="32"/>
  <c r="AQ215" i="32"/>
  <c r="AO216" i="32"/>
  <c r="AP216" i="32"/>
  <c r="AQ216" i="32"/>
  <c r="AO217" i="32"/>
  <c r="AP217" i="32"/>
  <c r="AQ217" i="32"/>
  <c r="AO218" i="32"/>
  <c r="AP218" i="32"/>
  <c r="AQ218" i="32"/>
  <c r="AO219" i="32"/>
  <c r="AP219" i="32"/>
  <c r="AQ219" i="32"/>
  <c r="AO220" i="32"/>
  <c r="AO221" i="32" s="1"/>
  <c r="AO222" i="32" s="1"/>
  <c r="AO223" i="32" s="1"/>
  <c r="AP220" i="32"/>
  <c r="AP221" i="32" s="1"/>
  <c r="AP222" i="32" s="1"/>
  <c r="AP223" i="32" s="1"/>
  <c r="AQ220" i="32"/>
  <c r="AQ221" i="32" s="1"/>
  <c r="AQ222" i="32" s="1"/>
  <c r="AQ223" i="32" s="1"/>
  <c r="AO224" i="32"/>
  <c r="AO225" i="32" s="1"/>
  <c r="AO226" i="32" s="1"/>
  <c r="AO227" i="32" s="1"/>
  <c r="AP224" i="32"/>
  <c r="AP225" i="32" s="1"/>
  <c r="AP226" i="32" s="1"/>
  <c r="AP227" i="32" s="1"/>
  <c r="AQ224" i="32"/>
  <c r="AQ225" i="32" s="1"/>
  <c r="AQ226" i="32" s="1"/>
  <c r="AQ227" i="32" s="1"/>
  <c r="AO228" i="32"/>
  <c r="AO229" i="32" s="1"/>
  <c r="AO230" i="32" s="1"/>
  <c r="AO231" i="32" s="1"/>
  <c r="AP228" i="32"/>
  <c r="AP229" i="32" s="1"/>
  <c r="AP230" i="32" s="1"/>
  <c r="AP231" i="32" s="1"/>
  <c r="AQ228" i="32"/>
  <c r="AQ229" i="32" s="1"/>
  <c r="AQ230" i="32" s="1"/>
  <c r="AQ231" i="32" s="1"/>
  <c r="AO232" i="32"/>
  <c r="AP232" i="32"/>
  <c r="AQ232" i="32"/>
  <c r="AO233" i="32"/>
  <c r="AP233" i="32"/>
  <c r="AQ233" i="32"/>
  <c r="AO234" i="32"/>
  <c r="AP234" i="32"/>
  <c r="AQ234" i="32"/>
  <c r="AO235" i="32"/>
  <c r="AP235" i="32"/>
  <c r="AQ235" i="32"/>
  <c r="AO236" i="32"/>
  <c r="AP236" i="32"/>
  <c r="AQ236" i="32"/>
  <c r="AO237" i="32"/>
  <c r="AP237" i="32"/>
  <c r="AQ237" i="32"/>
  <c r="AO238" i="32"/>
  <c r="AP238" i="32"/>
  <c r="AQ238" i="32"/>
  <c r="AO239" i="32"/>
  <c r="AP239" i="32"/>
  <c r="AQ239" i="32"/>
  <c r="AO240" i="32"/>
  <c r="AP240" i="32"/>
  <c r="AQ240" i="32"/>
  <c r="AO241" i="32"/>
  <c r="AP241" i="32"/>
  <c r="AQ241" i="32"/>
  <c r="AO242" i="32"/>
  <c r="AP242" i="32"/>
  <c r="AQ242" i="32"/>
  <c r="AO243" i="32"/>
  <c r="AP243" i="32"/>
  <c r="AQ243" i="32"/>
  <c r="AO244" i="32"/>
  <c r="AP244" i="32"/>
  <c r="AQ244" i="32"/>
  <c r="AO245" i="32"/>
  <c r="AP245" i="32"/>
  <c r="AQ245" i="32"/>
  <c r="AO246" i="32"/>
  <c r="AP246" i="32"/>
  <c r="AQ246" i="32"/>
  <c r="AO247" i="32"/>
  <c r="AP247" i="32"/>
  <c r="AQ247" i="32"/>
  <c r="AO248" i="32"/>
  <c r="AP248" i="32"/>
  <c r="AQ248" i="32"/>
  <c r="AO249" i="32"/>
  <c r="AP249" i="32"/>
  <c r="AQ249" i="32"/>
  <c r="AO250" i="32"/>
  <c r="AP250" i="32"/>
  <c r="AQ250" i="32"/>
  <c r="AO251" i="32"/>
  <c r="AP251" i="32"/>
  <c r="AQ251" i="32"/>
  <c r="AO252" i="32"/>
  <c r="AP252" i="32"/>
  <c r="AQ252" i="32"/>
  <c r="AO253" i="32"/>
  <c r="AP253" i="32"/>
  <c r="AQ253" i="32"/>
  <c r="AO254" i="32"/>
  <c r="AP254" i="32"/>
  <c r="AQ254" i="32"/>
  <c r="AO255" i="32"/>
  <c r="AP255" i="32"/>
  <c r="AQ255" i="32"/>
  <c r="AO256" i="32"/>
  <c r="AP256" i="32"/>
  <c r="AQ256" i="32"/>
  <c r="AO257" i="32"/>
  <c r="AP257" i="32"/>
  <c r="AQ257" i="32"/>
  <c r="AO258" i="32"/>
  <c r="AP258" i="32"/>
  <c r="AQ258" i="32"/>
  <c r="AO259" i="32"/>
  <c r="AP259" i="32"/>
  <c r="AQ259" i="32"/>
  <c r="AO260" i="32"/>
  <c r="AP260" i="32"/>
  <c r="AQ260" i="32"/>
  <c r="AO261" i="32"/>
  <c r="AP261" i="32"/>
  <c r="AQ261" i="32"/>
  <c r="AO262" i="32"/>
  <c r="AP262" i="32"/>
  <c r="AQ262" i="32"/>
  <c r="AO263" i="32"/>
  <c r="AP263" i="32"/>
  <c r="AQ263" i="32"/>
  <c r="AO264" i="32"/>
  <c r="AP264" i="32"/>
  <c r="AQ264" i="32"/>
  <c r="AO265" i="32"/>
  <c r="AP265" i="32"/>
  <c r="AQ265" i="32"/>
  <c r="AO266" i="32"/>
  <c r="AP266" i="32"/>
  <c r="AQ266" i="32"/>
  <c r="AO267" i="32"/>
  <c r="AP267" i="32"/>
  <c r="AQ267" i="32"/>
  <c r="AO268" i="32"/>
  <c r="AP268" i="32"/>
  <c r="AQ268" i="32"/>
  <c r="AO269" i="32"/>
  <c r="AP269" i="32"/>
  <c r="AQ269" i="32"/>
  <c r="AO270" i="32"/>
  <c r="AO271" i="32" s="1"/>
  <c r="AO272" i="32" s="1"/>
  <c r="AO273" i="32" s="1"/>
  <c r="AO274" i="32" s="1"/>
  <c r="AO275" i="32" s="1"/>
  <c r="AO276" i="32" s="1"/>
  <c r="AO277" i="32" s="1"/>
  <c r="AO278" i="32" s="1"/>
  <c r="AO279" i="32" s="1"/>
  <c r="AO280" i="32" s="1"/>
  <c r="AO281" i="32" s="1"/>
  <c r="AO282" i="32" s="1"/>
  <c r="AO283" i="32" s="1"/>
  <c r="AO284" i="32" s="1"/>
  <c r="AO285" i="32" s="1"/>
  <c r="AP270" i="32"/>
  <c r="AP271" i="32" s="1"/>
  <c r="AP272" i="32" s="1"/>
  <c r="AP273" i="32" s="1"/>
  <c r="AP274" i="32" s="1"/>
  <c r="AP275" i="32" s="1"/>
  <c r="AP276" i="32" s="1"/>
  <c r="AP277" i="32" s="1"/>
  <c r="AP278" i="32" s="1"/>
  <c r="AP279" i="32" s="1"/>
  <c r="AP280" i="32" s="1"/>
  <c r="AP281" i="32" s="1"/>
  <c r="AP282" i="32" s="1"/>
  <c r="AP283" i="32" s="1"/>
  <c r="AP284" i="32" s="1"/>
  <c r="AP285" i="32" s="1"/>
  <c r="AQ270" i="32"/>
  <c r="AQ271" i="32" s="1"/>
  <c r="AQ272" i="32" s="1"/>
  <c r="AQ273" i="32" s="1"/>
  <c r="AQ274" i="32" s="1"/>
  <c r="AQ275" i="32" s="1"/>
  <c r="AQ276" i="32" s="1"/>
  <c r="AQ277" i="32" s="1"/>
  <c r="AQ278" i="32" s="1"/>
  <c r="AQ279" i="32" s="1"/>
  <c r="AQ280" i="32" s="1"/>
  <c r="AQ281" i="32" s="1"/>
  <c r="AQ282" i="32" s="1"/>
  <c r="AQ283" i="32" s="1"/>
  <c r="AQ284" i="32" s="1"/>
  <c r="AQ285" i="32" s="1"/>
  <c r="AO286" i="32"/>
  <c r="AO287" i="32" s="1"/>
  <c r="AO288" i="32" s="1"/>
  <c r="AO289" i="32" s="1"/>
  <c r="AO290" i="32" s="1"/>
  <c r="AO291" i="32" s="1"/>
  <c r="AO292" i="32" s="1"/>
  <c r="AO293" i="32" s="1"/>
  <c r="AO294" i="32" s="1"/>
  <c r="AO295" i="32" s="1"/>
  <c r="AO296" i="32" s="1"/>
  <c r="AO297" i="32" s="1"/>
  <c r="AO298" i="32" s="1"/>
  <c r="AO299" i="32" s="1"/>
  <c r="AO300" i="32" s="1"/>
  <c r="AO301" i="32" s="1"/>
  <c r="AP286" i="32"/>
  <c r="AP287" i="32" s="1"/>
  <c r="AP288" i="32" s="1"/>
  <c r="AP289" i="32" s="1"/>
  <c r="AP290" i="32" s="1"/>
  <c r="AP291" i="32" s="1"/>
  <c r="AP292" i="32" s="1"/>
  <c r="AP293" i="32" s="1"/>
  <c r="AP294" i="32" s="1"/>
  <c r="AP295" i="32" s="1"/>
  <c r="AP296" i="32" s="1"/>
  <c r="AP297" i="32" s="1"/>
  <c r="AP298" i="32" s="1"/>
  <c r="AP299" i="32" s="1"/>
  <c r="AP300" i="32" s="1"/>
  <c r="AP301" i="32" s="1"/>
  <c r="AQ286" i="32"/>
  <c r="AQ287" i="32" s="1"/>
  <c r="AQ288" i="32" s="1"/>
  <c r="AQ289" i="32" s="1"/>
  <c r="AQ290" i="32" s="1"/>
  <c r="AQ291" i="32" s="1"/>
  <c r="AQ292" i="32" s="1"/>
  <c r="AQ293" i="32" s="1"/>
  <c r="AQ294" i="32" s="1"/>
  <c r="AQ295" i="32" s="1"/>
  <c r="AQ296" i="32" s="1"/>
  <c r="AQ297" i="32" s="1"/>
  <c r="AQ298" i="32" s="1"/>
  <c r="AQ299" i="32" s="1"/>
  <c r="AQ300" i="32" s="1"/>
  <c r="AQ301" i="32" s="1"/>
  <c r="AO302" i="32"/>
  <c r="AP302" i="32"/>
  <c r="AQ302" i="32"/>
  <c r="AO303" i="32"/>
  <c r="AP303" i="32"/>
  <c r="AQ303" i="32"/>
  <c r="AO304" i="32"/>
  <c r="AP304" i="32"/>
  <c r="AQ304" i="32"/>
  <c r="AO305" i="32"/>
  <c r="AO306" i="32" s="1"/>
  <c r="AO307" i="32" s="1"/>
  <c r="AO308" i="32" s="1"/>
  <c r="AP305" i="32"/>
  <c r="AP306" i="32" s="1"/>
  <c r="AP307" i="32" s="1"/>
  <c r="AP308" i="32" s="1"/>
  <c r="AQ305" i="32"/>
  <c r="AQ306" i="32" s="1"/>
  <c r="AQ307" i="32" s="1"/>
  <c r="AQ308" i="32" s="1"/>
  <c r="AO309" i="32"/>
  <c r="AO310" i="32" s="1"/>
  <c r="AO311" i="32" s="1"/>
  <c r="AO312" i="32" s="1"/>
  <c r="AP309" i="32"/>
  <c r="AP310" i="32" s="1"/>
  <c r="AP311" i="32" s="1"/>
  <c r="AP312" i="32" s="1"/>
  <c r="AQ309" i="32"/>
  <c r="AQ310" i="32" s="1"/>
  <c r="AQ311" i="32" s="1"/>
  <c r="AQ312" i="32" s="1"/>
  <c r="AP2" i="32"/>
  <c r="AQ2" i="32"/>
  <c r="AN3" i="32"/>
  <c r="AN4" i="32"/>
  <c r="AN5" i="32" s="1"/>
  <c r="AN6" i="32"/>
  <c r="AN7" i="32" s="1"/>
  <c r="AN8" i="32"/>
  <c r="AN9" i="32" s="1"/>
  <c r="AO2" i="32"/>
  <c r="AN10" i="32"/>
  <c r="AN11" i="32"/>
  <c r="AN12" i="32"/>
  <c r="AN13" i="32"/>
  <c r="AN14" i="32" s="1"/>
  <c r="AN15" i="32"/>
  <c r="AN16" i="32" s="1"/>
  <c r="AN17" i="32"/>
  <c r="AN18" i="32" s="1"/>
  <c r="AN19" i="32"/>
  <c r="AN20" i="32"/>
  <c r="AN21" i="32"/>
  <c r="AN22" i="32"/>
  <c r="AN23" i="32"/>
  <c r="AN24" i="32"/>
  <c r="AN25" i="32"/>
  <c r="AN26" i="32" s="1"/>
  <c r="AN27" i="32"/>
  <c r="AN28" i="32" s="1"/>
  <c r="AN29" i="32"/>
  <c r="AN30" i="32" s="1"/>
  <c r="AN31" i="32"/>
  <c r="AN32" i="32" s="1"/>
  <c r="AN33" i="32"/>
  <c r="AN34" i="32"/>
  <c r="AN35" i="32"/>
  <c r="AN36" i="32"/>
  <c r="AN37" i="32"/>
  <c r="AN38" i="32"/>
  <c r="AN39" i="32"/>
  <c r="AN40" i="32" s="1"/>
  <c r="AN41" i="32"/>
  <c r="AN42" i="32" s="1"/>
  <c r="AN43" i="32"/>
  <c r="AN44" i="32" s="1"/>
  <c r="AN45" i="32"/>
  <c r="AN46" i="32"/>
  <c r="AN47" i="32"/>
  <c r="AN48" i="32"/>
  <c r="AN49" i="32"/>
  <c r="AN50" i="32" s="1"/>
  <c r="AN51" i="32"/>
  <c r="AN52" i="32" s="1"/>
  <c r="AN53" i="32"/>
  <c r="AN54" i="32" s="1"/>
  <c r="AN55" i="32"/>
  <c r="AN56" i="32"/>
  <c r="AN57" i="32"/>
  <c r="AN58" i="32"/>
  <c r="AN59" i="32"/>
  <c r="AN60" i="32"/>
  <c r="AN61" i="32"/>
  <c r="AN62" i="32"/>
  <c r="AN63" i="32"/>
  <c r="AN64" i="32"/>
  <c r="AN65" i="32"/>
  <c r="AN66" i="32" s="1"/>
  <c r="AN67" i="32" s="1"/>
  <c r="AN68" i="32" s="1"/>
  <c r="AN69" i="32" s="1"/>
  <c r="AN70" i="32"/>
  <c r="AN71" i="32" s="1"/>
  <c r="AN72" i="32" s="1"/>
  <c r="AN73" i="32" s="1"/>
  <c r="AN74" i="32" s="1"/>
  <c r="AN75" i="32"/>
  <c r="AN76" i="32" s="1"/>
  <c r="AN77" i="32" s="1"/>
  <c r="AN78" i="32" s="1"/>
  <c r="AN79" i="32" s="1"/>
  <c r="AN80" i="32"/>
  <c r="AN81" i="32" s="1"/>
  <c r="AN82" i="32"/>
  <c r="AN83" i="32" s="1"/>
  <c r="AN84" i="32"/>
  <c r="AN85" i="32" s="1"/>
  <c r="AN86" i="32"/>
  <c r="AN87" i="32" s="1"/>
  <c r="AN88" i="32"/>
  <c r="AN89" i="32" s="1"/>
  <c r="AN90" i="32"/>
  <c r="AN91" i="32"/>
  <c r="AN92" i="32"/>
  <c r="AN93" i="32"/>
  <c r="AN94" i="32" s="1"/>
  <c r="AN95" i="32"/>
  <c r="AN96" i="32" s="1"/>
  <c r="AN97" i="32"/>
  <c r="AN98" i="32"/>
  <c r="AN99" i="32"/>
  <c r="AN100" i="32"/>
  <c r="AN101" i="32"/>
  <c r="AN102" i="32"/>
  <c r="AN103" i="32"/>
  <c r="AN104" i="32"/>
  <c r="AN105" i="32"/>
  <c r="AN106" i="32"/>
  <c r="AN107" i="32"/>
  <c r="AN108" i="32"/>
  <c r="AN109" i="32"/>
  <c r="AN110" i="32"/>
  <c r="AN111" i="32" s="1"/>
  <c r="AN112" i="32" s="1"/>
  <c r="AN113" i="32"/>
  <c r="AN114" i="32" s="1"/>
  <c r="AN115" i="32" s="1"/>
  <c r="AN116" i="32"/>
  <c r="AN117" i="32" s="1"/>
  <c r="AN118" i="32" s="1"/>
  <c r="AN119" i="32"/>
  <c r="AN120" i="32" s="1"/>
  <c r="AN121" i="32" s="1"/>
  <c r="AN122" i="32"/>
  <c r="AN123" i="32" s="1"/>
  <c r="AN124" i="32" s="1"/>
  <c r="AN125" i="32"/>
  <c r="AN126" i="32" s="1"/>
  <c r="AN127" i="32" s="1"/>
  <c r="AN128" i="32"/>
  <c r="AN129" i="32" s="1"/>
  <c r="AN130" i="32" s="1"/>
  <c r="AN131" i="32"/>
  <c r="AN132" i="32" s="1"/>
  <c r="AN133" i="32" s="1"/>
  <c r="AN134" i="32"/>
  <c r="AN135" i="32" s="1"/>
  <c r="AN136" i="32"/>
  <c r="AN137" i="32" s="1"/>
  <c r="AN138" i="32"/>
  <c r="AN139" i="32" s="1"/>
  <c r="AN140" i="32"/>
  <c r="AN141" i="32" s="1"/>
  <c r="AN142" i="32"/>
  <c r="AN143" i="32"/>
  <c r="AN144" i="32"/>
  <c r="AN145" i="32"/>
  <c r="AN146" i="32"/>
  <c r="AN147" i="32"/>
  <c r="AN148" i="32"/>
  <c r="AN149" i="32"/>
  <c r="AN150" i="32"/>
  <c r="AN151" i="32"/>
  <c r="AN152" i="32"/>
  <c r="AN153" i="32"/>
  <c r="AN154" i="32"/>
  <c r="AN155" i="32"/>
  <c r="AN156" i="32"/>
  <c r="AN157" i="32"/>
  <c r="AN158" i="32"/>
  <c r="AN159" i="32"/>
  <c r="AN160" i="32"/>
  <c r="AN161" i="32"/>
  <c r="AN162" i="32"/>
  <c r="AN163" i="32"/>
  <c r="AN164" i="32"/>
  <c r="AN165" i="32"/>
  <c r="AN166" i="32"/>
  <c r="AN167" i="32" s="1"/>
  <c r="AN168" i="32" s="1"/>
  <c r="AN169" i="32" s="1"/>
  <c r="AN170" i="32" s="1"/>
  <c r="AN171" i="32"/>
  <c r="AN172" i="32" s="1"/>
  <c r="AN173" i="32" s="1"/>
  <c r="AN174" i="32" s="1"/>
  <c r="AN175" i="32" s="1"/>
  <c r="AN176" i="32"/>
  <c r="AN177" i="32" s="1"/>
  <c r="AN178" i="32" s="1"/>
  <c r="AN179" i="32" s="1"/>
  <c r="AN180" i="32" s="1"/>
  <c r="AN181" i="32"/>
  <c r="AN182" i="32" s="1"/>
  <c r="AN183" i="32" s="1"/>
  <c r="AN184" i="32" s="1"/>
  <c r="AN185" i="32" s="1"/>
  <c r="AN186" i="32"/>
  <c r="AN187" i="32"/>
  <c r="AN188" i="32"/>
  <c r="AN189" i="32"/>
  <c r="AN190" i="32"/>
  <c r="AN191" i="32"/>
  <c r="AN192" i="32"/>
  <c r="AN193" i="32"/>
  <c r="AN194" i="32"/>
  <c r="AN195" i="32"/>
  <c r="AN196" i="32"/>
  <c r="AN197" i="32"/>
  <c r="AN198" i="32"/>
  <c r="AN199" i="32"/>
  <c r="AN200" i="32" s="1"/>
  <c r="AN201" i="32" s="1"/>
  <c r="AN202" i="32"/>
  <c r="AN203" i="32" s="1"/>
  <c r="AN204" i="32" s="1"/>
  <c r="AN205" i="32"/>
  <c r="AN206" i="32"/>
  <c r="AN207" i="32"/>
  <c r="AN208" i="32"/>
  <c r="AN209" i="32"/>
  <c r="AN210" i="32"/>
  <c r="AN211" i="32"/>
  <c r="AN212" i="32"/>
  <c r="AN213" i="32"/>
  <c r="AN214" i="32"/>
  <c r="AN215" i="32"/>
  <c r="AN216" i="32"/>
  <c r="AN217" i="32"/>
  <c r="AN218" i="32"/>
  <c r="AN219" i="32"/>
  <c r="AN220" i="32"/>
  <c r="AN221" i="32" s="1"/>
  <c r="AN222" i="32" s="1"/>
  <c r="AN223" i="32" s="1"/>
  <c r="AN224" i="32"/>
  <c r="AN225" i="32" s="1"/>
  <c r="AN226" i="32" s="1"/>
  <c r="AN227" i="32" s="1"/>
  <c r="AN228" i="32"/>
  <c r="AN229" i="32" s="1"/>
  <c r="AN230" i="32" s="1"/>
  <c r="AN231" i="32" s="1"/>
  <c r="AN232" i="32"/>
  <c r="AN233" i="32"/>
  <c r="AN234" i="32"/>
  <c r="AN235" i="32"/>
  <c r="AN236" i="32"/>
  <c r="AN237" i="32"/>
  <c r="AN238" i="32"/>
  <c r="AN239" i="32"/>
  <c r="AN240" i="32"/>
  <c r="AN241" i="32"/>
  <c r="AN242" i="32"/>
  <c r="AN243" i="32"/>
  <c r="AN244" i="32"/>
  <c r="AN245" i="32"/>
  <c r="AN246" i="32"/>
  <c r="AN247" i="32"/>
  <c r="AN248" i="32"/>
  <c r="AN249" i="32"/>
  <c r="AN250" i="32"/>
  <c r="AN251" i="32"/>
  <c r="AN252" i="32"/>
  <c r="AN253" i="32"/>
  <c r="AN254" i="32"/>
  <c r="AN255" i="32"/>
  <c r="AN256" i="32"/>
  <c r="AN257" i="32"/>
  <c r="AN258" i="32"/>
  <c r="AN259" i="32"/>
  <c r="AN260" i="32"/>
  <c r="AN261" i="32"/>
  <c r="AN262" i="32"/>
  <c r="AN263" i="32"/>
  <c r="AN264" i="32"/>
  <c r="AN265" i="32"/>
  <c r="AN266" i="32"/>
  <c r="AN267" i="32"/>
  <c r="AN268" i="32"/>
  <c r="AN269" i="32"/>
  <c r="AN270" i="32"/>
  <c r="AN271" i="32" s="1"/>
  <c r="AN272" i="32" s="1"/>
  <c r="AN273" i="32" s="1"/>
  <c r="AN274" i="32" s="1"/>
  <c r="AN275" i="32" s="1"/>
  <c r="AN276" i="32" s="1"/>
  <c r="AN277" i="32" s="1"/>
  <c r="AN278" i="32" s="1"/>
  <c r="AN279" i="32" s="1"/>
  <c r="AN280" i="32" s="1"/>
  <c r="AN281" i="32" s="1"/>
  <c r="AN282" i="32" s="1"/>
  <c r="AN283" i="32" s="1"/>
  <c r="AN284" i="32" s="1"/>
  <c r="AN285" i="32" s="1"/>
  <c r="AN286" i="32"/>
  <c r="AN287" i="32" s="1"/>
  <c r="AN288" i="32" s="1"/>
  <c r="AN289" i="32" s="1"/>
  <c r="AN290" i="32" s="1"/>
  <c r="AN291" i="32" s="1"/>
  <c r="AN292" i="32" s="1"/>
  <c r="AN293" i="32" s="1"/>
  <c r="AN294" i="32" s="1"/>
  <c r="AN295" i="32" s="1"/>
  <c r="AN296" i="32" s="1"/>
  <c r="AN297" i="32" s="1"/>
  <c r="AN298" i="32" s="1"/>
  <c r="AN299" i="32" s="1"/>
  <c r="AN300" i="32" s="1"/>
  <c r="AN301" i="32" s="1"/>
  <c r="AN302" i="32"/>
  <c r="AN303" i="32"/>
  <c r="AN304" i="32"/>
  <c r="AN305" i="32"/>
  <c r="AN306" i="32" s="1"/>
  <c r="AN307" i="32" s="1"/>
  <c r="AN308" i="32" s="1"/>
  <c r="AN309" i="32"/>
  <c r="AN310" i="32" s="1"/>
  <c r="AN311" i="32" s="1"/>
  <c r="AN312" i="32" s="1"/>
  <c r="AN2" i="32"/>
  <c r="AM3" i="32"/>
  <c r="AM4" i="32"/>
  <c r="AM5" i="32" s="1"/>
  <c r="AM6" i="32"/>
  <c r="AM7" i="32" s="1"/>
  <c r="AM8" i="32"/>
  <c r="AM9" i="32" s="1"/>
  <c r="AM10" i="32"/>
  <c r="AM11" i="32"/>
  <c r="AM12" i="32"/>
  <c r="AM13" i="32"/>
  <c r="AM14" i="32" s="1"/>
  <c r="AM15" i="32"/>
  <c r="AM16" i="32" s="1"/>
  <c r="AM17" i="32"/>
  <c r="AM18" i="32" s="1"/>
  <c r="AM19" i="32"/>
  <c r="AM20" i="32"/>
  <c r="AM21" i="32"/>
  <c r="AM22" i="32"/>
  <c r="AM23" i="32"/>
  <c r="AM24" i="32"/>
  <c r="AM25" i="32"/>
  <c r="AM26" i="32" s="1"/>
  <c r="AM27" i="32"/>
  <c r="AM28" i="32" s="1"/>
  <c r="AM29" i="32"/>
  <c r="AM30" i="32" s="1"/>
  <c r="AM31" i="32"/>
  <c r="AM32" i="32" s="1"/>
  <c r="AM33" i="32"/>
  <c r="AM34" i="32"/>
  <c r="AM35" i="32"/>
  <c r="AM36" i="32"/>
  <c r="AM37" i="32"/>
  <c r="AM38" i="32"/>
  <c r="AM39" i="32"/>
  <c r="AM40" i="32" s="1"/>
  <c r="AM41" i="32"/>
  <c r="AM42" i="32" s="1"/>
  <c r="AM43" i="32"/>
  <c r="AM44" i="32" s="1"/>
  <c r="AM45" i="32"/>
  <c r="AM46" i="32"/>
  <c r="AM47" i="32"/>
  <c r="AM48" i="32"/>
  <c r="AM49" i="32"/>
  <c r="AM50" i="32" s="1"/>
  <c r="AM51" i="32"/>
  <c r="AM52" i="32" s="1"/>
  <c r="AM53" i="32"/>
  <c r="AM54" i="32" s="1"/>
  <c r="AM55" i="32"/>
  <c r="AM56" i="32"/>
  <c r="AM57" i="32"/>
  <c r="AM58" i="32"/>
  <c r="AM59" i="32"/>
  <c r="AM60" i="32"/>
  <c r="AM61" i="32"/>
  <c r="AM62" i="32"/>
  <c r="AM63" i="32"/>
  <c r="AM64" i="32"/>
  <c r="AM65" i="32"/>
  <c r="AM66" i="32" s="1"/>
  <c r="AM67" i="32" s="1"/>
  <c r="AM68" i="32" s="1"/>
  <c r="AM69" i="32" s="1"/>
  <c r="AM70" i="32"/>
  <c r="AM71" i="32" s="1"/>
  <c r="AM72" i="32" s="1"/>
  <c r="AM73" i="32" s="1"/>
  <c r="AM74" i="32" s="1"/>
  <c r="AM75" i="32"/>
  <c r="AM76" i="32" s="1"/>
  <c r="AM77" i="32" s="1"/>
  <c r="AM78" i="32" s="1"/>
  <c r="AM79" i="32" s="1"/>
  <c r="AM80" i="32"/>
  <c r="AM81" i="32" s="1"/>
  <c r="AM82" i="32"/>
  <c r="AM83" i="32" s="1"/>
  <c r="AM84" i="32"/>
  <c r="AM85" i="32" s="1"/>
  <c r="AM86" i="32"/>
  <c r="AM87" i="32" s="1"/>
  <c r="AM88" i="32"/>
  <c r="AM89" i="32" s="1"/>
  <c r="AM90" i="32"/>
  <c r="AM91" i="32"/>
  <c r="AM92" i="32"/>
  <c r="AM93" i="32"/>
  <c r="AM94" i="32" s="1"/>
  <c r="AM95" i="32"/>
  <c r="AM96" i="32" s="1"/>
  <c r="AM97" i="32"/>
  <c r="AM98" i="32"/>
  <c r="AM99" i="32"/>
  <c r="AM100" i="32"/>
  <c r="AM101" i="32"/>
  <c r="AM102" i="32"/>
  <c r="AM103" i="32"/>
  <c r="AM104" i="32"/>
  <c r="AM105" i="32"/>
  <c r="AM106" i="32"/>
  <c r="AM107" i="32"/>
  <c r="AM108" i="32"/>
  <c r="AM109" i="32"/>
  <c r="AM110" i="32"/>
  <c r="AM111" i="32" s="1"/>
  <c r="AM112" i="32" s="1"/>
  <c r="AM113" i="32"/>
  <c r="AM114" i="32" s="1"/>
  <c r="AM115" i="32" s="1"/>
  <c r="AM116" i="32"/>
  <c r="AM117" i="32" s="1"/>
  <c r="AM118" i="32" s="1"/>
  <c r="AM119" i="32"/>
  <c r="AM120" i="32" s="1"/>
  <c r="AM121" i="32" s="1"/>
  <c r="AM122" i="32"/>
  <c r="AM123" i="32" s="1"/>
  <c r="AM124" i="32" s="1"/>
  <c r="AM125" i="32"/>
  <c r="AM126" i="32" s="1"/>
  <c r="AM127" i="32" s="1"/>
  <c r="AM128" i="32"/>
  <c r="AM129" i="32" s="1"/>
  <c r="AM130" i="32" s="1"/>
  <c r="AM131" i="32"/>
  <c r="AM132" i="32" s="1"/>
  <c r="AM133" i="32" s="1"/>
  <c r="AM134" i="32"/>
  <c r="AM135" i="32" s="1"/>
  <c r="AM136" i="32"/>
  <c r="AM137" i="32" s="1"/>
  <c r="AM138" i="32"/>
  <c r="AM139" i="32" s="1"/>
  <c r="AM140" i="32"/>
  <c r="AM141" i="32" s="1"/>
  <c r="AM142" i="32"/>
  <c r="AM143" i="32"/>
  <c r="AM144" i="32"/>
  <c r="AM145" i="32"/>
  <c r="AM146" i="32"/>
  <c r="AM147" i="32"/>
  <c r="AM148" i="32"/>
  <c r="AM149" i="32"/>
  <c r="AM150" i="32"/>
  <c r="AM151" i="32"/>
  <c r="AM152" i="32"/>
  <c r="AM153" i="32"/>
  <c r="AM154" i="32"/>
  <c r="AM155" i="32"/>
  <c r="AM156" i="32"/>
  <c r="AM157" i="32"/>
  <c r="AM158" i="32"/>
  <c r="AM159" i="32"/>
  <c r="AM160" i="32"/>
  <c r="AM161" i="32"/>
  <c r="AM162" i="32"/>
  <c r="AM163" i="32"/>
  <c r="AM164" i="32"/>
  <c r="AM165" i="32"/>
  <c r="AM166" i="32"/>
  <c r="AM167" i="32" s="1"/>
  <c r="AM168" i="32" s="1"/>
  <c r="AM169" i="32" s="1"/>
  <c r="AM170" i="32" s="1"/>
  <c r="AM171" i="32"/>
  <c r="AM172" i="32" s="1"/>
  <c r="AM173" i="32" s="1"/>
  <c r="AM174" i="32" s="1"/>
  <c r="AM175" i="32" s="1"/>
  <c r="AM176" i="32"/>
  <c r="AM177" i="32" s="1"/>
  <c r="AM178" i="32" s="1"/>
  <c r="AM179" i="32" s="1"/>
  <c r="AM180" i="32" s="1"/>
  <c r="AM181" i="32"/>
  <c r="AM182" i="32" s="1"/>
  <c r="AM183" i="32" s="1"/>
  <c r="AM184" i="32" s="1"/>
  <c r="AM185" i="32" s="1"/>
  <c r="AM186" i="32"/>
  <c r="AM187" i="32"/>
  <c r="AM188" i="32"/>
  <c r="AM189" i="32"/>
  <c r="AM190" i="32"/>
  <c r="AM191" i="32"/>
  <c r="AM192" i="32"/>
  <c r="AM193" i="32"/>
  <c r="AM194" i="32"/>
  <c r="AM195" i="32"/>
  <c r="AM196" i="32"/>
  <c r="AM197" i="32"/>
  <c r="AM198" i="32"/>
  <c r="AM199" i="32"/>
  <c r="AM200" i="32" s="1"/>
  <c r="AM201" i="32" s="1"/>
  <c r="AM202" i="32"/>
  <c r="AM203" i="32" s="1"/>
  <c r="AM204" i="32" s="1"/>
  <c r="AM205" i="32"/>
  <c r="AM206" i="32"/>
  <c r="AM207" i="32"/>
  <c r="AM208" i="32"/>
  <c r="AM209" i="32"/>
  <c r="AM210" i="32"/>
  <c r="AM211" i="32"/>
  <c r="AM212" i="32"/>
  <c r="AM213" i="32"/>
  <c r="AM214" i="32"/>
  <c r="AM215" i="32"/>
  <c r="AM216" i="32"/>
  <c r="AM217" i="32"/>
  <c r="AM218" i="32"/>
  <c r="AM219" i="32"/>
  <c r="AM220" i="32"/>
  <c r="AM221" i="32" s="1"/>
  <c r="AM222" i="32" s="1"/>
  <c r="AM223" i="32" s="1"/>
  <c r="AM224" i="32"/>
  <c r="AM225" i="32" s="1"/>
  <c r="AM226" i="32" s="1"/>
  <c r="AM227" i="32" s="1"/>
  <c r="AM228" i="32"/>
  <c r="AM229" i="32" s="1"/>
  <c r="AM230" i="32" s="1"/>
  <c r="AM231" i="32" s="1"/>
  <c r="AM232" i="32"/>
  <c r="AM233" i="32"/>
  <c r="AM234" i="32"/>
  <c r="AM235" i="32"/>
  <c r="AM236" i="32"/>
  <c r="AM237" i="32"/>
  <c r="AM238" i="32"/>
  <c r="AM239" i="32"/>
  <c r="AM240" i="32"/>
  <c r="AM241" i="32"/>
  <c r="AM242" i="32"/>
  <c r="AM243" i="32"/>
  <c r="AM244" i="32"/>
  <c r="AM245" i="32"/>
  <c r="AM246" i="32"/>
  <c r="AM247" i="32"/>
  <c r="AM248" i="32"/>
  <c r="AM249" i="32"/>
  <c r="AM250" i="32"/>
  <c r="AM251" i="32"/>
  <c r="AM252" i="32"/>
  <c r="AM253" i="32"/>
  <c r="AM254" i="32"/>
  <c r="AM255" i="32"/>
  <c r="AM256" i="32"/>
  <c r="AM257" i="32"/>
  <c r="AM258" i="32"/>
  <c r="AM259" i="32"/>
  <c r="AM260" i="32"/>
  <c r="AM261" i="32"/>
  <c r="AM262" i="32"/>
  <c r="AM263" i="32"/>
  <c r="AM264" i="32"/>
  <c r="AM265" i="32"/>
  <c r="AM266" i="32"/>
  <c r="AM267" i="32"/>
  <c r="AM268" i="32"/>
  <c r="AM269" i="32"/>
  <c r="AM270" i="32"/>
  <c r="AM271" i="32" s="1"/>
  <c r="AM272" i="32" s="1"/>
  <c r="AM273" i="32" s="1"/>
  <c r="AM274" i="32" s="1"/>
  <c r="AM275" i="32" s="1"/>
  <c r="AM276" i="32" s="1"/>
  <c r="AM277" i="32" s="1"/>
  <c r="AM278" i="32" s="1"/>
  <c r="AM279" i="32" s="1"/>
  <c r="AM280" i="32" s="1"/>
  <c r="AM281" i="32" s="1"/>
  <c r="AM282" i="32" s="1"/>
  <c r="AM283" i="32" s="1"/>
  <c r="AM284" i="32" s="1"/>
  <c r="AM285" i="32" s="1"/>
  <c r="AM286" i="32"/>
  <c r="AM287" i="32" s="1"/>
  <c r="AM288" i="32" s="1"/>
  <c r="AM289" i="32" s="1"/>
  <c r="AM290" i="32" s="1"/>
  <c r="AM291" i="32" s="1"/>
  <c r="AM292" i="32" s="1"/>
  <c r="AM293" i="32" s="1"/>
  <c r="AM294" i="32" s="1"/>
  <c r="AM295" i="32" s="1"/>
  <c r="AM296" i="32" s="1"/>
  <c r="AM297" i="32" s="1"/>
  <c r="AM298" i="32" s="1"/>
  <c r="AM299" i="32" s="1"/>
  <c r="AM300" i="32" s="1"/>
  <c r="AM301" i="32" s="1"/>
  <c r="AM302" i="32"/>
  <c r="AM303" i="32"/>
  <c r="AM304" i="32"/>
  <c r="AM305" i="32"/>
  <c r="AM306" i="32" s="1"/>
  <c r="AM307" i="32" s="1"/>
  <c r="AM308" i="32" s="1"/>
  <c r="AM309" i="32"/>
  <c r="AM310" i="32" s="1"/>
  <c r="AM311" i="32" s="1"/>
  <c r="AM312" i="32" s="1"/>
  <c r="AM2" i="32"/>
  <c r="AL3" i="32"/>
  <c r="AL4" i="32"/>
  <c r="AL5" i="32" s="1"/>
  <c r="AL6" i="32"/>
  <c r="AL7" i="32" s="1"/>
  <c r="AL8" i="32"/>
  <c r="AL9" i="32" s="1"/>
  <c r="AL10" i="32"/>
  <c r="AL11" i="32"/>
  <c r="AL12" i="32"/>
  <c r="AL13" i="32"/>
  <c r="AL14" i="32" s="1"/>
  <c r="AL15" i="32"/>
  <c r="AL16" i="32" s="1"/>
  <c r="AL17" i="32"/>
  <c r="AL18" i="32" s="1"/>
  <c r="AL19" i="32"/>
  <c r="AL20" i="32"/>
  <c r="AL21" i="32"/>
  <c r="AL22" i="32"/>
  <c r="AL23" i="32"/>
  <c r="AL24" i="32"/>
  <c r="AL25" i="32"/>
  <c r="AL26" i="32" s="1"/>
  <c r="AL27" i="32"/>
  <c r="AL28" i="32" s="1"/>
  <c r="AL29" i="32"/>
  <c r="AL30" i="32" s="1"/>
  <c r="AL31" i="32"/>
  <c r="AL32" i="32" s="1"/>
  <c r="AL33" i="32"/>
  <c r="AL34" i="32"/>
  <c r="AL35" i="32"/>
  <c r="AL36" i="32"/>
  <c r="AL37" i="32"/>
  <c r="AL38" i="32"/>
  <c r="AL39" i="32"/>
  <c r="AL40" i="32" s="1"/>
  <c r="AL41" i="32"/>
  <c r="AL42" i="32" s="1"/>
  <c r="AL43" i="32"/>
  <c r="AL44" i="32" s="1"/>
  <c r="AL45" i="32"/>
  <c r="AL46" i="32"/>
  <c r="AL47" i="32"/>
  <c r="AL48" i="32"/>
  <c r="AL49" i="32"/>
  <c r="AL50" i="32" s="1"/>
  <c r="AL51" i="32"/>
  <c r="AL52" i="32" s="1"/>
  <c r="AL53" i="32"/>
  <c r="AL54" i="32" s="1"/>
  <c r="AL55" i="32"/>
  <c r="AL56" i="32"/>
  <c r="AL57" i="32"/>
  <c r="AL58" i="32"/>
  <c r="AL59" i="32"/>
  <c r="AL60" i="32"/>
  <c r="AL61" i="32"/>
  <c r="AL62" i="32"/>
  <c r="AL63" i="32"/>
  <c r="AL64" i="32"/>
  <c r="AL65" i="32"/>
  <c r="AL66" i="32" s="1"/>
  <c r="AL67" i="32" s="1"/>
  <c r="AL68" i="32" s="1"/>
  <c r="AL69" i="32" s="1"/>
  <c r="AL70" i="32"/>
  <c r="AL71" i="32" s="1"/>
  <c r="AL72" i="32" s="1"/>
  <c r="AL73" i="32" s="1"/>
  <c r="AL74" i="32" s="1"/>
  <c r="AL75" i="32"/>
  <c r="AL76" i="32" s="1"/>
  <c r="AL77" i="32" s="1"/>
  <c r="AL78" i="32" s="1"/>
  <c r="AL79" i="32" s="1"/>
  <c r="AL80" i="32"/>
  <c r="AL81" i="32" s="1"/>
  <c r="AL82" i="32"/>
  <c r="AL83" i="32" s="1"/>
  <c r="AL84" i="32"/>
  <c r="AL85" i="32" s="1"/>
  <c r="AL86" i="32"/>
  <c r="AL87" i="32" s="1"/>
  <c r="AL88" i="32"/>
  <c r="AL89" i="32" s="1"/>
  <c r="AL90" i="32"/>
  <c r="AL91" i="32"/>
  <c r="AL92" i="32"/>
  <c r="AL93" i="32"/>
  <c r="AL94" i="32" s="1"/>
  <c r="AL95" i="32"/>
  <c r="AL96" i="32" s="1"/>
  <c r="AL97" i="32"/>
  <c r="AL98" i="32"/>
  <c r="AL99" i="32"/>
  <c r="AL100" i="32"/>
  <c r="AL101" i="32"/>
  <c r="AL102" i="32"/>
  <c r="AL103" i="32"/>
  <c r="AL104" i="32"/>
  <c r="AL105" i="32"/>
  <c r="AL106" i="32"/>
  <c r="AL107" i="32"/>
  <c r="AL108" i="32"/>
  <c r="AL109" i="32"/>
  <c r="AL110" i="32"/>
  <c r="AL111" i="32" s="1"/>
  <c r="AL112" i="32" s="1"/>
  <c r="AL113" i="32"/>
  <c r="AL114" i="32" s="1"/>
  <c r="AL115" i="32" s="1"/>
  <c r="AL116" i="32"/>
  <c r="AL117" i="32" s="1"/>
  <c r="AL118" i="32" s="1"/>
  <c r="AL119" i="32"/>
  <c r="AL120" i="32" s="1"/>
  <c r="AL121" i="32" s="1"/>
  <c r="AL122" i="32"/>
  <c r="AL123" i="32" s="1"/>
  <c r="AL124" i="32" s="1"/>
  <c r="AL125" i="32"/>
  <c r="AL126" i="32" s="1"/>
  <c r="AL127" i="32" s="1"/>
  <c r="AL128" i="32"/>
  <c r="AL129" i="32" s="1"/>
  <c r="AL130" i="32" s="1"/>
  <c r="AL131" i="32"/>
  <c r="AL132" i="32" s="1"/>
  <c r="AL133" i="32" s="1"/>
  <c r="AL134" i="32"/>
  <c r="AL135" i="32" s="1"/>
  <c r="AL136" i="32"/>
  <c r="AL137" i="32" s="1"/>
  <c r="AL138" i="32"/>
  <c r="AL139" i="32" s="1"/>
  <c r="AL140" i="32"/>
  <c r="AL141" i="32" s="1"/>
  <c r="AL142" i="32"/>
  <c r="AL143" i="32"/>
  <c r="AL144" i="32"/>
  <c r="AL145" i="32"/>
  <c r="AL146" i="32"/>
  <c r="AL147" i="32"/>
  <c r="AL148" i="32"/>
  <c r="AL149" i="32"/>
  <c r="AL150" i="32"/>
  <c r="AL151" i="32"/>
  <c r="AL152" i="32"/>
  <c r="AL153" i="32"/>
  <c r="AL154" i="32"/>
  <c r="AL155" i="32"/>
  <c r="AL156" i="32"/>
  <c r="AL157" i="32"/>
  <c r="AL158" i="32"/>
  <c r="AL159" i="32"/>
  <c r="AL160" i="32"/>
  <c r="AL161" i="32"/>
  <c r="AL162" i="32"/>
  <c r="AL163" i="32"/>
  <c r="AL164" i="32"/>
  <c r="AL165" i="32"/>
  <c r="AL166" i="32"/>
  <c r="AL167" i="32" s="1"/>
  <c r="AL168" i="32" s="1"/>
  <c r="AL169" i="32" s="1"/>
  <c r="AL170" i="32" s="1"/>
  <c r="AL171" i="32"/>
  <c r="AL172" i="32" s="1"/>
  <c r="AL173" i="32" s="1"/>
  <c r="AL174" i="32" s="1"/>
  <c r="AL175" i="32" s="1"/>
  <c r="AL176" i="32"/>
  <c r="AL177" i="32" s="1"/>
  <c r="AL178" i="32" s="1"/>
  <c r="AL179" i="32" s="1"/>
  <c r="AL180" i="32" s="1"/>
  <c r="AL181" i="32"/>
  <c r="AL182" i="32" s="1"/>
  <c r="AL183" i="32" s="1"/>
  <c r="AL184" i="32" s="1"/>
  <c r="AL185" i="32" s="1"/>
  <c r="AL186" i="32"/>
  <c r="AL187" i="32"/>
  <c r="AL188" i="32"/>
  <c r="AL189" i="32"/>
  <c r="AL190" i="32"/>
  <c r="AL191" i="32"/>
  <c r="AL192" i="32"/>
  <c r="AL193" i="32"/>
  <c r="AL194" i="32"/>
  <c r="AL195" i="32"/>
  <c r="AL196" i="32"/>
  <c r="AL197" i="32"/>
  <c r="AL198" i="32"/>
  <c r="AL199" i="32"/>
  <c r="AL200" i="32" s="1"/>
  <c r="AL201" i="32" s="1"/>
  <c r="AL202" i="32"/>
  <c r="AL203" i="32" s="1"/>
  <c r="AL204" i="32" s="1"/>
  <c r="AL205" i="32"/>
  <c r="AL206" i="32"/>
  <c r="AL207" i="32"/>
  <c r="AL208" i="32"/>
  <c r="AL209" i="32"/>
  <c r="AL210" i="32"/>
  <c r="AL211" i="32"/>
  <c r="AL212" i="32"/>
  <c r="AL213" i="32"/>
  <c r="AL214" i="32"/>
  <c r="AL215" i="32"/>
  <c r="AL216" i="32"/>
  <c r="AL217" i="32"/>
  <c r="AL218" i="32"/>
  <c r="AL219" i="32"/>
  <c r="AL220" i="32"/>
  <c r="AL221" i="32" s="1"/>
  <c r="AL222" i="32" s="1"/>
  <c r="AL223" i="32" s="1"/>
  <c r="AL224" i="32"/>
  <c r="AL225" i="32" s="1"/>
  <c r="AL226" i="32" s="1"/>
  <c r="AL227" i="32" s="1"/>
  <c r="AL228" i="32"/>
  <c r="AL229" i="32" s="1"/>
  <c r="AL230" i="32" s="1"/>
  <c r="AL231" i="32" s="1"/>
  <c r="AL232" i="32"/>
  <c r="AL233" i="32"/>
  <c r="AL234" i="32"/>
  <c r="AL235" i="32"/>
  <c r="AL236" i="32"/>
  <c r="AL237" i="32"/>
  <c r="AL238" i="32"/>
  <c r="AL239" i="32"/>
  <c r="AL240" i="32"/>
  <c r="AL241" i="32"/>
  <c r="AL242" i="32"/>
  <c r="AL243" i="32"/>
  <c r="AL244" i="32"/>
  <c r="AL245" i="32"/>
  <c r="AL246" i="32"/>
  <c r="AL247" i="32"/>
  <c r="AL248" i="32"/>
  <c r="AL249" i="32"/>
  <c r="AL250" i="32"/>
  <c r="AL251" i="32"/>
  <c r="AL252" i="32"/>
  <c r="AL253" i="32"/>
  <c r="AL254" i="32"/>
  <c r="AL255" i="32"/>
  <c r="AL256" i="32"/>
  <c r="AL257" i="32"/>
  <c r="AL258" i="32"/>
  <c r="AL259" i="32"/>
  <c r="AL260" i="32"/>
  <c r="AL261" i="32"/>
  <c r="AL262" i="32"/>
  <c r="AL263" i="32"/>
  <c r="AL264" i="32"/>
  <c r="AL265" i="32"/>
  <c r="AL266" i="32"/>
  <c r="AL267" i="32"/>
  <c r="AL268" i="32"/>
  <c r="AL269" i="32"/>
  <c r="AL270" i="32"/>
  <c r="AL271" i="32" s="1"/>
  <c r="AL272" i="32" s="1"/>
  <c r="AL273" i="32" s="1"/>
  <c r="AL274" i="32" s="1"/>
  <c r="AL275" i="32" s="1"/>
  <c r="AL276" i="32" s="1"/>
  <c r="AL277" i="32" s="1"/>
  <c r="AL278" i="32" s="1"/>
  <c r="AL279" i="32" s="1"/>
  <c r="AL280" i="32" s="1"/>
  <c r="AL281" i="32" s="1"/>
  <c r="AL282" i="32" s="1"/>
  <c r="AL283" i="32" s="1"/>
  <c r="AL284" i="32" s="1"/>
  <c r="AL285" i="32" s="1"/>
  <c r="AL286" i="32"/>
  <c r="AL287" i="32" s="1"/>
  <c r="AL288" i="32" s="1"/>
  <c r="AL289" i="32" s="1"/>
  <c r="AL290" i="32" s="1"/>
  <c r="AL291" i="32" s="1"/>
  <c r="AL292" i="32" s="1"/>
  <c r="AL293" i="32" s="1"/>
  <c r="AL294" i="32" s="1"/>
  <c r="AL295" i="32" s="1"/>
  <c r="AL296" i="32" s="1"/>
  <c r="AL297" i="32" s="1"/>
  <c r="AL298" i="32" s="1"/>
  <c r="AL299" i="32" s="1"/>
  <c r="AL300" i="32" s="1"/>
  <c r="AL301" i="32" s="1"/>
  <c r="AL302" i="32"/>
  <c r="AL303" i="32"/>
  <c r="AL304" i="32"/>
  <c r="AL305" i="32"/>
  <c r="AL306" i="32" s="1"/>
  <c r="AL307" i="32" s="1"/>
  <c r="AL308" i="32" s="1"/>
  <c r="AL309" i="32"/>
  <c r="AL310" i="32" s="1"/>
  <c r="AL311" i="32" s="1"/>
  <c r="AL312" i="32" s="1"/>
  <c r="AL2" i="32"/>
  <c r="AK3" i="32"/>
  <c r="AK4" i="32"/>
  <c r="AK5" i="32" s="1"/>
  <c r="AK6" i="32"/>
  <c r="AK7" i="32" s="1"/>
  <c r="AK8" i="32"/>
  <c r="AK9" i="32" s="1"/>
  <c r="AK10" i="32"/>
  <c r="AK11" i="32"/>
  <c r="AK12" i="32"/>
  <c r="AK13" i="32"/>
  <c r="AK14" i="32" s="1"/>
  <c r="AK15" i="32"/>
  <c r="AK16" i="32" s="1"/>
  <c r="AK17" i="32"/>
  <c r="AK18" i="32" s="1"/>
  <c r="AK19" i="32"/>
  <c r="AK20" i="32"/>
  <c r="AK21" i="32"/>
  <c r="AK22" i="32"/>
  <c r="AK23" i="32"/>
  <c r="AK24" i="32"/>
  <c r="AK25" i="32"/>
  <c r="AK26" i="32" s="1"/>
  <c r="AK27" i="32"/>
  <c r="AK28" i="32" s="1"/>
  <c r="AK29" i="32"/>
  <c r="AK30" i="32" s="1"/>
  <c r="AK31" i="32"/>
  <c r="AK32" i="32" s="1"/>
  <c r="AK33" i="32"/>
  <c r="AK34" i="32"/>
  <c r="AK35" i="32"/>
  <c r="AK36" i="32"/>
  <c r="AK37" i="32"/>
  <c r="AK38" i="32"/>
  <c r="AK39" i="32"/>
  <c r="AK40" i="32" s="1"/>
  <c r="AK41" i="32"/>
  <c r="AK42" i="32" s="1"/>
  <c r="AK43" i="32"/>
  <c r="AK44" i="32" s="1"/>
  <c r="AK45" i="32"/>
  <c r="AK46" i="32"/>
  <c r="AK47" i="32"/>
  <c r="AK48" i="32"/>
  <c r="AK49" i="32"/>
  <c r="AK50" i="32" s="1"/>
  <c r="AK51" i="32"/>
  <c r="AK52" i="32" s="1"/>
  <c r="AK53" i="32"/>
  <c r="AK54" i="32" s="1"/>
  <c r="AK55" i="32"/>
  <c r="AK56" i="32"/>
  <c r="AK57" i="32"/>
  <c r="AK58" i="32"/>
  <c r="AK59" i="32"/>
  <c r="AK60" i="32"/>
  <c r="AK61" i="32"/>
  <c r="AK62" i="32"/>
  <c r="AK63" i="32"/>
  <c r="AK64" i="32"/>
  <c r="AK65" i="32"/>
  <c r="AK66" i="32" s="1"/>
  <c r="AK67" i="32" s="1"/>
  <c r="AK68" i="32" s="1"/>
  <c r="AK69" i="32" s="1"/>
  <c r="AK70" i="32"/>
  <c r="AK71" i="32" s="1"/>
  <c r="AK72" i="32" s="1"/>
  <c r="AK73" i="32" s="1"/>
  <c r="AK74" i="32" s="1"/>
  <c r="AK75" i="32"/>
  <c r="AK76" i="32" s="1"/>
  <c r="AK77" i="32" s="1"/>
  <c r="AK78" i="32" s="1"/>
  <c r="AK79" i="32" s="1"/>
  <c r="AK80" i="32"/>
  <c r="AK81" i="32" s="1"/>
  <c r="AK82" i="32"/>
  <c r="AK83" i="32" s="1"/>
  <c r="AK84" i="32"/>
  <c r="AK85" i="32" s="1"/>
  <c r="AK86" i="32"/>
  <c r="AK87" i="32" s="1"/>
  <c r="AK88" i="32"/>
  <c r="AK89" i="32" s="1"/>
  <c r="AK90" i="32"/>
  <c r="AK91" i="32"/>
  <c r="AK92" i="32"/>
  <c r="AK93" i="32"/>
  <c r="AK94" i="32" s="1"/>
  <c r="AK95" i="32"/>
  <c r="AK96" i="32" s="1"/>
  <c r="AK97" i="32"/>
  <c r="AK98" i="32"/>
  <c r="AK99" i="32"/>
  <c r="AK100" i="32"/>
  <c r="AK101" i="32"/>
  <c r="AK102" i="32"/>
  <c r="AK103" i="32"/>
  <c r="AK104" i="32"/>
  <c r="AK105" i="32"/>
  <c r="AK106" i="32"/>
  <c r="AK107" i="32"/>
  <c r="AK108" i="32"/>
  <c r="AK109" i="32"/>
  <c r="AK110" i="32"/>
  <c r="AK111" i="32" s="1"/>
  <c r="AK112" i="32" s="1"/>
  <c r="AK113" i="32"/>
  <c r="AK114" i="32" s="1"/>
  <c r="AK115" i="32" s="1"/>
  <c r="AK116" i="32"/>
  <c r="AK117" i="32" s="1"/>
  <c r="AK118" i="32" s="1"/>
  <c r="AK119" i="32"/>
  <c r="AK120" i="32" s="1"/>
  <c r="AK121" i="32" s="1"/>
  <c r="AK122" i="32"/>
  <c r="AK123" i="32" s="1"/>
  <c r="AK124" i="32" s="1"/>
  <c r="AK125" i="32"/>
  <c r="AK126" i="32" s="1"/>
  <c r="AK127" i="32" s="1"/>
  <c r="AK128" i="32"/>
  <c r="AK129" i="32" s="1"/>
  <c r="AK130" i="32" s="1"/>
  <c r="AK131" i="32"/>
  <c r="AK132" i="32" s="1"/>
  <c r="AK133" i="32" s="1"/>
  <c r="AK134" i="32"/>
  <c r="AK135" i="32" s="1"/>
  <c r="AK136" i="32"/>
  <c r="AK137" i="32" s="1"/>
  <c r="AK138" i="32"/>
  <c r="AK139" i="32" s="1"/>
  <c r="AK140" i="32"/>
  <c r="AK141" i="32" s="1"/>
  <c r="AK142" i="32"/>
  <c r="AK143" i="32"/>
  <c r="AK144" i="32"/>
  <c r="AK145" i="32"/>
  <c r="AK146" i="32"/>
  <c r="AK147" i="32"/>
  <c r="AK148" i="32"/>
  <c r="AK149" i="32"/>
  <c r="AK150" i="32"/>
  <c r="AK151" i="32"/>
  <c r="AK152" i="32"/>
  <c r="AK153" i="32"/>
  <c r="AK154" i="32"/>
  <c r="AK155" i="32"/>
  <c r="AK156" i="32"/>
  <c r="AK157" i="32"/>
  <c r="AK158" i="32"/>
  <c r="AK159" i="32"/>
  <c r="AK160" i="32"/>
  <c r="AK161" i="32"/>
  <c r="AK162" i="32"/>
  <c r="AK163" i="32"/>
  <c r="AK164" i="32"/>
  <c r="AK165" i="32"/>
  <c r="AK166" i="32"/>
  <c r="AK167" i="32" s="1"/>
  <c r="AK168" i="32" s="1"/>
  <c r="AK169" i="32" s="1"/>
  <c r="AK170" i="32" s="1"/>
  <c r="AK171" i="32"/>
  <c r="AK172" i="32" s="1"/>
  <c r="AK173" i="32" s="1"/>
  <c r="AK174" i="32" s="1"/>
  <c r="AK175" i="32" s="1"/>
  <c r="AK176" i="32"/>
  <c r="AK177" i="32" s="1"/>
  <c r="AK178" i="32" s="1"/>
  <c r="AK179" i="32" s="1"/>
  <c r="AK180" i="32" s="1"/>
  <c r="AK181" i="32"/>
  <c r="AK182" i="32" s="1"/>
  <c r="AK183" i="32" s="1"/>
  <c r="AK184" i="32" s="1"/>
  <c r="AK185" i="32" s="1"/>
  <c r="AK186" i="32"/>
  <c r="AK187" i="32"/>
  <c r="AK188" i="32"/>
  <c r="AK189" i="32"/>
  <c r="AK190" i="32"/>
  <c r="AK191" i="32"/>
  <c r="AK192" i="32"/>
  <c r="AK193" i="32"/>
  <c r="AK194" i="32"/>
  <c r="AK195" i="32"/>
  <c r="AK196" i="32"/>
  <c r="AK197" i="32"/>
  <c r="AK198" i="32"/>
  <c r="AK199" i="32"/>
  <c r="AK200" i="32" s="1"/>
  <c r="AK201" i="32" s="1"/>
  <c r="AK202" i="32"/>
  <c r="AK203" i="32" s="1"/>
  <c r="AK204" i="32" s="1"/>
  <c r="AK205" i="32"/>
  <c r="AK206" i="32"/>
  <c r="AK207" i="32"/>
  <c r="AK208" i="32"/>
  <c r="AK209" i="32"/>
  <c r="AK210" i="32"/>
  <c r="AK211" i="32"/>
  <c r="AK212" i="32"/>
  <c r="AK213" i="32"/>
  <c r="AK214" i="32"/>
  <c r="AK215" i="32"/>
  <c r="AK216" i="32"/>
  <c r="AK217" i="32"/>
  <c r="AK218" i="32"/>
  <c r="AK219" i="32"/>
  <c r="AK220" i="32"/>
  <c r="AK221" i="32" s="1"/>
  <c r="AK222" i="32" s="1"/>
  <c r="AK223" i="32" s="1"/>
  <c r="AK224" i="32"/>
  <c r="AK225" i="32" s="1"/>
  <c r="AK226" i="32" s="1"/>
  <c r="AK227" i="32" s="1"/>
  <c r="AK228" i="32"/>
  <c r="AK229" i="32" s="1"/>
  <c r="AK230" i="32" s="1"/>
  <c r="AK231" i="32" s="1"/>
  <c r="AK232" i="32"/>
  <c r="AK233" i="32"/>
  <c r="AK234" i="32"/>
  <c r="AK235" i="32"/>
  <c r="AK236" i="32"/>
  <c r="AK237" i="32"/>
  <c r="AK238" i="32"/>
  <c r="AK239" i="32"/>
  <c r="AK240" i="32"/>
  <c r="AK241" i="32"/>
  <c r="AK242" i="32"/>
  <c r="AK243" i="32"/>
  <c r="AK244" i="32"/>
  <c r="AK245" i="32"/>
  <c r="AK246" i="32"/>
  <c r="AK247" i="32"/>
  <c r="AK248" i="32"/>
  <c r="AK249" i="32"/>
  <c r="AK250" i="32"/>
  <c r="AK251" i="32"/>
  <c r="AK252" i="32"/>
  <c r="AK253" i="32"/>
  <c r="AK254" i="32"/>
  <c r="AK255" i="32"/>
  <c r="AK256" i="32"/>
  <c r="AK257" i="32"/>
  <c r="AK258" i="32"/>
  <c r="AK259" i="32"/>
  <c r="AK260" i="32"/>
  <c r="AK261" i="32"/>
  <c r="AK262" i="32"/>
  <c r="AK263" i="32"/>
  <c r="AK264" i="32"/>
  <c r="AK265" i="32"/>
  <c r="AK266" i="32"/>
  <c r="AK267" i="32"/>
  <c r="AK268" i="32"/>
  <c r="AK269" i="32"/>
  <c r="AK270" i="32"/>
  <c r="AK271" i="32" s="1"/>
  <c r="AK272" i="32" s="1"/>
  <c r="AK273" i="32" s="1"/>
  <c r="AK274" i="32" s="1"/>
  <c r="AK275" i="32" s="1"/>
  <c r="AK276" i="32" s="1"/>
  <c r="AK277" i="32" s="1"/>
  <c r="AK278" i="32" s="1"/>
  <c r="AK279" i="32" s="1"/>
  <c r="AK280" i="32" s="1"/>
  <c r="AK281" i="32" s="1"/>
  <c r="AK282" i="32" s="1"/>
  <c r="AK283" i="32" s="1"/>
  <c r="AK284" i="32" s="1"/>
  <c r="AK285" i="32" s="1"/>
  <c r="AK286" i="32"/>
  <c r="AK287" i="32" s="1"/>
  <c r="AK288" i="32" s="1"/>
  <c r="AK289" i="32" s="1"/>
  <c r="AK290" i="32" s="1"/>
  <c r="AK291" i="32" s="1"/>
  <c r="AK292" i="32" s="1"/>
  <c r="AK293" i="32" s="1"/>
  <c r="AK294" i="32" s="1"/>
  <c r="AK295" i="32" s="1"/>
  <c r="AK296" i="32" s="1"/>
  <c r="AK297" i="32" s="1"/>
  <c r="AK298" i="32" s="1"/>
  <c r="AK299" i="32" s="1"/>
  <c r="AK300" i="32" s="1"/>
  <c r="AK301" i="32" s="1"/>
  <c r="AK302" i="32"/>
  <c r="AK303" i="32"/>
  <c r="AK304" i="32"/>
  <c r="AK305" i="32"/>
  <c r="AK306" i="32" s="1"/>
  <c r="AK307" i="32" s="1"/>
  <c r="AK308" i="32" s="1"/>
  <c r="AK309" i="32"/>
  <c r="AK310" i="32" s="1"/>
  <c r="AK311" i="32" s="1"/>
  <c r="AK312" i="32" s="1"/>
  <c r="AK2" i="32"/>
  <c r="AH3" i="32"/>
  <c r="AH4" i="32"/>
  <c r="AH5" i="32" s="1"/>
  <c r="AH6" i="32"/>
  <c r="AH7" i="32" s="1"/>
  <c r="AH8" i="32"/>
  <c r="AH9" i="32" s="1"/>
  <c r="AH10" i="32"/>
  <c r="AH11" i="32"/>
  <c r="AH12" i="32"/>
  <c r="AH13" i="32"/>
  <c r="AH14" i="32" s="1"/>
  <c r="AH15" i="32"/>
  <c r="AH16" i="32" s="1"/>
  <c r="AH17" i="32"/>
  <c r="AH18" i="32" s="1"/>
  <c r="AH19" i="32"/>
  <c r="AH20" i="32"/>
  <c r="AH21" i="32"/>
  <c r="AH22" i="32"/>
  <c r="AH23" i="32"/>
  <c r="AH24" i="32"/>
  <c r="AH25" i="32"/>
  <c r="AH26" i="32" s="1"/>
  <c r="AH27" i="32"/>
  <c r="AH28" i="32" s="1"/>
  <c r="AH29" i="32"/>
  <c r="AH30" i="32" s="1"/>
  <c r="AH31" i="32"/>
  <c r="AH32" i="32" s="1"/>
  <c r="AH33" i="32"/>
  <c r="AH34" i="32"/>
  <c r="AH35" i="32"/>
  <c r="AH36" i="32"/>
  <c r="AH37" i="32"/>
  <c r="AH38" i="32"/>
  <c r="AH39" i="32"/>
  <c r="AH40" i="32" s="1"/>
  <c r="AH41" i="32"/>
  <c r="AH42" i="32" s="1"/>
  <c r="AH43" i="32"/>
  <c r="AH44" i="32" s="1"/>
  <c r="AH45" i="32"/>
  <c r="AH46" i="32"/>
  <c r="AH47" i="32"/>
  <c r="AH48" i="32"/>
  <c r="AH49" i="32"/>
  <c r="AH50" i="32" s="1"/>
  <c r="AH51" i="32"/>
  <c r="AH52" i="32" s="1"/>
  <c r="AH53" i="32"/>
  <c r="AH54" i="32" s="1"/>
  <c r="AH55" i="32"/>
  <c r="AH56" i="32"/>
  <c r="AH57" i="32"/>
  <c r="AH58" i="32"/>
  <c r="AH59" i="32"/>
  <c r="AH60" i="32"/>
  <c r="AH61" i="32"/>
  <c r="AH62" i="32"/>
  <c r="AH63" i="32"/>
  <c r="AH64" i="32"/>
  <c r="AH65" i="32"/>
  <c r="AH66" i="32" s="1"/>
  <c r="AH67" i="32" s="1"/>
  <c r="AH68" i="32" s="1"/>
  <c r="AH69" i="32" s="1"/>
  <c r="AH70" i="32"/>
  <c r="AH71" i="32" s="1"/>
  <c r="AH72" i="32" s="1"/>
  <c r="AH73" i="32" s="1"/>
  <c r="AH74" i="32" s="1"/>
  <c r="AH75" i="32"/>
  <c r="AH76" i="32" s="1"/>
  <c r="AH77" i="32" s="1"/>
  <c r="AH78" i="32" s="1"/>
  <c r="AH79" i="32" s="1"/>
  <c r="AH80" i="32"/>
  <c r="AH81" i="32" s="1"/>
  <c r="AH82" i="32"/>
  <c r="AH83" i="32" s="1"/>
  <c r="AH84" i="32"/>
  <c r="AH85" i="32" s="1"/>
  <c r="AH86" i="32"/>
  <c r="AH87" i="32" s="1"/>
  <c r="AH88" i="32"/>
  <c r="AH89" i="32" s="1"/>
  <c r="AH90" i="32"/>
  <c r="AH91" i="32"/>
  <c r="AH92" i="32"/>
  <c r="AH93" i="32"/>
  <c r="AH94" i="32" s="1"/>
  <c r="AH95" i="32"/>
  <c r="AH96" i="32" s="1"/>
  <c r="AH97" i="32"/>
  <c r="AH98" i="32"/>
  <c r="AH99" i="32"/>
  <c r="AH100" i="32"/>
  <c r="AH101" i="32"/>
  <c r="AH102" i="32"/>
  <c r="AH103" i="32"/>
  <c r="AH104" i="32"/>
  <c r="AH105" i="32"/>
  <c r="AH106" i="32"/>
  <c r="AH107" i="32"/>
  <c r="AH108" i="32"/>
  <c r="AH109" i="32"/>
  <c r="AH110" i="32"/>
  <c r="AH111" i="32" s="1"/>
  <c r="AH112" i="32" s="1"/>
  <c r="AH113" i="32"/>
  <c r="AH114" i="32" s="1"/>
  <c r="AH115" i="32" s="1"/>
  <c r="AH116" i="32"/>
  <c r="AH117" i="32" s="1"/>
  <c r="AH118" i="32" s="1"/>
  <c r="AH119" i="32"/>
  <c r="AH120" i="32" s="1"/>
  <c r="AH121" i="32" s="1"/>
  <c r="AH122" i="32"/>
  <c r="AH123" i="32" s="1"/>
  <c r="AH124" i="32" s="1"/>
  <c r="AH125" i="32"/>
  <c r="AH126" i="32" s="1"/>
  <c r="AH127" i="32" s="1"/>
  <c r="AH128" i="32"/>
  <c r="AH129" i="32" s="1"/>
  <c r="AH130" i="32" s="1"/>
  <c r="AH131" i="32"/>
  <c r="AH132" i="32" s="1"/>
  <c r="AH133" i="32" s="1"/>
  <c r="AH134" i="32"/>
  <c r="AH135" i="32" s="1"/>
  <c r="AH136" i="32"/>
  <c r="AH137" i="32" s="1"/>
  <c r="AH138" i="32"/>
  <c r="AH139" i="32" s="1"/>
  <c r="AH140" i="32"/>
  <c r="AH141" i="32" s="1"/>
  <c r="AH142" i="32"/>
  <c r="AH143" i="32"/>
  <c r="AH144" i="32"/>
  <c r="AH145" i="32"/>
  <c r="AH146" i="32"/>
  <c r="AH147" i="32"/>
  <c r="AH148" i="32"/>
  <c r="AH149" i="32"/>
  <c r="AH150" i="32"/>
  <c r="AH151" i="32"/>
  <c r="AH152" i="32"/>
  <c r="AH153" i="32"/>
  <c r="AH154" i="32"/>
  <c r="AH155" i="32"/>
  <c r="AH156" i="32"/>
  <c r="AH157" i="32"/>
  <c r="AH158" i="32"/>
  <c r="AH159" i="32"/>
  <c r="AH160" i="32"/>
  <c r="AH161" i="32"/>
  <c r="AH162" i="32"/>
  <c r="AH163" i="32"/>
  <c r="AH164" i="32"/>
  <c r="AH165" i="32"/>
  <c r="AH166" i="32"/>
  <c r="AH167" i="32" s="1"/>
  <c r="AH168" i="32" s="1"/>
  <c r="AH169" i="32" s="1"/>
  <c r="AH170" i="32" s="1"/>
  <c r="AH171" i="32"/>
  <c r="AH172" i="32" s="1"/>
  <c r="AH173" i="32" s="1"/>
  <c r="AH174" i="32" s="1"/>
  <c r="AH175" i="32" s="1"/>
  <c r="AH176" i="32"/>
  <c r="AH177" i="32" s="1"/>
  <c r="AH178" i="32" s="1"/>
  <c r="AH179" i="32" s="1"/>
  <c r="AH180" i="32" s="1"/>
  <c r="AH181" i="32"/>
  <c r="AH182" i="32" s="1"/>
  <c r="AH183" i="32" s="1"/>
  <c r="AH184" i="32" s="1"/>
  <c r="AH185" i="32" s="1"/>
  <c r="AH186" i="32"/>
  <c r="AH187" i="32"/>
  <c r="AH188" i="32"/>
  <c r="AH189" i="32"/>
  <c r="AH190" i="32"/>
  <c r="AH191" i="32"/>
  <c r="AH192" i="32"/>
  <c r="AH193" i="32"/>
  <c r="AH194" i="32"/>
  <c r="AH195" i="32"/>
  <c r="AH196" i="32"/>
  <c r="AH197" i="32"/>
  <c r="AH198" i="32"/>
  <c r="AH199" i="32"/>
  <c r="AH200" i="32" s="1"/>
  <c r="AH201" i="32" s="1"/>
  <c r="AH202" i="32"/>
  <c r="AH203" i="32" s="1"/>
  <c r="AH204" i="32" s="1"/>
  <c r="AH205" i="32"/>
  <c r="AH206" i="32"/>
  <c r="AH207" i="32"/>
  <c r="AH208" i="32"/>
  <c r="AH209" i="32"/>
  <c r="AH210" i="32"/>
  <c r="AH211" i="32"/>
  <c r="AH212" i="32"/>
  <c r="AH213" i="32"/>
  <c r="AH214" i="32"/>
  <c r="AH215" i="32"/>
  <c r="AH216" i="32"/>
  <c r="AH217" i="32"/>
  <c r="AH218" i="32"/>
  <c r="AH219" i="32"/>
  <c r="AH220" i="32"/>
  <c r="AH221" i="32" s="1"/>
  <c r="AH222" i="32" s="1"/>
  <c r="AH223" i="32" s="1"/>
  <c r="AH224" i="32"/>
  <c r="AH225" i="32" s="1"/>
  <c r="AH226" i="32" s="1"/>
  <c r="AH227" i="32" s="1"/>
  <c r="AH228" i="32"/>
  <c r="AH229" i="32" s="1"/>
  <c r="AH230" i="32" s="1"/>
  <c r="AH231" i="32" s="1"/>
  <c r="AH232" i="32"/>
  <c r="AH233" i="32"/>
  <c r="AH234" i="32"/>
  <c r="AH235" i="32"/>
  <c r="AH236" i="32"/>
  <c r="AH237" i="32"/>
  <c r="AH238" i="32"/>
  <c r="AH239" i="32"/>
  <c r="AH240" i="32"/>
  <c r="AH241" i="32"/>
  <c r="AH242" i="32"/>
  <c r="AH243" i="32"/>
  <c r="AH244" i="32"/>
  <c r="AH245" i="32"/>
  <c r="AH246" i="32"/>
  <c r="AH247" i="32"/>
  <c r="AH248" i="32"/>
  <c r="AH249" i="32"/>
  <c r="AH250" i="32"/>
  <c r="AH251" i="32"/>
  <c r="AH252" i="32"/>
  <c r="AH253" i="32"/>
  <c r="AH254" i="32"/>
  <c r="AH255" i="32"/>
  <c r="AH256" i="32"/>
  <c r="AH257" i="32"/>
  <c r="AH258" i="32"/>
  <c r="AH259" i="32"/>
  <c r="AH260" i="32"/>
  <c r="AH261" i="32"/>
  <c r="AH262" i="32"/>
  <c r="AH263" i="32"/>
  <c r="AH264" i="32"/>
  <c r="AH265" i="32"/>
  <c r="AH266" i="32"/>
  <c r="AH267" i="32"/>
  <c r="AH268" i="32"/>
  <c r="AH269" i="32"/>
  <c r="AH270" i="32"/>
  <c r="AH271" i="32" s="1"/>
  <c r="AH272" i="32" s="1"/>
  <c r="AH273" i="32" s="1"/>
  <c r="AH274" i="32" s="1"/>
  <c r="AH275" i="32" s="1"/>
  <c r="AH276" i="32" s="1"/>
  <c r="AH277" i="32" s="1"/>
  <c r="AH278" i="32" s="1"/>
  <c r="AH279" i="32" s="1"/>
  <c r="AH280" i="32" s="1"/>
  <c r="AH281" i="32" s="1"/>
  <c r="AH282" i="32" s="1"/>
  <c r="AH283" i="32" s="1"/>
  <c r="AH284" i="32" s="1"/>
  <c r="AH285" i="32" s="1"/>
  <c r="AH286" i="32"/>
  <c r="AH287" i="32" s="1"/>
  <c r="AH288" i="32" s="1"/>
  <c r="AH289" i="32" s="1"/>
  <c r="AH290" i="32" s="1"/>
  <c r="AH291" i="32" s="1"/>
  <c r="AH292" i="32" s="1"/>
  <c r="AH293" i="32" s="1"/>
  <c r="AH294" i="32" s="1"/>
  <c r="AH295" i="32" s="1"/>
  <c r="AH296" i="32" s="1"/>
  <c r="AH297" i="32" s="1"/>
  <c r="AH298" i="32" s="1"/>
  <c r="AH299" i="32" s="1"/>
  <c r="AH300" i="32" s="1"/>
  <c r="AH301" i="32" s="1"/>
  <c r="AH302" i="32"/>
  <c r="AH303" i="32"/>
  <c r="AH304" i="32"/>
  <c r="AH305" i="32"/>
  <c r="AH306" i="32" s="1"/>
  <c r="AH307" i="32" s="1"/>
  <c r="AH308" i="32" s="1"/>
  <c r="AH309" i="32"/>
  <c r="AH310" i="32" s="1"/>
  <c r="AH311" i="32" s="1"/>
  <c r="AH312" i="32" s="1"/>
  <c r="AH2" i="32"/>
  <c r="J1" i="33"/>
  <c r="I1" i="33"/>
  <c r="X269" i="32" l="1"/>
  <c r="X254" i="32"/>
  <c r="X206" i="32"/>
  <c r="X211" i="32"/>
  <c r="Z225" i="32"/>
  <c r="X226" i="32"/>
  <c r="Z221" i="32"/>
  <c r="X222" i="32"/>
  <c r="Z224" i="32"/>
  <c r="Z220" i="32"/>
  <c r="Z287" i="32"/>
  <c r="X288" i="32"/>
  <c r="Z286" i="32"/>
  <c r="F243" i="16"/>
  <c r="F240" i="16"/>
  <c r="X3" i="32"/>
  <c r="Z3" i="32" s="1"/>
  <c r="X4" i="32"/>
  <c r="X5" i="32" s="1"/>
  <c r="X6" i="32"/>
  <c r="X7" i="32" s="1"/>
  <c r="X8" i="32"/>
  <c r="X9" i="32" s="1"/>
  <c r="Z9" i="32" s="1"/>
  <c r="X10" i="32"/>
  <c r="X11" i="32"/>
  <c r="Z11" i="32" s="1"/>
  <c r="X12" i="32"/>
  <c r="X13" i="32"/>
  <c r="X14" i="32" s="1"/>
  <c r="X15" i="32"/>
  <c r="X16" i="32" s="1"/>
  <c r="Z16" i="32" s="1"/>
  <c r="X17" i="32"/>
  <c r="X18" i="32" s="1"/>
  <c r="X19" i="32"/>
  <c r="S19" i="32" s="1"/>
  <c r="X20" i="32"/>
  <c r="X21" i="32"/>
  <c r="Z21" i="32" s="1"/>
  <c r="X22" i="32"/>
  <c r="V22" i="32" s="1"/>
  <c r="X23" i="32"/>
  <c r="X24" i="32"/>
  <c r="Z24" i="32" s="1"/>
  <c r="X25" i="32"/>
  <c r="X26" i="32" s="1"/>
  <c r="X27" i="32"/>
  <c r="X28" i="32" s="1"/>
  <c r="X29" i="32"/>
  <c r="X30" i="32" s="1"/>
  <c r="X31" i="32"/>
  <c r="X32" i="32" s="1"/>
  <c r="X33" i="32"/>
  <c r="V33" i="32" s="1"/>
  <c r="X34" i="32"/>
  <c r="Z34" i="32" s="1"/>
  <c r="X35" i="32"/>
  <c r="Z35" i="32" s="1"/>
  <c r="X36" i="32"/>
  <c r="S36" i="32" s="1"/>
  <c r="X37" i="32"/>
  <c r="V37" i="32" s="1"/>
  <c r="X38" i="32"/>
  <c r="Z38" i="32" s="1"/>
  <c r="X39" i="32"/>
  <c r="X40" i="32" s="1"/>
  <c r="Z40" i="32" s="1"/>
  <c r="X41" i="32"/>
  <c r="X42" i="32" s="1"/>
  <c r="X43" i="32"/>
  <c r="X44" i="32" s="1"/>
  <c r="S44" i="32" s="1"/>
  <c r="X45" i="32"/>
  <c r="Z45" i="32" s="1"/>
  <c r="X46" i="32"/>
  <c r="Z46" i="32" s="1"/>
  <c r="X47" i="32"/>
  <c r="T47" i="32" s="1"/>
  <c r="X48" i="32"/>
  <c r="Z48" i="32" s="1"/>
  <c r="X49" i="32"/>
  <c r="X50" i="32" s="1"/>
  <c r="X51" i="32"/>
  <c r="X52" i="32" s="1"/>
  <c r="Z52" i="32" s="1"/>
  <c r="X53" i="32"/>
  <c r="X54" i="32" s="1"/>
  <c r="X55" i="32"/>
  <c r="V55" i="32" s="1"/>
  <c r="X56" i="32"/>
  <c r="S56" i="32" s="1"/>
  <c r="X57" i="32"/>
  <c r="X58" i="32" s="1"/>
  <c r="X59" i="32" s="1"/>
  <c r="X61" i="32"/>
  <c r="X62" i="32" s="1"/>
  <c r="X65" i="32"/>
  <c r="X66" i="32" s="1"/>
  <c r="Y65" i="32"/>
  <c r="Y70" i="32"/>
  <c r="X75" i="32"/>
  <c r="X76" i="32" s="1"/>
  <c r="X77" i="32" s="1"/>
  <c r="X78" i="32" s="1"/>
  <c r="X79" i="32" s="1"/>
  <c r="Y75" i="32"/>
  <c r="AA75" i="32" s="1"/>
  <c r="X80" i="32"/>
  <c r="X81" i="32" s="1"/>
  <c r="Z81" i="32" s="1"/>
  <c r="X82" i="32"/>
  <c r="X83" i="32" s="1"/>
  <c r="X84" i="32"/>
  <c r="X85" i="32" s="1"/>
  <c r="Z85" i="32" s="1"/>
  <c r="X86" i="32"/>
  <c r="X87" i="32" s="1"/>
  <c r="X88" i="32"/>
  <c r="X89" i="32" s="1"/>
  <c r="Z89" i="32" s="1"/>
  <c r="X90" i="32"/>
  <c r="V90" i="32" s="1"/>
  <c r="X91" i="32"/>
  <c r="V91" i="32" s="1"/>
  <c r="X97" i="32"/>
  <c r="X98" i="32" s="1"/>
  <c r="X99" i="32" s="1"/>
  <c r="X100" i="32" s="1"/>
  <c r="X103" i="32"/>
  <c r="X104" i="32" s="1"/>
  <c r="X106" i="32"/>
  <c r="U106" i="32" s="1"/>
  <c r="X109" i="32"/>
  <c r="Z109" i="32" s="1"/>
  <c r="X119" i="32"/>
  <c r="X120" i="32" s="1"/>
  <c r="X125" i="32"/>
  <c r="X126" i="32" s="1"/>
  <c r="X128" i="32"/>
  <c r="X129" i="32" s="1"/>
  <c r="X130" i="32" s="1"/>
  <c r="X131" i="32"/>
  <c r="X132" i="32" s="1"/>
  <c r="X134" i="32"/>
  <c r="X135" i="32" s="1"/>
  <c r="X136" i="32"/>
  <c r="X137" i="32" s="1"/>
  <c r="V137" i="32" s="1"/>
  <c r="X138" i="32"/>
  <c r="X139" i="32" s="1"/>
  <c r="X140" i="32"/>
  <c r="Z140" i="32" s="1"/>
  <c r="X142" i="32"/>
  <c r="U142" i="32" s="1"/>
  <c r="X143" i="32"/>
  <c r="S143" i="32" s="1"/>
  <c r="X144" i="32"/>
  <c r="S144" i="32" s="1"/>
  <c r="X145" i="32"/>
  <c r="V145" i="32" s="1"/>
  <c r="X146" i="32"/>
  <c r="X147" i="32"/>
  <c r="X148" i="32" s="1"/>
  <c r="X152" i="32"/>
  <c r="S152" i="32" s="1"/>
  <c r="X153" i="32"/>
  <c r="T153" i="32" s="1"/>
  <c r="X157" i="32"/>
  <c r="V157" i="32" s="1"/>
  <c r="X158" i="32"/>
  <c r="T158" i="32" s="1"/>
  <c r="X162" i="32"/>
  <c r="X163" i="32"/>
  <c r="X164" i="32" s="1"/>
  <c r="X171" i="32"/>
  <c r="X172" i="32" s="1"/>
  <c r="X173" i="32" s="1"/>
  <c r="X174" i="32" s="1"/>
  <c r="Y171" i="32"/>
  <c r="AA171" i="32" s="1"/>
  <c r="X176" i="32"/>
  <c r="X177" i="32" s="1"/>
  <c r="Y181" i="32"/>
  <c r="X186" i="32"/>
  <c r="S186" i="32" s="1"/>
  <c r="X187" i="32"/>
  <c r="V187" i="32" s="1"/>
  <c r="X188" i="32"/>
  <c r="Z188" i="32" s="1"/>
  <c r="X189" i="32"/>
  <c r="V189" i="32" s="1"/>
  <c r="X190" i="32"/>
  <c r="Z190" i="32" s="1"/>
  <c r="X191" i="32"/>
  <c r="V191" i="32" s="1"/>
  <c r="X192" i="32"/>
  <c r="T192" i="32" s="1"/>
  <c r="X193" i="32"/>
  <c r="T193" i="32" s="1"/>
  <c r="X194" i="32"/>
  <c r="Z194" i="32" s="1"/>
  <c r="X195" i="32"/>
  <c r="V195" i="32" s="1"/>
  <c r="X196" i="32"/>
  <c r="X197" i="32" s="1"/>
  <c r="X199" i="32"/>
  <c r="X200" i="32" s="1"/>
  <c r="X201" i="32" s="1"/>
  <c r="V201" i="32" s="1"/>
  <c r="S205" i="32"/>
  <c r="T209" i="32"/>
  <c r="V211" i="32"/>
  <c r="V215" i="32"/>
  <c r="U218" i="32"/>
  <c r="V220" i="32"/>
  <c r="V232" i="32"/>
  <c r="V234" i="32"/>
  <c r="V235" i="32"/>
  <c r="V238" i="32"/>
  <c r="V239" i="32"/>
  <c r="U240" i="32"/>
  <c r="S241" i="32"/>
  <c r="V242" i="32"/>
  <c r="U243" i="32"/>
  <c r="U244" i="32"/>
  <c r="V245" i="32"/>
  <c r="V247" i="32"/>
  <c r="U253" i="32"/>
  <c r="V254" i="32"/>
  <c r="V267" i="32"/>
  <c r="S268" i="32"/>
  <c r="X2" i="32"/>
  <c r="Z2" i="32" s="1"/>
  <c r="E62" i="16"/>
  <c r="X62" i="16"/>
  <c r="X63" i="16"/>
  <c r="X64" i="16"/>
  <c r="U58" i="16"/>
  <c r="W58" i="16"/>
  <c r="X58" i="16"/>
  <c r="AG58" i="16"/>
  <c r="AF58" i="16" s="1"/>
  <c r="AH58" i="16"/>
  <c r="U59" i="16"/>
  <c r="W59" i="16"/>
  <c r="X59" i="16"/>
  <c r="AG59" i="16"/>
  <c r="AF59" i="16" s="1"/>
  <c r="AH59" i="16"/>
  <c r="U60" i="16"/>
  <c r="W60" i="16"/>
  <c r="X60" i="16"/>
  <c r="AF60" i="16"/>
  <c r="AV60" i="32" s="1"/>
  <c r="AW60" i="32" s="1"/>
  <c r="AG60" i="16"/>
  <c r="AH60" i="16"/>
  <c r="E58" i="16"/>
  <c r="AI302" i="32"/>
  <c r="AJ302" i="32" s="1"/>
  <c r="AI6" i="32"/>
  <c r="AJ6" i="32" s="1"/>
  <c r="AW312" i="32"/>
  <c r="AR312" i="32"/>
  <c r="AI312" i="32"/>
  <c r="AJ312" i="32" s="1"/>
  <c r="R312" i="32"/>
  <c r="Q312" i="32"/>
  <c r="M312" i="32"/>
  <c r="K312" i="32"/>
  <c r="AW311" i="32"/>
  <c r="AR311" i="32"/>
  <c r="AI311" i="32"/>
  <c r="AJ311" i="32" s="1"/>
  <c r="R311" i="32"/>
  <c r="Q311" i="32"/>
  <c r="M311" i="32"/>
  <c r="K311" i="32"/>
  <c r="AW310" i="32"/>
  <c r="AR310" i="32"/>
  <c r="AI310" i="32"/>
  <c r="AJ310" i="32" s="1"/>
  <c r="R310" i="32"/>
  <c r="Q310" i="32"/>
  <c r="M310" i="32"/>
  <c r="K310" i="32"/>
  <c r="AW309" i="32"/>
  <c r="AR309" i="32"/>
  <c r="AI309" i="32"/>
  <c r="AJ309" i="32" s="1"/>
  <c r="R309" i="32"/>
  <c r="Q309" i="32"/>
  <c r="M309" i="32"/>
  <c r="K309" i="32"/>
  <c r="AW308" i="32"/>
  <c r="AR308" i="32"/>
  <c r="AI308" i="32"/>
  <c r="AJ308" i="32" s="1"/>
  <c r="R308" i="32"/>
  <c r="Q308" i="32"/>
  <c r="M308" i="32"/>
  <c r="K308" i="32"/>
  <c r="AW307" i="32"/>
  <c r="AR307" i="32"/>
  <c r="AI307" i="32"/>
  <c r="AJ307" i="32" s="1"/>
  <c r="R307" i="32"/>
  <c r="Q307" i="32"/>
  <c r="M307" i="32"/>
  <c r="K307" i="32"/>
  <c r="AW306" i="32"/>
  <c r="AR306" i="32"/>
  <c r="AI306" i="32"/>
  <c r="AJ306" i="32" s="1"/>
  <c r="R306" i="32"/>
  <c r="Q306" i="32"/>
  <c r="M306" i="32"/>
  <c r="K306" i="32"/>
  <c r="AW305" i="32"/>
  <c r="AR305" i="32"/>
  <c r="AI305" i="32"/>
  <c r="AJ305" i="32" s="1"/>
  <c r="R305" i="32"/>
  <c r="Q305" i="32"/>
  <c r="M305" i="32"/>
  <c r="K305" i="32"/>
  <c r="AW304" i="32"/>
  <c r="AR304" i="32"/>
  <c r="AI304" i="32"/>
  <c r="AJ304" i="32" s="1"/>
  <c r="R304" i="32"/>
  <c r="Q304" i="32"/>
  <c r="M304" i="32"/>
  <c r="K304" i="32"/>
  <c r="AW303" i="32"/>
  <c r="AR303" i="32"/>
  <c r="AI303" i="32"/>
  <c r="AJ303" i="32" s="1"/>
  <c r="R303" i="32"/>
  <c r="Q303" i="32"/>
  <c r="M303" i="32"/>
  <c r="K303" i="32"/>
  <c r="AW302" i="32"/>
  <c r="AR302" i="32"/>
  <c r="R302" i="32"/>
  <c r="Q302" i="32"/>
  <c r="M302" i="32"/>
  <c r="K302" i="32"/>
  <c r="AR301" i="32"/>
  <c r="AI301" i="32"/>
  <c r="AJ301" i="32" s="1"/>
  <c r="R301" i="32"/>
  <c r="Q301" i="32"/>
  <c r="M301" i="32"/>
  <c r="K301" i="32"/>
  <c r="AR300" i="32"/>
  <c r="AI300" i="32"/>
  <c r="AJ300" i="32" s="1"/>
  <c r="R300" i="32"/>
  <c r="Q300" i="32"/>
  <c r="M300" i="32"/>
  <c r="K300" i="32"/>
  <c r="AR299" i="32"/>
  <c r="AI299" i="32"/>
  <c r="AJ299" i="32" s="1"/>
  <c r="R299" i="32"/>
  <c r="Q299" i="32"/>
  <c r="M299" i="32"/>
  <c r="K299" i="32"/>
  <c r="AR298" i="32"/>
  <c r="AI298" i="32"/>
  <c r="AJ298" i="32" s="1"/>
  <c r="R298" i="32"/>
  <c r="Q298" i="32"/>
  <c r="M298" i="32"/>
  <c r="K298" i="32"/>
  <c r="AR297" i="32"/>
  <c r="AI297" i="32"/>
  <c r="AJ297" i="32" s="1"/>
  <c r="R297" i="32"/>
  <c r="Q297" i="32"/>
  <c r="M297" i="32"/>
  <c r="K297" i="32"/>
  <c r="AR296" i="32"/>
  <c r="AI296" i="32"/>
  <c r="AJ296" i="32" s="1"/>
  <c r="R296" i="32"/>
  <c r="Q296" i="32"/>
  <c r="M296" i="32"/>
  <c r="K296" i="32"/>
  <c r="AR295" i="32"/>
  <c r="AI295" i="32"/>
  <c r="AJ295" i="32" s="1"/>
  <c r="R295" i="32"/>
  <c r="Q295" i="32"/>
  <c r="M295" i="32"/>
  <c r="K295" i="32"/>
  <c r="AR294" i="32"/>
  <c r="AI294" i="32"/>
  <c r="AJ294" i="32" s="1"/>
  <c r="R294" i="32"/>
  <c r="Q294" i="32"/>
  <c r="M294" i="32"/>
  <c r="K294" i="32"/>
  <c r="AR293" i="32"/>
  <c r="AI293" i="32"/>
  <c r="AJ293" i="32" s="1"/>
  <c r="R293" i="32"/>
  <c r="Q293" i="32"/>
  <c r="M293" i="32"/>
  <c r="K293" i="32"/>
  <c r="AR292" i="32"/>
  <c r="AI292" i="32"/>
  <c r="AJ292" i="32" s="1"/>
  <c r="R292" i="32"/>
  <c r="Q292" i="32"/>
  <c r="M292" i="32"/>
  <c r="K292" i="32"/>
  <c r="AR291" i="32"/>
  <c r="AI291" i="32"/>
  <c r="AJ291" i="32" s="1"/>
  <c r="R291" i="32"/>
  <c r="Q291" i="32"/>
  <c r="M291" i="32"/>
  <c r="K291" i="32"/>
  <c r="AR290" i="32"/>
  <c r="AI290" i="32"/>
  <c r="AJ290" i="32" s="1"/>
  <c r="R290" i="32"/>
  <c r="Q290" i="32"/>
  <c r="M290" i="32"/>
  <c r="K290" i="32"/>
  <c r="AR289" i="32"/>
  <c r="AI289" i="32"/>
  <c r="AJ289" i="32" s="1"/>
  <c r="R289" i="32"/>
  <c r="Q289" i="32"/>
  <c r="M289" i="32"/>
  <c r="K289" i="32"/>
  <c r="AR288" i="32"/>
  <c r="AI288" i="32"/>
  <c r="AJ288" i="32" s="1"/>
  <c r="R288" i="32"/>
  <c r="Q288" i="32"/>
  <c r="M288" i="32"/>
  <c r="K288" i="32"/>
  <c r="AR287" i="32"/>
  <c r="AI287" i="32"/>
  <c r="AJ287" i="32" s="1"/>
  <c r="R287" i="32"/>
  <c r="Q287" i="32"/>
  <c r="M287" i="32"/>
  <c r="K287" i="32"/>
  <c r="AR286" i="32"/>
  <c r="AI286" i="32"/>
  <c r="AJ286" i="32" s="1"/>
  <c r="R286" i="32"/>
  <c r="Q286" i="32"/>
  <c r="M286" i="32"/>
  <c r="K286" i="32"/>
  <c r="AR285" i="32"/>
  <c r="AI285" i="32"/>
  <c r="AJ285" i="32" s="1"/>
  <c r="R285" i="32"/>
  <c r="Q285" i="32"/>
  <c r="M285" i="32"/>
  <c r="K285" i="32"/>
  <c r="AR284" i="32"/>
  <c r="AI284" i="32"/>
  <c r="AJ284" i="32" s="1"/>
  <c r="R284" i="32"/>
  <c r="Q284" i="32"/>
  <c r="M284" i="32"/>
  <c r="K284" i="32"/>
  <c r="AR283" i="32"/>
  <c r="AI283" i="32"/>
  <c r="AJ283" i="32" s="1"/>
  <c r="R283" i="32"/>
  <c r="Q283" i="32"/>
  <c r="M283" i="32"/>
  <c r="K283" i="32"/>
  <c r="AR282" i="32"/>
  <c r="AI282" i="32"/>
  <c r="AJ282" i="32" s="1"/>
  <c r="R282" i="32"/>
  <c r="Q282" i="32"/>
  <c r="M282" i="32"/>
  <c r="K282" i="32"/>
  <c r="AR281" i="32"/>
  <c r="AI281" i="32"/>
  <c r="AJ281" i="32" s="1"/>
  <c r="R281" i="32"/>
  <c r="Q281" i="32"/>
  <c r="M281" i="32"/>
  <c r="K281" i="32"/>
  <c r="AR280" i="32"/>
  <c r="AI280" i="32"/>
  <c r="AJ280" i="32" s="1"/>
  <c r="R280" i="32"/>
  <c r="Q280" i="32"/>
  <c r="M280" i="32"/>
  <c r="K280" i="32"/>
  <c r="AR279" i="32"/>
  <c r="AI279" i="32"/>
  <c r="AJ279" i="32" s="1"/>
  <c r="R279" i="32"/>
  <c r="Q279" i="32"/>
  <c r="M279" i="32"/>
  <c r="K279" i="32"/>
  <c r="AR278" i="32"/>
  <c r="AI278" i="32"/>
  <c r="AJ278" i="32" s="1"/>
  <c r="R278" i="32"/>
  <c r="Q278" i="32"/>
  <c r="M278" i="32"/>
  <c r="K278" i="32"/>
  <c r="AR277" i="32"/>
  <c r="AI277" i="32"/>
  <c r="AJ277" i="32" s="1"/>
  <c r="R277" i="32"/>
  <c r="Q277" i="32"/>
  <c r="M277" i="32"/>
  <c r="K277" i="32"/>
  <c r="AR276" i="32"/>
  <c r="AI276" i="32"/>
  <c r="AJ276" i="32" s="1"/>
  <c r="R276" i="32"/>
  <c r="Q276" i="32"/>
  <c r="M276" i="32"/>
  <c r="K276" i="32"/>
  <c r="AR275" i="32"/>
  <c r="AI275" i="32"/>
  <c r="AJ275" i="32" s="1"/>
  <c r="R275" i="32"/>
  <c r="Q275" i="32"/>
  <c r="M275" i="32"/>
  <c r="K275" i="32"/>
  <c r="AR274" i="32"/>
  <c r="AI274" i="32"/>
  <c r="AJ274" i="32" s="1"/>
  <c r="R274" i="32"/>
  <c r="Q274" i="32"/>
  <c r="M274" i="32"/>
  <c r="K274" i="32"/>
  <c r="AR273" i="32"/>
  <c r="AI273" i="32"/>
  <c r="AJ273" i="32" s="1"/>
  <c r="R273" i="32"/>
  <c r="Q273" i="32"/>
  <c r="M273" i="32"/>
  <c r="K273" i="32"/>
  <c r="AR272" i="32"/>
  <c r="AI272" i="32"/>
  <c r="AJ272" i="32" s="1"/>
  <c r="R272" i="32"/>
  <c r="Q272" i="32"/>
  <c r="M272" i="32"/>
  <c r="K272" i="32"/>
  <c r="AR271" i="32"/>
  <c r="AI271" i="32"/>
  <c r="AJ271" i="32" s="1"/>
  <c r="R271" i="32"/>
  <c r="Q271" i="32"/>
  <c r="M271" i="32"/>
  <c r="K271" i="32"/>
  <c r="AR270" i="32"/>
  <c r="AI270" i="32"/>
  <c r="AJ270" i="32" s="1"/>
  <c r="R270" i="32"/>
  <c r="Q270" i="32"/>
  <c r="M270" i="32"/>
  <c r="K270" i="32"/>
  <c r="AR269" i="32"/>
  <c r="AI269" i="32"/>
  <c r="AJ269" i="32" s="1"/>
  <c r="R269" i="32"/>
  <c r="Q269" i="32"/>
  <c r="M269" i="32"/>
  <c r="K269" i="32"/>
  <c r="AR268" i="32"/>
  <c r="AI268" i="32"/>
  <c r="AJ268" i="32" s="1"/>
  <c r="R268" i="32"/>
  <c r="Q268" i="32"/>
  <c r="M268" i="32"/>
  <c r="K268" i="32"/>
  <c r="AR267" i="32"/>
  <c r="AI267" i="32"/>
  <c r="AJ267" i="32" s="1"/>
  <c r="R267" i="32"/>
  <c r="Q267" i="32"/>
  <c r="M267" i="32"/>
  <c r="K267" i="32"/>
  <c r="AR266" i="32"/>
  <c r="AI266" i="32"/>
  <c r="AJ266" i="32" s="1"/>
  <c r="R266" i="32"/>
  <c r="Q266" i="32"/>
  <c r="M266" i="32"/>
  <c r="K266" i="32"/>
  <c r="AR265" i="32"/>
  <c r="AI265" i="32"/>
  <c r="AJ265" i="32" s="1"/>
  <c r="R265" i="32"/>
  <c r="Q265" i="32"/>
  <c r="M265" i="32"/>
  <c r="K265" i="32"/>
  <c r="AR264" i="32"/>
  <c r="AI264" i="32"/>
  <c r="AJ264" i="32" s="1"/>
  <c r="R264" i="32"/>
  <c r="Q264" i="32"/>
  <c r="M264" i="32"/>
  <c r="K264" i="32"/>
  <c r="AW263" i="32"/>
  <c r="AR263" i="32"/>
  <c r="AI263" i="32"/>
  <c r="AJ263" i="32" s="1"/>
  <c r="R263" i="32"/>
  <c r="Q263" i="32"/>
  <c r="M263" i="32"/>
  <c r="K263" i="32"/>
  <c r="AW262" i="32"/>
  <c r="AR262" i="32"/>
  <c r="AI262" i="32"/>
  <c r="AJ262" i="32" s="1"/>
  <c r="R262" i="32"/>
  <c r="Q262" i="32"/>
  <c r="M262" i="32"/>
  <c r="K262" i="32"/>
  <c r="AR261" i="32"/>
  <c r="AI261" i="32"/>
  <c r="AJ261" i="32" s="1"/>
  <c r="R261" i="32"/>
  <c r="Q261" i="32"/>
  <c r="M261" i="32"/>
  <c r="K261" i="32"/>
  <c r="AR260" i="32"/>
  <c r="AI260" i="32"/>
  <c r="AJ260" i="32" s="1"/>
  <c r="R260" i="32"/>
  <c r="Q260" i="32"/>
  <c r="M260" i="32"/>
  <c r="K260" i="32"/>
  <c r="AR259" i="32"/>
  <c r="AI259" i="32"/>
  <c r="AJ259" i="32" s="1"/>
  <c r="R259" i="32"/>
  <c r="Q259" i="32"/>
  <c r="M259" i="32"/>
  <c r="K259" i="32"/>
  <c r="AW258" i="32"/>
  <c r="AR258" i="32"/>
  <c r="AI258" i="32"/>
  <c r="AJ258" i="32" s="1"/>
  <c r="R258" i="32"/>
  <c r="Q258" i="32"/>
  <c r="M258" i="32"/>
  <c r="K258" i="32"/>
  <c r="AR257" i="32"/>
  <c r="AI257" i="32"/>
  <c r="AJ257" i="32" s="1"/>
  <c r="R257" i="32"/>
  <c r="Q257" i="32"/>
  <c r="M257" i="32"/>
  <c r="K257" i="32"/>
  <c r="AW256" i="32"/>
  <c r="AR256" i="32"/>
  <c r="AI256" i="32"/>
  <c r="AJ256" i="32" s="1"/>
  <c r="R256" i="32"/>
  <c r="Q256" i="32"/>
  <c r="M256" i="32"/>
  <c r="K256" i="32"/>
  <c r="AW255" i="32"/>
  <c r="AR255" i="32"/>
  <c r="AI255" i="32"/>
  <c r="AJ255" i="32" s="1"/>
  <c r="R255" i="32"/>
  <c r="Q255" i="32"/>
  <c r="M255" i="32"/>
  <c r="K255" i="32"/>
  <c r="AW254" i="32"/>
  <c r="AR254" i="32"/>
  <c r="AI254" i="32"/>
  <c r="AJ254" i="32" s="1"/>
  <c r="R254" i="32"/>
  <c r="Q254" i="32"/>
  <c r="M254" i="32"/>
  <c r="K254" i="32"/>
  <c r="AR253" i="32"/>
  <c r="AI253" i="32"/>
  <c r="AJ253" i="32" s="1"/>
  <c r="R253" i="32"/>
  <c r="Q253" i="32"/>
  <c r="M253" i="32"/>
  <c r="K253" i="32"/>
  <c r="AR252" i="32"/>
  <c r="AI252" i="32"/>
  <c r="AJ252" i="32" s="1"/>
  <c r="R252" i="32"/>
  <c r="Q252" i="32"/>
  <c r="M252" i="32"/>
  <c r="K252" i="32"/>
  <c r="AR251" i="32"/>
  <c r="AI251" i="32"/>
  <c r="AJ251" i="32" s="1"/>
  <c r="R251" i="32"/>
  <c r="Q251" i="32"/>
  <c r="M251" i="32"/>
  <c r="K251" i="32"/>
  <c r="AR250" i="32"/>
  <c r="AI250" i="32"/>
  <c r="AJ250" i="32" s="1"/>
  <c r="R250" i="32"/>
  <c r="Q250" i="32"/>
  <c r="M250" i="32"/>
  <c r="K250" i="32"/>
  <c r="AR249" i="32"/>
  <c r="AI249" i="32"/>
  <c r="AJ249" i="32" s="1"/>
  <c r="R249" i="32"/>
  <c r="Q249" i="32"/>
  <c r="M249" i="32"/>
  <c r="K249" i="32"/>
  <c r="AR248" i="32"/>
  <c r="AI248" i="32"/>
  <c r="AJ248" i="32" s="1"/>
  <c r="R248" i="32"/>
  <c r="Q248" i="32"/>
  <c r="M248" i="32"/>
  <c r="K248" i="32"/>
  <c r="AW247" i="32"/>
  <c r="AR247" i="32"/>
  <c r="AI247" i="32"/>
  <c r="AJ247" i="32" s="1"/>
  <c r="R247" i="32"/>
  <c r="Q247" i="32"/>
  <c r="M247" i="32"/>
  <c r="K247" i="32"/>
  <c r="AW246" i="32"/>
  <c r="AR246" i="32"/>
  <c r="AI246" i="32"/>
  <c r="AJ246" i="32" s="1"/>
  <c r="R246" i="32"/>
  <c r="Q246" i="32"/>
  <c r="M246" i="32"/>
  <c r="K246" i="32"/>
  <c r="AW245" i="32"/>
  <c r="AR245" i="32"/>
  <c r="AI245" i="32"/>
  <c r="AJ245" i="32" s="1"/>
  <c r="R245" i="32"/>
  <c r="Q245" i="32"/>
  <c r="M245" i="32"/>
  <c r="K245" i="32"/>
  <c r="AW244" i="32"/>
  <c r="AR244" i="32"/>
  <c r="AI244" i="32"/>
  <c r="AJ244" i="32" s="1"/>
  <c r="R244" i="32"/>
  <c r="Q244" i="32"/>
  <c r="M244" i="32"/>
  <c r="K244" i="32"/>
  <c r="AW243" i="32"/>
  <c r="AR243" i="32"/>
  <c r="AI243" i="32"/>
  <c r="AJ243" i="32" s="1"/>
  <c r="R243" i="32"/>
  <c r="Q243" i="32"/>
  <c r="M243" i="32"/>
  <c r="K243" i="32"/>
  <c r="AR242" i="32"/>
  <c r="AI242" i="32"/>
  <c r="AJ242" i="32" s="1"/>
  <c r="R242" i="32"/>
  <c r="Q242" i="32"/>
  <c r="M242" i="32"/>
  <c r="K242" i="32"/>
  <c r="AR241" i="32"/>
  <c r="AI241" i="32"/>
  <c r="AJ241" i="32" s="1"/>
  <c r="R241" i="32"/>
  <c r="Q241" i="32"/>
  <c r="M241" i="32"/>
  <c r="K241" i="32"/>
  <c r="AR240" i="32"/>
  <c r="AI240" i="32"/>
  <c r="AJ240" i="32" s="1"/>
  <c r="R240" i="32"/>
  <c r="Q240" i="32"/>
  <c r="M240" i="32"/>
  <c r="K240" i="32"/>
  <c r="AR239" i="32"/>
  <c r="AI239" i="32"/>
  <c r="AJ239" i="32" s="1"/>
  <c r="R239" i="32"/>
  <c r="Q239" i="32"/>
  <c r="M239" i="32"/>
  <c r="K239" i="32"/>
  <c r="AR238" i="32"/>
  <c r="AI238" i="32"/>
  <c r="AJ238" i="32" s="1"/>
  <c r="R238" i="32"/>
  <c r="Q238" i="32"/>
  <c r="M238" i="32"/>
  <c r="K238" i="32"/>
  <c r="AR237" i="32"/>
  <c r="AI237" i="32"/>
  <c r="AJ237" i="32" s="1"/>
  <c r="R237" i="32"/>
  <c r="Q237" i="32"/>
  <c r="M237" i="32"/>
  <c r="K237" i="32"/>
  <c r="AR236" i="32"/>
  <c r="AI236" i="32"/>
  <c r="AJ236" i="32" s="1"/>
  <c r="R236" i="32"/>
  <c r="Q236" i="32"/>
  <c r="M236" i="32"/>
  <c r="K236" i="32"/>
  <c r="AR235" i="32"/>
  <c r="AI235" i="32"/>
  <c r="AJ235" i="32" s="1"/>
  <c r="R235" i="32"/>
  <c r="Q235" i="32"/>
  <c r="M235" i="32"/>
  <c r="K235" i="32"/>
  <c r="AR234" i="32"/>
  <c r="AI234" i="32"/>
  <c r="AJ234" i="32" s="1"/>
  <c r="R234" i="32"/>
  <c r="Q234" i="32"/>
  <c r="M234" i="32"/>
  <c r="K234" i="32"/>
  <c r="AR233" i="32"/>
  <c r="AI233" i="32"/>
  <c r="AJ233" i="32" s="1"/>
  <c r="R233" i="32"/>
  <c r="Q233" i="32"/>
  <c r="M233" i="32"/>
  <c r="K233" i="32"/>
  <c r="AR232" i="32"/>
  <c r="AI232" i="32"/>
  <c r="AJ232" i="32" s="1"/>
  <c r="R232" i="32"/>
  <c r="Q232" i="32"/>
  <c r="M232" i="32"/>
  <c r="K232" i="32"/>
  <c r="AR231" i="32"/>
  <c r="AI231" i="32"/>
  <c r="AJ231" i="32" s="1"/>
  <c r="R231" i="32"/>
  <c r="Q231" i="32"/>
  <c r="M231" i="32"/>
  <c r="K231" i="32"/>
  <c r="AR230" i="32"/>
  <c r="AI230" i="32"/>
  <c r="AJ230" i="32" s="1"/>
  <c r="R230" i="32"/>
  <c r="Q230" i="32"/>
  <c r="M230" i="32"/>
  <c r="K230" i="32"/>
  <c r="AR229" i="32"/>
  <c r="AI229" i="32"/>
  <c r="AJ229" i="32" s="1"/>
  <c r="R229" i="32"/>
  <c r="Q229" i="32"/>
  <c r="M229" i="32"/>
  <c r="K229" i="32"/>
  <c r="AR228" i="32"/>
  <c r="AI228" i="32"/>
  <c r="AJ228" i="32" s="1"/>
  <c r="R228" i="32"/>
  <c r="Q228" i="32"/>
  <c r="M228" i="32"/>
  <c r="K228" i="32"/>
  <c r="AR227" i="32"/>
  <c r="AI227" i="32"/>
  <c r="AJ227" i="32" s="1"/>
  <c r="R227" i="32"/>
  <c r="Q227" i="32"/>
  <c r="M227" i="32"/>
  <c r="K227" i="32"/>
  <c r="AR226" i="32"/>
  <c r="AI226" i="32"/>
  <c r="AJ226" i="32" s="1"/>
  <c r="R226" i="32"/>
  <c r="Q226" i="32"/>
  <c r="M226" i="32"/>
  <c r="K226" i="32"/>
  <c r="AR225" i="32"/>
  <c r="AI225" i="32"/>
  <c r="AJ225" i="32" s="1"/>
  <c r="R225" i="32"/>
  <c r="Q225" i="32"/>
  <c r="M225" i="32"/>
  <c r="K225" i="32"/>
  <c r="AR224" i="32"/>
  <c r="AI224" i="32"/>
  <c r="AJ224" i="32" s="1"/>
  <c r="R224" i="32"/>
  <c r="Q224" i="32"/>
  <c r="M224" i="32"/>
  <c r="K224" i="32"/>
  <c r="AR223" i="32"/>
  <c r="AI223" i="32"/>
  <c r="AJ223" i="32" s="1"/>
  <c r="R223" i="32"/>
  <c r="Q223" i="32"/>
  <c r="M223" i="32"/>
  <c r="K223" i="32"/>
  <c r="AR222" i="32"/>
  <c r="AI222" i="32"/>
  <c r="AJ222" i="32" s="1"/>
  <c r="R222" i="32"/>
  <c r="Q222" i="32"/>
  <c r="M222" i="32"/>
  <c r="K222" i="32"/>
  <c r="AR221" i="32"/>
  <c r="AI221" i="32"/>
  <c r="AJ221" i="32" s="1"/>
  <c r="R221" i="32"/>
  <c r="Q221" i="32"/>
  <c r="M221" i="32"/>
  <c r="K221" i="32"/>
  <c r="AR220" i="32"/>
  <c r="AI220" i="32"/>
  <c r="AJ220" i="32" s="1"/>
  <c r="R220" i="32"/>
  <c r="Q220" i="32"/>
  <c r="M220" i="32"/>
  <c r="K220" i="32"/>
  <c r="AR219" i="32"/>
  <c r="AI219" i="32"/>
  <c r="AJ219" i="32" s="1"/>
  <c r="R219" i="32"/>
  <c r="Q219" i="32"/>
  <c r="M219" i="32"/>
  <c r="K219" i="32"/>
  <c r="AR218" i="32"/>
  <c r="AI218" i="32"/>
  <c r="AJ218" i="32" s="1"/>
  <c r="R218" i="32"/>
  <c r="Q218" i="32"/>
  <c r="M218" i="32"/>
  <c r="K218" i="32"/>
  <c r="AR217" i="32"/>
  <c r="AI217" i="32"/>
  <c r="AJ217" i="32" s="1"/>
  <c r="R217" i="32"/>
  <c r="Q217" i="32"/>
  <c r="M217" i="32"/>
  <c r="K217" i="32"/>
  <c r="AR216" i="32"/>
  <c r="AI216" i="32"/>
  <c r="AJ216" i="32" s="1"/>
  <c r="R216" i="32"/>
  <c r="Q216" i="32"/>
  <c r="M216" i="32"/>
  <c r="K216" i="32"/>
  <c r="AR215" i="32"/>
  <c r="AI215" i="32"/>
  <c r="AJ215" i="32" s="1"/>
  <c r="R215" i="32"/>
  <c r="Q215" i="32"/>
  <c r="M215" i="32"/>
  <c r="K215" i="32"/>
  <c r="AR214" i="32"/>
  <c r="AI214" i="32"/>
  <c r="AJ214" i="32" s="1"/>
  <c r="R214" i="32"/>
  <c r="Q214" i="32"/>
  <c r="M214" i="32"/>
  <c r="K214" i="32"/>
  <c r="AR213" i="32"/>
  <c r="AI213" i="32"/>
  <c r="AJ213" i="32" s="1"/>
  <c r="R213" i="32"/>
  <c r="Q213" i="32"/>
  <c r="M213" i="32"/>
  <c r="K213" i="32"/>
  <c r="AR212" i="32"/>
  <c r="AI212" i="32"/>
  <c r="AJ212" i="32" s="1"/>
  <c r="R212" i="32"/>
  <c r="Q212" i="32"/>
  <c r="M212" i="32"/>
  <c r="K212" i="32"/>
  <c r="AR211" i="32"/>
  <c r="AI211" i="32"/>
  <c r="AJ211" i="32" s="1"/>
  <c r="R211" i="32"/>
  <c r="Q211" i="32"/>
  <c r="M211" i="32"/>
  <c r="K211" i="32"/>
  <c r="AR210" i="32"/>
  <c r="AI210" i="32"/>
  <c r="AJ210" i="32" s="1"/>
  <c r="R210" i="32"/>
  <c r="Q210" i="32"/>
  <c r="M210" i="32"/>
  <c r="K210" i="32"/>
  <c r="AR209" i="32"/>
  <c r="AI209" i="32"/>
  <c r="AJ209" i="32" s="1"/>
  <c r="R209" i="32"/>
  <c r="Q209" i="32"/>
  <c r="M209" i="32"/>
  <c r="K209" i="32"/>
  <c r="AR208" i="32"/>
  <c r="AI208" i="32"/>
  <c r="AJ208" i="32" s="1"/>
  <c r="R208" i="32"/>
  <c r="Q208" i="32"/>
  <c r="M208" i="32"/>
  <c r="K208" i="32"/>
  <c r="AR207" i="32"/>
  <c r="AI207" i="32"/>
  <c r="AJ207" i="32" s="1"/>
  <c r="R207" i="32"/>
  <c r="Q207" i="32"/>
  <c r="M207" i="32"/>
  <c r="K207" i="32"/>
  <c r="AR206" i="32"/>
  <c r="AI206" i="32"/>
  <c r="AJ206" i="32" s="1"/>
  <c r="R206" i="32"/>
  <c r="Q206" i="32"/>
  <c r="M206" i="32"/>
  <c r="K206" i="32"/>
  <c r="AR205" i="32"/>
  <c r="AI205" i="32"/>
  <c r="AJ205" i="32" s="1"/>
  <c r="R205" i="32"/>
  <c r="Q205" i="32"/>
  <c r="M205" i="32"/>
  <c r="K205" i="32"/>
  <c r="AW204" i="32"/>
  <c r="AR204" i="32"/>
  <c r="AI204" i="32"/>
  <c r="AJ204" i="32" s="1"/>
  <c r="R204" i="32"/>
  <c r="Q204" i="32"/>
  <c r="M204" i="32"/>
  <c r="K204" i="32"/>
  <c r="AW203" i="32"/>
  <c r="AR203" i="32"/>
  <c r="AI203" i="32"/>
  <c r="AJ203" i="32" s="1"/>
  <c r="R203" i="32"/>
  <c r="Q203" i="32"/>
  <c r="M203" i="32"/>
  <c r="K203" i="32"/>
  <c r="AW202" i="32"/>
  <c r="AR202" i="32"/>
  <c r="AI202" i="32"/>
  <c r="AJ202" i="32" s="1"/>
  <c r="R202" i="32"/>
  <c r="Q202" i="32"/>
  <c r="M202" i="32"/>
  <c r="K202" i="32"/>
  <c r="AW201" i="32"/>
  <c r="AR201" i="32"/>
  <c r="AI201" i="32"/>
  <c r="AJ201" i="32" s="1"/>
  <c r="R201" i="32"/>
  <c r="Q201" i="32"/>
  <c r="M201" i="32"/>
  <c r="K201" i="32"/>
  <c r="AW200" i="32"/>
  <c r="AR200" i="32"/>
  <c r="AI200" i="32"/>
  <c r="AJ200" i="32" s="1"/>
  <c r="R200" i="32"/>
  <c r="Q200" i="32"/>
  <c r="M200" i="32"/>
  <c r="K200" i="32"/>
  <c r="AW199" i="32"/>
  <c r="AR199" i="32"/>
  <c r="AI199" i="32"/>
  <c r="AJ199" i="32" s="1"/>
  <c r="R199" i="32"/>
  <c r="Q199" i="32"/>
  <c r="M199" i="32"/>
  <c r="K199" i="32"/>
  <c r="AW198" i="32"/>
  <c r="AR198" i="32"/>
  <c r="AI198" i="32"/>
  <c r="AJ198" i="32" s="1"/>
  <c r="R198" i="32"/>
  <c r="Q198" i="32"/>
  <c r="M198" i="32"/>
  <c r="K198" i="32"/>
  <c r="AW197" i="32"/>
  <c r="AR197" i="32"/>
  <c r="AI197" i="32"/>
  <c r="AJ197" i="32" s="1"/>
  <c r="R197" i="32"/>
  <c r="Q197" i="32"/>
  <c r="M197" i="32"/>
  <c r="K197" i="32"/>
  <c r="AW196" i="32"/>
  <c r="AR196" i="32"/>
  <c r="AI196" i="32"/>
  <c r="AJ196" i="32" s="1"/>
  <c r="R196" i="32"/>
  <c r="Q196" i="32"/>
  <c r="M196" i="32"/>
  <c r="K196" i="32"/>
  <c r="AW195" i="32"/>
  <c r="AR195" i="32"/>
  <c r="AI195" i="32"/>
  <c r="AJ195" i="32" s="1"/>
  <c r="R195" i="32"/>
  <c r="Q195" i="32"/>
  <c r="M195" i="32"/>
  <c r="K195" i="32"/>
  <c r="AW194" i="32"/>
  <c r="AR194" i="32"/>
  <c r="AI194" i="32"/>
  <c r="AJ194" i="32" s="1"/>
  <c r="R194" i="32"/>
  <c r="Q194" i="32"/>
  <c r="M194" i="32"/>
  <c r="K194" i="32"/>
  <c r="AW193" i="32"/>
  <c r="AR193" i="32"/>
  <c r="AI193" i="32"/>
  <c r="AJ193" i="32" s="1"/>
  <c r="R193" i="32"/>
  <c r="Q193" i="32"/>
  <c r="M193" i="32"/>
  <c r="K193" i="32"/>
  <c r="AW192" i="32"/>
  <c r="AR192" i="32"/>
  <c r="AI192" i="32"/>
  <c r="AJ192" i="32" s="1"/>
  <c r="S192" i="32"/>
  <c r="R192" i="32"/>
  <c r="Q192" i="32"/>
  <c r="M192" i="32"/>
  <c r="K192" i="32"/>
  <c r="AW191" i="32"/>
  <c r="AR191" i="32"/>
  <c r="AI191" i="32"/>
  <c r="AJ191" i="32" s="1"/>
  <c r="R191" i="32"/>
  <c r="Q191" i="32"/>
  <c r="M191" i="32"/>
  <c r="K191" i="32"/>
  <c r="AW190" i="32"/>
  <c r="AR190" i="32"/>
  <c r="AI190" i="32"/>
  <c r="AJ190" i="32" s="1"/>
  <c r="R190" i="32"/>
  <c r="Q190" i="32"/>
  <c r="M190" i="32"/>
  <c r="K190" i="32"/>
  <c r="AW189" i="32"/>
  <c r="AR189" i="32"/>
  <c r="AI189" i="32"/>
  <c r="AJ189" i="32" s="1"/>
  <c r="R189" i="32"/>
  <c r="Q189" i="32"/>
  <c r="M189" i="32"/>
  <c r="K189" i="32"/>
  <c r="AW188" i="32"/>
  <c r="AR188" i="32"/>
  <c r="AI188" i="32"/>
  <c r="AJ188" i="32" s="1"/>
  <c r="R188" i="32"/>
  <c r="Q188" i="32"/>
  <c r="M188" i="32"/>
  <c r="K188" i="32"/>
  <c r="AW187" i="32"/>
  <c r="AR187" i="32"/>
  <c r="AI187" i="32"/>
  <c r="AJ187" i="32" s="1"/>
  <c r="R187" i="32"/>
  <c r="Q187" i="32"/>
  <c r="M187" i="32"/>
  <c r="K187" i="32"/>
  <c r="AW186" i="32"/>
  <c r="AR186" i="32"/>
  <c r="AI186" i="32"/>
  <c r="AJ186" i="32" s="1"/>
  <c r="R186" i="32"/>
  <c r="Q186" i="32"/>
  <c r="M186" i="32"/>
  <c r="K186" i="32"/>
  <c r="AW185" i="32"/>
  <c r="AR185" i="32"/>
  <c r="AI185" i="32"/>
  <c r="AJ185" i="32" s="1"/>
  <c r="R185" i="32"/>
  <c r="Q185" i="32"/>
  <c r="M185" i="32"/>
  <c r="K185" i="32"/>
  <c r="AW184" i="32"/>
  <c r="AR184" i="32"/>
  <c r="AI184" i="32"/>
  <c r="AJ184" i="32" s="1"/>
  <c r="R184" i="32"/>
  <c r="Q184" i="32"/>
  <c r="M184" i="32"/>
  <c r="K184" i="32"/>
  <c r="AW183" i="32"/>
  <c r="AR183" i="32"/>
  <c r="AI183" i="32"/>
  <c r="AJ183" i="32" s="1"/>
  <c r="R183" i="32"/>
  <c r="Q183" i="32"/>
  <c r="M183" i="32"/>
  <c r="K183" i="32"/>
  <c r="AW182" i="32"/>
  <c r="AR182" i="32"/>
  <c r="AI182" i="32"/>
  <c r="AJ182" i="32" s="1"/>
  <c r="R182" i="32"/>
  <c r="Q182" i="32"/>
  <c r="M182" i="32"/>
  <c r="K182" i="32"/>
  <c r="AW181" i="32"/>
  <c r="AR181" i="32"/>
  <c r="AI181" i="32"/>
  <c r="AJ181" i="32" s="1"/>
  <c r="R181" i="32"/>
  <c r="Q181" i="32"/>
  <c r="M181" i="32"/>
  <c r="K181" i="32"/>
  <c r="AW180" i="32"/>
  <c r="AR180" i="32"/>
  <c r="AI180" i="32"/>
  <c r="AJ180" i="32" s="1"/>
  <c r="R180" i="32"/>
  <c r="Q180" i="32"/>
  <c r="M180" i="32"/>
  <c r="K180" i="32"/>
  <c r="AW179" i="32"/>
  <c r="AR179" i="32"/>
  <c r="AI179" i="32"/>
  <c r="AJ179" i="32" s="1"/>
  <c r="R179" i="32"/>
  <c r="Q179" i="32"/>
  <c r="M179" i="32"/>
  <c r="K179" i="32"/>
  <c r="AW178" i="32"/>
  <c r="AR178" i="32"/>
  <c r="AI178" i="32"/>
  <c r="AJ178" i="32" s="1"/>
  <c r="R178" i="32"/>
  <c r="Q178" i="32"/>
  <c r="M178" i="32"/>
  <c r="K178" i="32"/>
  <c r="AW177" i="32"/>
  <c r="AR177" i="32"/>
  <c r="AI177" i="32"/>
  <c r="AJ177" i="32" s="1"/>
  <c r="R177" i="32"/>
  <c r="Q177" i="32"/>
  <c r="M177" i="32"/>
  <c r="K177" i="32"/>
  <c r="AW176" i="32"/>
  <c r="AR176" i="32"/>
  <c r="AI176" i="32"/>
  <c r="AJ176" i="32" s="1"/>
  <c r="R176" i="32"/>
  <c r="Q176" i="32"/>
  <c r="M176" i="32"/>
  <c r="K176" i="32"/>
  <c r="AW175" i="32"/>
  <c r="AR175" i="32"/>
  <c r="AI175" i="32"/>
  <c r="AJ175" i="32" s="1"/>
  <c r="R175" i="32"/>
  <c r="Q175" i="32"/>
  <c r="M175" i="32"/>
  <c r="K175" i="32"/>
  <c r="AW174" i="32"/>
  <c r="AR174" i="32"/>
  <c r="AI174" i="32"/>
  <c r="AJ174" i="32" s="1"/>
  <c r="R174" i="32"/>
  <c r="Q174" i="32"/>
  <c r="M174" i="32"/>
  <c r="K174" i="32"/>
  <c r="AW173" i="32"/>
  <c r="AR173" i="32"/>
  <c r="AI173" i="32"/>
  <c r="AJ173" i="32" s="1"/>
  <c r="R173" i="32"/>
  <c r="Q173" i="32"/>
  <c r="M173" i="32"/>
  <c r="K173" i="32"/>
  <c r="AW172" i="32"/>
  <c r="AR172" i="32"/>
  <c r="AI172" i="32"/>
  <c r="AJ172" i="32" s="1"/>
  <c r="R172" i="32"/>
  <c r="Q172" i="32"/>
  <c r="M172" i="32"/>
  <c r="K172" i="32"/>
  <c r="AW171" i="32"/>
  <c r="AR171" i="32"/>
  <c r="AI171" i="32"/>
  <c r="AJ171" i="32" s="1"/>
  <c r="R171" i="32"/>
  <c r="Q171" i="32"/>
  <c r="M171" i="32"/>
  <c r="K171" i="32"/>
  <c r="AW170" i="32"/>
  <c r="AR170" i="32"/>
  <c r="AI170" i="32"/>
  <c r="AJ170" i="32" s="1"/>
  <c r="R170" i="32"/>
  <c r="Q170" i="32"/>
  <c r="M170" i="32"/>
  <c r="K170" i="32"/>
  <c r="AW169" i="32"/>
  <c r="AR169" i="32"/>
  <c r="AI169" i="32"/>
  <c r="AJ169" i="32" s="1"/>
  <c r="R169" i="32"/>
  <c r="Q169" i="32"/>
  <c r="M169" i="32"/>
  <c r="K169" i="32"/>
  <c r="AW168" i="32"/>
  <c r="AR168" i="32"/>
  <c r="AI168" i="32"/>
  <c r="AJ168" i="32" s="1"/>
  <c r="R168" i="32"/>
  <c r="Q168" i="32"/>
  <c r="M168" i="32"/>
  <c r="K168" i="32"/>
  <c r="AW167" i="32"/>
  <c r="AR167" i="32"/>
  <c r="AI167" i="32"/>
  <c r="AJ167" i="32" s="1"/>
  <c r="R167" i="32"/>
  <c r="Q167" i="32"/>
  <c r="M167" i="32"/>
  <c r="K167" i="32"/>
  <c r="AW166" i="32"/>
  <c r="AR166" i="32"/>
  <c r="AI166" i="32"/>
  <c r="AJ166" i="32" s="1"/>
  <c r="R166" i="32"/>
  <c r="Q166" i="32"/>
  <c r="M166" i="32"/>
  <c r="K166" i="32"/>
  <c r="AW165" i="32"/>
  <c r="AR165" i="32"/>
  <c r="AI165" i="32"/>
  <c r="AJ165" i="32" s="1"/>
  <c r="R165" i="32"/>
  <c r="Q165" i="32"/>
  <c r="M165" i="32"/>
  <c r="K165" i="32"/>
  <c r="AW164" i="32"/>
  <c r="AR164" i="32"/>
  <c r="AI164" i="32"/>
  <c r="AJ164" i="32" s="1"/>
  <c r="R164" i="32"/>
  <c r="Q164" i="32"/>
  <c r="M164" i="32"/>
  <c r="K164" i="32"/>
  <c r="AW163" i="32"/>
  <c r="AR163" i="32"/>
  <c r="AI163" i="32"/>
  <c r="AJ163" i="32" s="1"/>
  <c r="R163" i="32"/>
  <c r="Q163" i="32"/>
  <c r="M163" i="32"/>
  <c r="K163" i="32"/>
  <c r="AR162" i="32"/>
  <c r="AI162" i="32"/>
  <c r="AJ162" i="32" s="1"/>
  <c r="R162" i="32"/>
  <c r="Q162" i="32"/>
  <c r="M162" i="32"/>
  <c r="K162" i="32"/>
  <c r="AW161" i="32"/>
  <c r="AR161" i="32"/>
  <c r="AI161" i="32"/>
  <c r="AJ161" i="32" s="1"/>
  <c r="R161" i="32"/>
  <c r="Q161" i="32"/>
  <c r="M161" i="32"/>
  <c r="K161" i="32"/>
  <c r="AR160" i="32"/>
  <c r="AI160" i="32"/>
  <c r="AJ160" i="32" s="1"/>
  <c r="R160" i="32"/>
  <c r="Q160" i="32"/>
  <c r="M160" i="32"/>
  <c r="K160" i="32"/>
  <c r="AW159" i="32"/>
  <c r="AR159" i="32"/>
  <c r="AI159" i="32"/>
  <c r="AJ159" i="32" s="1"/>
  <c r="R159" i="32"/>
  <c r="Q159" i="32"/>
  <c r="M159" i="32"/>
  <c r="K159" i="32"/>
  <c r="AR158" i="32"/>
  <c r="AI158" i="32"/>
  <c r="AJ158" i="32" s="1"/>
  <c r="R158" i="32"/>
  <c r="Q158" i="32"/>
  <c r="M158" i="32"/>
  <c r="K158" i="32"/>
  <c r="AW157" i="32"/>
  <c r="AR157" i="32"/>
  <c r="AI157" i="32"/>
  <c r="AJ157" i="32" s="1"/>
  <c r="R157" i="32"/>
  <c r="Q157" i="32"/>
  <c r="M157" i="32"/>
  <c r="K157" i="32"/>
  <c r="AR156" i="32"/>
  <c r="AI156" i="32"/>
  <c r="AJ156" i="32" s="1"/>
  <c r="R156" i="32"/>
  <c r="Q156" i="32"/>
  <c r="M156" i="32"/>
  <c r="K156" i="32"/>
  <c r="AW155" i="32"/>
  <c r="AR155" i="32"/>
  <c r="AI155" i="32"/>
  <c r="AJ155" i="32" s="1"/>
  <c r="R155" i="32"/>
  <c r="Q155" i="32"/>
  <c r="M155" i="32"/>
  <c r="K155" i="32"/>
  <c r="AR154" i="32"/>
  <c r="AI154" i="32"/>
  <c r="AJ154" i="32" s="1"/>
  <c r="R154" i="32"/>
  <c r="Q154" i="32"/>
  <c r="M154" i="32"/>
  <c r="K154" i="32"/>
  <c r="AW153" i="32"/>
  <c r="AR153" i="32"/>
  <c r="AI153" i="32"/>
  <c r="AJ153" i="32" s="1"/>
  <c r="R153" i="32"/>
  <c r="Q153" i="32"/>
  <c r="M153" i="32"/>
  <c r="K153" i="32"/>
  <c r="AR152" i="32"/>
  <c r="AI152" i="32"/>
  <c r="AJ152" i="32" s="1"/>
  <c r="R152" i="32"/>
  <c r="Q152" i="32"/>
  <c r="M152" i="32"/>
  <c r="K152" i="32"/>
  <c r="AW151" i="32"/>
  <c r="AR151" i="32"/>
  <c r="AI151" i="32"/>
  <c r="AJ151" i="32" s="1"/>
  <c r="R151" i="32"/>
  <c r="Q151" i="32"/>
  <c r="M151" i="32"/>
  <c r="K151" i="32"/>
  <c r="AR150" i="32"/>
  <c r="AI150" i="32"/>
  <c r="AJ150" i="32" s="1"/>
  <c r="R150" i="32"/>
  <c r="Q150" i="32"/>
  <c r="M150" i="32"/>
  <c r="K150" i="32"/>
  <c r="AW149" i="32"/>
  <c r="AR149" i="32"/>
  <c r="AI149" i="32"/>
  <c r="AJ149" i="32" s="1"/>
  <c r="R149" i="32"/>
  <c r="Q149" i="32"/>
  <c r="M149" i="32"/>
  <c r="K149" i="32"/>
  <c r="AR148" i="32"/>
  <c r="AI148" i="32"/>
  <c r="AJ148" i="32" s="1"/>
  <c r="R148" i="32"/>
  <c r="Q148" i="32"/>
  <c r="M148" i="32"/>
  <c r="K148" i="32"/>
  <c r="AW147" i="32"/>
  <c r="AR147" i="32"/>
  <c r="AI147" i="32"/>
  <c r="AJ147" i="32" s="1"/>
  <c r="R147" i="32"/>
  <c r="Q147" i="32"/>
  <c r="M147" i="32"/>
  <c r="K147" i="32"/>
  <c r="AR146" i="32"/>
  <c r="AI146" i="32"/>
  <c r="AJ146" i="32" s="1"/>
  <c r="R146" i="32"/>
  <c r="Q146" i="32"/>
  <c r="M146" i="32"/>
  <c r="K146" i="32"/>
  <c r="AW145" i="32"/>
  <c r="AR145" i="32"/>
  <c r="AI145" i="32"/>
  <c r="AJ145" i="32" s="1"/>
  <c r="R145" i="32"/>
  <c r="Q145" i="32"/>
  <c r="M145" i="32"/>
  <c r="K145" i="32"/>
  <c r="AR144" i="32"/>
  <c r="AI144" i="32"/>
  <c r="AJ144" i="32" s="1"/>
  <c r="R144" i="32"/>
  <c r="Q144" i="32"/>
  <c r="M144" i="32"/>
  <c r="K144" i="32"/>
  <c r="AW143" i="32"/>
  <c r="AR143" i="32"/>
  <c r="AI143" i="32"/>
  <c r="AJ143" i="32" s="1"/>
  <c r="R143" i="32"/>
  <c r="Q143" i="32"/>
  <c r="M143" i="32"/>
  <c r="K143" i="32"/>
  <c r="AR142" i="32"/>
  <c r="AI142" i="32"/>
  <c r="AJ142" i="32" s="1"/>
  <c r="R142" i="32"/>
  <c r="Q142" i="32"/>
  <c r="M142" i="32"/>
  <c r="K142" i="32"/>
  <c r="AW141" i="32"/>
  <c r="AR141" i="32"/>
  <c r="AI141" i="32"/>
  <c r="AJ141" i="32" s="1"/>
  <c r="R141" i="32"/>
  <c r="Q141" i="32"/>
  <c r="M141" i="32"/>
  <c r="K141" i="32"/>
  <c r="AW140" i="32"/>
  <c r="AR140" i="32"/>
  <c r="AI140" i="32"/>
  <c r="AJ140" i="32" s="1"/>
  <c r="R140" i="32"/>
  <c r="Q140" i="32"/>
  <c r="M140" i="32"/>
  <c r="K140" i="32"/>
  <c r="AW139" i="32"/>
  <c r="AR139" i="32"/>
  <c r="AI139" i="32"/>
  <c r="AJ139" i="32" s="1"/>
  <c r="R139" i="32"/>
  <c r="Q139" i="32"/>
  <c r="M139" i="32"/>
  <c r="K139" i="32"/>
  <c r="AW138" i="32"/>
  <c r="AR138" i="32"/>
  <c r="AI138" i="32"/>
  <c r="AJ138" i="32" s="1"/>
  <c r="R138" i="32"/>
  <c r="Q138" i="32"/>
  <c r="M138" i="32"/>
  <c r="K138" i="32"/>
  <c r="AW137" i="32"/>
  <c r="AR137" i="32"/>
  <c r="AI137" i="32"/>
  <c r="AJ137" i="32" s="1"/>
  <c r="R137" i="32"/>
  <c r="Q137" i="32"/>
  <c r="M137" i="32"/>
  <c r="K137" i="32"/>
  <c r="AW136" i="32"/>
  <c r="AR136" i="32"/>
  <c r="AI136" i="32"/>
  <c r="AJ136" i="32" s="1"/>
  <c r="R136" i="32"/>
  <c r="Q136" i="32"/>
  <c r="M136" i="32"/>
  <c r="K136" i="32"/>
  <c r="AW135" i="32"/>
  <c r="AR135" i="32"/>
  <c r="AI135" i="32"/>
  <c r="AJ135" i="32" s="1"/>
  <c r="R135" i="32"/>
  <c r="Q135" i="32"/>
  <c r="M135" i="32"/>
  <c r="K135" i="32"/>
  <c r="AW134" i="32"/>
  <c r="AR134" i="32"/>
  <c r="AI134" i="32"/>
  <c r="AJ134" i="32" s="1"/>
  <c r="R134" i="32"/>
  <c r="Q134" i="32"/>
  <c r="M134" i="32"/>
  <c r="K134" i="32"/>
  <c r="AW133" i="32"/>
  <c r="AR133" i="32"/>
  <c r="AI133" i="32"/>
  <c r="AJ133" i="32" s="1"/>
  <c r="R133" i="32"/>
  <c r="Q133" i="32"/>
  <c r="M133" i="32"/>
  <c r="K133" i="32"/>
  <c r="AW132" i="32"/>
  <c r="AR132" i="32"/>
  <c r="AI132" i="32"/>
  <c r="AJ132" i="32" s="1"/>
  <c r="R132" i="32"/>
  <c r="Q132" i="32"/>
  <c r="M132" i="32"/>
  <c r="K132" i="32"/>
  <c r="AW131" i="32"/>
  <c r="AR131" i="32"/>
  <c r="AI131" i="32"/>
  <c r="AJ131" i="32" s="1"/>
  <c r="R131" i="32"/>
  <c r="Q131" i="32"/>
  <c r="M131" i="32"/>
  <c r="K131" i="32"/>
  <c r="AW130" i="32"/>
  <c r="AR130" i="32"/>
  <c r="AI130" i="32"/>
  <c r="AJ130" i="32" s="1"/>
  <c r="R130" i="32"/>
  <c r="Q130" i="32"/>
  <c r="M130" i="32"/>
  <c r="K130" i="32"/>
  <c r="AW129" i="32"/>
  <c r="AR129" i="32"/>
  <c r="AI129" i="32"/>
  <c r="AJ129" i="32" s="1"/>
  <c r="R129" i="32"/>
  <c r="Q129" i="32"/>
  <c r="M129" i="32"/>
  <c r="K129" i="32"/>
  <c r="AW128" i="32"/>
  <c r="AR128" i="32"/>
  <c r="AI128" i="32"/>
  <c r="AJ128" i="32" s="1"/>
  <c r="R128" i="32"/>
  <c r="Q128" i="32"/>
  <c r="M128" i="32"/>
  <c r="K128" i="32"/>
  <c r="AW127" i="32"/>
  <c r="AR127" i="32"/>
  <c r="AI127" i="32"/>
  <c r="AJ127" i="32" s="1"/>
  <c r="R127" i="32"/>
  <c r="Q127" i="32"/>
  <c r="M127" i="32"/>
  <c r="K127" i="32"/>
  <c r="AW126" i="32"/>
  <c r="AR126" i="32"/>
  <c r="AI126" i="32"/>
  <c r="AJ126" i="32" s="1"/>
  <c r="R126" i="32"/>
  <c r="Q126" i="32"/>
  <c r="M126" i="32"/>
  <c r="K126" i="32"/>
  <c r="AW125" i="32"/>
  <c r="AR125" i="32"/>
  <c r="AI125" i="32"/>
  <c r="AJ125" i="32" s="1"/>
  <c r="R125" i="32"/>
  <c r="Q125" i="32"/>
  <c r="M125" i="32"/>
  <c r="K125" i="32"/>
  <c r="AW124" i="32"/>
  <c r="AR124" i="32"/>
  <c r="AI124" i="32"/>
  <c r="AJ124" i="32" s="1"/>
  <c r="R124" i="32"/>
  <c r="Q124" i="32"/>
  <c r="M124" i="32"/>
  <c r="K124" i="32"/>
  <c r="AW123" i="32"/>
  <c r="AR123" i="32"/>
  <c r="AI123" i="32"/>
  <c r="AJ123" i="32" s="1"/>
  <c r="R123" i="32"/>
  <c r="Q123" i="32"/>
  <c r="M123" i="32"/>
  <c r="K123" i="32"/>
  <c r="AW122" i="32"/>
  <c r="AR122" i="32"/>
  <c r="AI122" i="32"/>
  <c r="AJ122" i="32" s="1"/>
  <c r="R122" i="32"/>
  <c r="Q122" i="32"/>
  <c r="M122" i="32"/>
  <c r="K122" i="32"/>
  <c r="AW121" i="32"/>
  <c r="AR121" i="32"/>
  <c r="AI121" i="32"/>
  <c r="AJ121" i="32" s="1"/>
  <c r="R121" i="32"/>
  <c r="Q121" i="32"/>
  <c r="M121" i="32"/>
  <c r="K121" i="32"/>
  <c r="AW120" i="32"/>
  <c r="AR120" i="32"/>
  <c r="AI120" i="32"/>
  <c r="AJ120" i="32" s="1"/>
  <c r="R120" i="32"/>
  <c r="Q120" i="32"/>
  <c r="M120" i="32"/>
  <c r="K120" i="32"/>
  <c r="AW119" i="32"/>
  <c r="AR119" i="32"/>
  <c r="AI119" i="32"/>
  <c r="AJ119" i="32" s="1"/>
  <c r="R119" i="32"/>
  <c r="Q119" i="32"/>
  <c r="M119" i="32"/>
  <c r="K119" i="32"/>
  <c r="AW118" i="32"/>
  <c r="AR118" i="32"/>
  <c r="AI118" i="32"/>
  <c r="AJ118" i="32" s="1"/>
  <c r="R118" i="32"/>
  <c r="Q118" i="32"/>
  <c r="M118" i="32"/>
  <c r="K118" i="32"/>
  <c r="AW117" i="32"/>
  <c r="AR117" i="32"/>
  <c r="AI117" i="32"/>
  <c r="AJ117" i="32" s="1"/>
  <c r="R117" i="32"/>
  <c r="Q117" i="32"/>
  <c r="M117" i="32"/>
  <c r="K117" i="32"/>
  <c r="AW116" i="32"/>
  <c r="AR116" i="32"/>
  <c r="AI116" i="32"/>
  <c r="AJ116" i="32" s="1"/>
  <c r="R116" i="32"/>
  <c r="Q116" i="32"/>
  <c r="M116" i="32"/>
  <c r="K116" i="32"/>
  <c r="AW115" i="32"/>
  <c r="AR115" i="32"/>
  <c r="AI115" i="32"/>
  <c r="AJ115" i="32" s="1"/>
  <c r="R115" i="32"/>
  <c r="Q115" i="32"/>
  <c r="M115" i="32"/>
  <c r="K115" i="32"/>
  <c r="AW114" i="32"/>
  <c r="AR114" i="32"/>
  <c r="AI114" i="32"/>
  <c r="AJ114" i="32" s="1"/>
  <c r="R114" i="32"/>
  <c r="Q114" i="32"/>
  <c r="M114" i="32"/>
  <c r="K114" i="32"/>
  <c r="AW113" i="32"/>
  <c r="AR113" i="32"/>
  <c r="AI113" i="32"/>
  <c r="AJ113" i="32" s="1"/>
  <c r="R113" i="32"/>
  <c r="Q113" i="32"/>
  <c r="M113" i="32"/>
  <c r="K113" i="32"/>
  <c r="AW112" i="32"/>
  <c r="AR112" i="32"/>
  <c r="AI112" i="32"/>
  <c r="AJ112" i="32" s="1"/>
  <c r="R112" i="32"/>
  <c r="Q112" i="32"/>
  <c r="M112" i="32"/>
  <c r="K112" i="32"/>
  <c r="AW111" i="32"/>
  <c r="AR111" i="32"/>
  <c r="AI111" i="32"/>
  <c r="AJ111" i="32" s="1"/>
  <c r="R111" i="32"/>
  <c r="Q111" i="32"/>
  <c r="M111" i="32"/>
  <c r="K111" i="32"/>
  <c r="AW110" i="32"/>
  <c r="AR110" i="32"/>
  <c r="AI110" i="32"/>
  <c r="AJ110" i="32" s="1"/>
  <c r="R110" i="32"/>
  <c r="Q110" i="32"/>
  <c r="M110" i="32"/>
  <c r="K110" i="32"/>
  <c r="AW109" i="32"/>
  <c r="AR109" i="32"/>
  <c r="AI109" i="32"/>
  <c r="AJ109" i="32" s="1"/>
  <c r="R109" i="32"/>
  <c r="Q109" i="32"/>
  <c r="M109" i="32"/>
  <c r="K109" i="32"/>
  <c r="AR108" i="32"/>
  <c r="AI108" i="32"/>
  <c r="AJ108" i="32" s="1"/>
  <c r="R108" i="32"/>
  <c r="Q108" i="32"/>
  <c r="M108" i="32"/>
  <c r="K108" i="32"/>
  <c r="AW107" i="32"/>
  <c r="AR107" i="32"/>
  <c r="AI107" i="32"/>
  <c r="AJ107" i="32" s="1"/>
  <c r="R107" i="32"/>
  <c r="Q107" i="32"/>
  <c r="M107" i="32"/>
  <c r="K107" i="32"/>
  <c r="AR106" i="32"/>
  <c r="AI106" i="32"/>
  <c r="AJ106" i="32" s="1"/>
  <c r="R106" i="32"/>
  <c r="Q106" i="32"/>
  <c r="M106" i="32"/>
  <c r="K106" i="32"/>
  <c r="AW105" i="32"/>
  <c r="AR105" i="32"/>
  <c r="AI105" i="32"/>
  <c r="AJ105" i="32" s="1"/>
  <c r="R105" i="32"/>
  <c r="Q105" i="32"/>
  <c r="M105" i="32"/>
  <c r="K105" i="32"/>
  <c r="AR104" i="32"/>
  <c r="AI104" i="32"/>
  <c r="AJ104" i="32" s="1"/>
  <c r="R104" i="32"/>
  <c r="Q104" i="32"/>
  <c r="M104" i="32"/>
  <c r="K104" i="32"/>
  <c r="AW103" i="32"/>
  <c r="AR103" i="32"/>
  <c r="AI103" i="32"/>
  <c r="AJ103" i="32" s="1"/>
  <c r="R103" i="32"/>
  <c r="Q103" i="32"/>
  <c r="M103" i="32"/>
  <c r="K103" i="32"/>
  <c r="AR102" i="32"/>
  <c r="AI102" i="32"/>
  <c r="AJ102" i="32" s="1"/>
  <c r="R102" i="32"/>
  <c r="Q102" i="32"/>
  <c r="M102" i="32"/>
  <c r="K102" i="32"/>
  <c r="AW101" i="32"/>
  <c r="AR101" i="32"/>
  <c r="AI101" i="32"/>
  <c r="AJ101" i="32" s="1"/>
  <c r="R101" i="32"/>
  <c r="Q101" i="32"/>
  <c r="M101" i="32"/>
  <c r="K101" i="32"/>
  <c r="AR100" i="32"/>
  <c r="AI100" i="32"/>
  <c r="AJ100" i="32" s="1"/>
  <c r="R100" i="32"/>
  <c r="Q100" i="32"/>
  <c r="M100" i="32"/>
  <c r="K100" i="32"/>
  <c r="AW99" i="32"/>
  <c r="AR99" i="32"/>
  <c r="AI99" i="32"/>
  <c r="AJ99" i="32" s="1"/>
  <c r="R99" i="32"/>
  <c r="Q99" i="32"/>
  <c r="M99" i="32"/>
  <c r="K99" i="32"/>
  <c r="AR98" i="32"/>
  <c r="AI98" i="32"/>
  <c r="AJ98" i="32" s="1"/>
  <c r="R98" i="32"/>
  <c r="Q98" i="32"/>
  <c r="M98" i="32"/>
  <c r="K98" i="32"/>
  <c r="AR97" i="32"/>
  <c r="AI97" i="32"/>
  <c r="AJ97" i="32" s="1"/>
  <c r="R97" i="32"/>
  <c r="Q97" i="32"/>
  <c r="M97" i="32"/>
  <c r="K97" i="32"/>
  <c r="AW96" i="32"/>
  <c r="AR96" i="32"/>
  <c r="AI96" i="32"/>
  <c r="AJ96" i="32" s="1"/>
  <c r="R96" i="32"/>
  <c r="Q96" i="32"/>
  <c r="M96" i="32"/>
  <c r="K96" i="32"/>
  <c r="AW95" i="32"/>
  <c r="AR95" i="32"/>
  <c r="AI95" i="32"/>
  <c r="AJ95" i="32" s="1"/>
  <c r="R95" i="32"/>
  <c r="Q95" i="32"/>
  <c r="M95" i="32"/>
  <c r="K95" i="32"/>
  <c r="AR94" i="32"/>
  <c r="AI94" i="32"/>
  <c r="AJ94" i="32" s="1"/>
  <c r="R94" i="32"/>
  <c r="Q94" i="32"/>
  <c r="M94" i="32"/>
  <c r="K94" i="32"/>
  <c r="AR93" i="32"/>
  <c r="AI93" i="32"/>
  <c r="AJ93" i="32" s="1"/>
  <c r="R93" i="32"/>
  <c r="Q93" i="32"/>
  <c r="M93" i="32"/>
  <c r="K93" i="32"/>
  <c r="AW92" i="32"/>
  <c r="AR92" i="32"/>
  <c r="AI92" i="32"/>
  <c r="AJ92" i="32" s="1"/>
  <c r="R92" i="32"/>
  <c r="Q92" i="32"/>
  <c r="M92" i="32"/>
  <c r="K92" i="32"/>
  <c r="AR91" i="32"/>
  <c r="AI91" i="32"/>
  <c r="AJ91" i="32" s="1"/>
  <c r="R91" i="32"/>
  <c r="Q91" i="32"/>
  <c r="M91" i="32"/>
  <c r="K91" i="32"/>
  <c r="AR90" i="32"/>
  <c r="AI90" i="32"/>
  <c r="AJ90" i="32" s="1"/>
  <c r="R90" i="32"/>
  <c r="Q90" i="32"/>
  <c r="M90" i="32"/>
  <c r="K90" i="32"/>
  <c r="AR89" i="32"/>
  <c r="AI89" i="32"/>
  <c r="AJ89" i="32" s="1"/>
  <c r="R89" i="32"/>
  <c r="Q89" i="32"/>
  <c r="M89" i="32"/>
  <c r="K89" i="32"/>
  <c r="AR88" i="32"/>
  <c r="AI88" i="32"/>
  <c r="AJ88" i="32" s="1"/>
  <c r="R88" i="32"/>
  <c r="Q88" i="32"/>
  <c r="M88" i="32"/>
  <c r="K88" i="32"/>
  <c r="AR87" i="32"/>
  <c r="AI87" i="32"/>
  <c r="AJ87" i="32" s="1"/>
  <c r="R87" i="32"/>
  <c r="Q87" i="32"/>
  <c r="M87" i="32"/>
  <c r="K87" i="32"/>
  <c r="AR86" i="32"/>
  <c r="AI86" i="32"/>
  <c r="AJ86" i="32" s="1"/>
  <c r="R86" i="32"/>
  <c r="Q86" i="32"/>
  <c r="M86" i="32"/>
  <c r="K86" i="32"/>
  <c r="AR85" i="32"/>
  <c r="AI85" i="32"/>
  <c r="AJ85" i="32" s="1"/>
  <c r="R85" i="32"/>
  <c r="Q85" i="32"/>
  <c r="M85" i="32"/>
  <c r="K85" i="32"/>
  <c r="AR84" i="32"/>
  <c r="AI84" i="32"/>
  <c r="AJ84" i="32" s="1"/>
  <c r="R84" i="32"/>
  <c r="Q84" i="32"/>
  <c r="M84" i="32"/>
  <c r="K84" i="32"/>
  <c r="AR83" i="32"/>
  <c r="AI83" i="32"/>
  <c r="AJ83" i="32" s="1"/>
  <c r="R83" i="32"/>
  <c r="Q83" i="32"/>
  <c r="M83" i="32"/>
  <c r="K83" i="32"/>
  <c r="AR82" i="32"/>
  <c r="AI82" i="32"/>
  <c r="AJ82" i="32" s="1"/>
  <c r="R82" i="32"/>
  <c r="Q82" i="32"/>
  <c r="M82" i="32"/>
  <c r="K82" i="32"/>
  <c r="AR81" i="32"/>
  <c r="AI81" i="32"/>
  <c r="AJ81" i="32" s="1"/>
  <c r="R81" i="32"/>
  <c r="Q81" i="32"/>
  <c r="M81" i="32"/>
  <c r="K81" i="32"/>
  <c r="AR80" i="32"/>
  <c r="AI80" i="32"/>
  <c r="AJ80" i="32" s="1"/>
  <c r="R80" i="32"/>
  <c r="Q80" i="32"/>
  <c r="M80" i="32"/>
  <c r="K80" i="32"/>
  <c r="AW79" i="32"/>
  <c r="AR79" i="32"/>
  <c r="AI79" i="32"/>
  <c r="AJ79" i="32" s="1"/>
  <c r="R79" i="32"/>
  <c r="Q79" i="32"/>
  <c r="M79" i="32"/>
  <c r="K79" i="32"/>
  <c r="AW78" i="32"/>
  <c r="AR78" i="32"/>
  <c r="AI78" i="32"/>
  <c r="AJ78" i="32" s="1"/>
  <c r="R78" i="32"/>
  <c r="Q78" i="32"/>
  <c r="M78" i="32"/>
  <c r="K78" i="32"/>
  <c r="AW77" i="32"/>
  <c r="AR77" i="32"/>
  <c r="AI77" i="32"/>
  <c r="AJ77" i="32" s="1"/>
  <c r="R77" i="32"/>
  <c r="Q77" i="32"/>
  <c r="M77" i="32"/>
  <c r="K77" i="32"/>
  <c r="AW76" i="32"/>
  <c r="AR76" i="32"/>
  <c r="AI76" i="32"/>
  <c r="AJ76" i="32" s="1"/>
  <c r="R76" i="32"/>
  <c r="Q76" i="32"/>
  <c r="M76" i="32"/>
  <c r="K76" i="32"/>
  <c r="AW75" i="32"/>
  <c r="AR75" i="32"/>
  <c r="AI75" i="32"/>
  <c r="AJ75" i="32" s="1"/>
  <c r="T75" i="32"/>
  <c r="R75" i="32"/>
  <c r="Q75" i="32"/>
  <c r="M75" i="32"/>
  <c r="K75" i="32"/>
  <c r="AR74" i="32"/>
  <c r="AI74" i="32"/>
  <c r="AJ74" i="32" s="1"/>
  <c r="R74" i="32"/>
  <c r="Q74" i="32"/>
  <c r="M74" i="32"/>
  <c r="K74" i="32"/>
  <c r="AR73" i="32"/>
  <c r="AI73" i="32"/>
  <c r="AJ73" i="32" s="1"/>
  <c r="R73" i="32"/>
  <c r="Q73" i="32"/>
  <c r="M73" i="32"/>
  <c r="K73" i="32"/>
  <c r="AR72" i="32"/>
  <c r="AI72" i="32"/>
  <c r="AJ72" i="32" s="1"/>
  <c r="R72" i="32"/>
  <c r="Q72" i="32"/>
  <c r="M72" i="32"/>
  <c r="K72" i="32"/>
  <c r="AR71" i="32"/>
  <c r="AI71" i="32"/>
  <c r="AJ71" i="32" s="1"/>
  <c r="R71" i="32"/>
  <c r="Q71" i="32"/>
  <c r="M71" i="32"/>
  <c r="K71" i="32"/>
  <c r="AR70" i="32"/>
  <c r="AI70" i="32"/>
  <c r="AJ70" i="32" s="1"/>
  <c r="R70" i="32"/>
  <c r="Q70" i="32"/>
  <c r="M70" i="32"/>
  <c r="K70" i="32"/>
  <c r="AR69" i="32"/>
  <c r="AI69" i="32"/>
  <c r="AJ69" i="32" s="1"/>
  <c r="R69" i="32"/>
  <c r="Q69" i="32"/>
  <c r="M69" i="32"/>
  <c r="K69" i="32"/>
  <c r="AR68" i="32"/>
  <c r="AI68" i="32"/>
  <c r="AJ68" i="32" s="1"/>
  <c r="R68" i="32"/>
  <c r="Q68" i="32"/>
  <c r="M68" i="32"/>
  <c r="K68" i="32"/>
  <c r="AR67" i="32"/>
  <c r="AI67" i="32"/>
  <c r="AJ67" i="32" s="1"/>
  <c r="R67" i="32"/>
  <c r="Q67" i="32"/>
  <c r="M67" i="32"/>
  <c r="K67" i="32"/>
  <c r="AR66" i="32"/>
  <c r="AI66" i="32"/>
  <c r="AJ66" i="32" s="1"/>
  <c r="R66" i="32"/>
  <c r="Q66" i="32"/>
  <c r="M66" i="32"/>
  <c r="K66" i="32"/>
  <c r="AR65" i="32"/>
  <c r="AI65" i="32"/>
  <c r="AJ65" i="32" s="1"/>
  <c r="R65" i="32"/>
  <c r="Q65" i="32"/>
  <c r="M65" i="32"/>
  <c r="K65" i="32"/>
  <c r="AW64" i="32"/>
  <c r="AR64" i="32"/>
  <c r="AI64" i="32"/>
  <c r="AJ64" i="32" s="1"/>
  <c r="R64" i="32"/>
  <c r="Q64" i="32"/>
  <c r="M64" i="32"/>
  <c r="K64" i="32"/>
  <c r="AW63" i="32"/>
  <c r="AR63" i="32"/>
  <c r="AI63" i="32"/>
  <c r="AJ63" i="32" s="1"/>
  <c r="R63" i="32"/>
  <c r="Q63" i="32"/>
  <c r="M63" i="32"/>
  <c r="K63" i="32"/>
  <c r="AW62" i="32"/>
  <c r="AR62" i="32"/>
  <c r="AI62" i="32"/>
  <c r="AJ62" i="32" s="1"/>
  <c r="R62" i="32"/>
  <c r="Q62" i="32"/>
  <c r="M62" i="32"/>
  <c r="K62" i="32"/>
  <c r="AW61" i="32"/>
  <c r="AR61" i="32"/>
  <c r="AI61" i="32"/>
  <c r="AJ61" i="32" s="1"/>
  <c r="R61" i="32"/>
  <c r="Q61" i="32"/>
  <c r="M61" i="32"/>
  <c r="K61" i="32"/>
  <c r="AR60" i="32"/>
  <c r="AI60" i="32"/>
  <c r="AJ60" i="32" s="1"/>
  <c r="R60" i="32"/>
  <c r="Q60" i="32"/>
  <c r="M60" i="32"/>
  <c r="K60" i="32"/>
  <c r="AR59" i="32"/>
  <c r="AI59" i="32"/>
  <c r="AJ59" i="32" s="1"/>
  <c r="R59" i="32"/>
  <c r="Q59" i="32"/>
  <c r="M59" i="32"/>
  <c r="K59" i="32"/>
  <c r="AR58" i="32"/>
  <c r="AI58" i="32"/>
  <c r="AJ58" i="32" s="1"/>
  <c r="R58" i="32"/>
  <c r="Q58" i="32"/>
  <c r="M58" i="32"/>
  <c r="K58" i="32"/>
  <c r="AR57" i="32"/>
  <c r="AI57" i="32"/>
  <c r="AJ57" i="32" s="1"/>
  <c r="Z57" i="32"/>
  <c r="R57" i="32"/>
  <c r="Q57" i="32"/>
  <c r="M57" i="32"/>
  <c r="K57" i="32"/>
  <c r="AW56" i="32"/>
  <c r="AR56" i="32"/>
  <c r="AI56" i="32"/>
  <c r="AJ56" i="32" s="1"/>
  <c r="R56" i="32"/>
  <c r="Q56" i="32"/>
  <c r="M56" i="32"/>
  <c r="K56" i="32"/>
  <c r="AR55" i="32"/>
  <c r="AI55" i="32"/>
  <c r="AJ55" i="32" s="1"/>
  <c r="R55" i="32"/>
  <c r="Q55" i="32"/>
  <c r="M55" i="32"/>
  <c r="K55" i="32"/>
  <c r="AW54" i="32"/>
  <c r="AR54" i="32"/>
  <c r="AI54" i="32"/>
  <c r="AJ54" i="32" s="1"/>
  <c r="R54" i="32"/>
  <c r="Q54" i="32"/>
  <c r="M54" i="32"/>
  <c r="K54" i="32"/>
  <c r="AW53" i="32"/>
  <c r="AR53" i="32"/>
  <c r="AI53" i="32"/>
  <c r="AJ53" i="32" s="1"/>
  <c r="V53" i="32"/>
  <c r="R53" i="32"/>
  <c r="Q53" i="32"/>
  <c r="M53" i="32"/>
  <c r="K53" i="32"/>
  <c r="AR52" i="32"/>
  <c r="AI52" i="32"/>
  <c r="AJ52" i="32" s="1"/>
  <c r="R52" i="32"/>
  <c r="Q52" i="32"/>
  <c r="M52" i="32"/>
  <c r="K52" i="32"/>
  <c r="AR51" i="32"/>
  <c r="AI51" i="32"/>
  <c r="AJ51" i="32" s="1"/>
  <c r="R51" i="32"/>
  <c r="Q51" i="32"/>
  <c r="M51" i="32"/>
  <c r="K51" i="32"/>
  <c r="AR50" i="32"/>
  <c r="AI50" i="32"/>
  <c r="AJ50" i="32" s="1"/>
  <c r="R50" i="32"/>
  <c r="Q50" i="32"/>
  <c r="M50" i="32"/>
  <c r="K50" i="32"/>
  <c r="AR49" i="32"/>
  <c r="AI49" i="32"/>
  <c r="AJ49" i="32" s="1"/>
  <c r="R49" i="32"/>
  <c r="Q49" i="32"/>
  <c r="M49" i="32"/>
  <c r="K49" i="32"/>
  <c r="AW48" i="32"/>
  <c r="AR48" i="32"/>
  <c r="AI48" i="32"/>
  <c r="AJ48" i="32" s="1"/>
  <c r="R48" i="32"/>
  <c r="Q48" i="32"/>
  <c r="M48" i="32"/>
  <c r="K48" i="32"/>
  <c r="AW47" i="32"/>
  <c r="AR47" i="32"/>
  <c r="AI47" i="32"/>
  <c r="AJ47" i="32" s="1"/>
  <c r="R47" i="32"/>
  <c r="Q47" i="32"/>
  <c r="M47" i="32"/>
  <c r="K47" i="32"/>
  <c r="AW46" i="32"/>
  <c r="AR46" i="32"/>
  <c r="AI46" i="32"/>
  <c r="AJ46" i="32" s="1"/>
  <c r="R46" i="32"/>
  <c r="Q46" i="32"/>
  <c r="M46" i="32"/>
  <c r="K46" i="32"/>
  <c r="AR45" i="32"/>
  <c r="AI45" i="32"/>
  <c r="AJ45" i="32" s="1"/>
  <c r="R45" i="32"/>
  <c r="Q45" i="32"/>
  <c r="M45" i="32"/>
  <c r="K45" i="32"/>
  <c r="AW44" i="32"/>
  <c r="AR44" i="32"/>
  <c r="AI44" i="32"/>
  <c r="AJ44" i="32" s="1"/>
  <c r="R44" i="32"/>
  <c r="Q44" i="32"/>
  <c r="M44" i="32"/>
  <c r="K44" i="32"/>
  <c r="AW43" i="32"/>
  <c r="AR43" i="32"/>
  <c r="AI43" i="32"/>
  <c r="AJ43" i="32" s="1"/>
  <c r="R43" i="32"/>
  <c r="Q43" i="32"/>
  <c r="M43" i="32"/>
  <c r="K43" i="32"/>
  <c r="AR42" i="32"/>
  <c r="AI42" i="32"/>
  <c r="AJ42" i="32" s="1"/>
  <c r="R42" i="32"/>
  <c r="Q42" i="32"/>
  <c r="M42" i="32"/>
  <c r="K42" i="32"/>
  <c r="AR41" i="32"/>
  <c r="AI41" i="32"/>
  <c r="AJ41" i="32" s="1"/>
  <c r="V41" i="32"/>
  <c r="R41" i="32"/>
  <c r="Q41" i="32"/>
  <c r="M41" i="32"/>
  <c r="K41" i="32"/>
  <c r="AR40" i="32"/>
  <c r="AI40" i="32"/>
  <c r="AJ40" i="32" s="1"/>
  <c r="R40" i="32"/>
  <c r="Q40" i="32"/>
  <c r="M40" i="32"/>
  <c r="K40" i="32"/>
  <c r="AR39" i="32"/>
  <c r="AI39" i="32"/>
  <c r="AJ39" i="32" s="1"/>
  <c r="R39" i="32"/>
  <c r="Q39" i="32"/>
  <c r="M39" i="32"/>
  <c r="K39" i="32"/>
  <c r="AW38" i="32"/>
  <c r="AR38" i="32"/>
  <c r="AI38" i="32"/>
  <c r="AJ38" i="32" s="1"/>
  <c r="R38" i="32"/>
  <c r="Q38" i="32"/>
  <c r="M38" i="32"/>
  <c r="K38" i="32"/>
  <c r="AR37" i="32"/>
  <c r="AI37" i="32"/>
  <c r="AJ37" i="32" s="1"/>
  <c r="R37" i="32"/>
  <c r="Q37" i="32"/>
  <c r="M37" i="32"/>
  <c r="K37" i="32"/>
  <c r="AW36" i="32"/>
  <c r="AR36" i="32"/>
  <c r="AI36" i="32"/>
  <c r="AJ36" i="32" s="1"/>
  <c r="R36" i="32"/>
  <c r="Q36" i="32"/>
  <c r="M36" i="32"/>
  <c r="K36" i="32"/>
  <c r="AR35" i="32"/>
  <c r="AI35" i="32"/>
  <c r="AJ35" i="32" s="1"/>
  <c r="U35" i="32"/>
  <c r="R35" i="32"/>
  <c r="Q35" i="32"/>
  <c r="M35" i="32"/>
  <c r="K35" i="32"/>
  <c r="AW34" i="32"/>
  <c r="AR34" i="32"/>
  <c r="AI34" i="32"/>
  <c r="AJ34" i="32" s="1"/>
  <c r="R34" i="32"/>
  <c r="Q34" i="32"/>
  <c r="M34" i="32"/>
  <c r="K34" i="32"/>
  <c r="AR33" i="32"/>
  <c r="AI33" i="32"/>
  <c r="AJ33" i="32" s="1"/>
  <c r="R33" i="32"/>
  <c r="Q33" i="32"/>
  <c r="M33" i="32"/>
  <c r="K33" i="32"/>
  <c r="AW32" i="32"/>
  <c r="AR32" i="32"/>
  <c r="AI32" i="32"/>
  <c r="AJ32" i="32" s="1"/>
  <c r="R32" i="32"/>
  <c r="Q32" i="32"/>
  <c r="M32" i="32"/>
  <c r="K32" i="32"/>
  <c r="AW31" i="32"/>
  <c r="AR31" i="32"/>
  <c r="AI31" i="32"/>
  <c r="AJ31" i="32" s="1"/>
  <c r="Z31" i="32"/>
  <c r="T31" i="32"/>
  <c r="R31" i="32"/>
  <c r="Q31" i="32"/>
  <c r="M31" i="32"/>
  <c r="K31" i="32"/>
  <c r="AW30" i="32"/>
  <c r="AR30" i="32"/>
  <c r="AI30" i="32"/>
  <c r="AJ30" i="32" s="1"/>
  <c r="R30" i="32"/>
  <c r="Q30" i="32"/>
  <c r="M30" i="32"/>
  <c r="K30" i="32"/>
  <c r="AW29" i="32"/>
  <c r="AR29" i="32"/>
  <c r="AI29" i="32"/>
  <c r="AJ29" i="32" s="1"/>
  <c r="R29" i="32"/>
  <c r="Q29" i="32"/>
  <c r="M29" i="32"/>
  <c r="K29" i="32"/>
  <c r="AW28" i="32"/>
  <c r="AR28" i="32"/>
  <c r="AI28" i="32"/>
  <c r="AJ28" i="32" s="1"/>
  <c r="R28" i="32"/>
  <c r="Q28" i="32"/>
  <c r="M28" i="32"/>
  <c r="K28" i="32"/>
  <c r="AW27" i="32"/>
  <c r="AR27" i="32"/>
  <c r="AI27" i="32"/>
  <c r="AJ27" i="32" s="1"/>
  <c r="R27" i="32"/>
  <c r="Q27" i="32"/>
  <c r="M27" i="32"/>
  <c r="K27" i="32"/>
  <c r="AW26" i="32"/>
  <c r="AR26" i="32"/>
  <c r="AI26" i="32"/>
  <c r="AJ26" i="32" s="1"/>
  <c r="R26" i="32"/>
  <c r="Q26" i="32"/>
  <c r="M26" i="32"/>
  <c r="K26" i="32"/>
  <c r="AW25" i="32"/>
  <c r="AR25" i="32"/>
  <c r="AI25" i="32"/>
  <c r="AJ25" i="32" s="1"/>
  <c r="R25" i="32"/>
  <c r="Q25" i="32"/>
  <c r="M25" i="32"/>
  <c r="K25" i="32"/>
  <c r="AR24" i="32"/>
  <c r="AI24" i="32"/>
  <c r="AJ24" i="32" s="1"/>
  <c r="R24" i="32"/>
  <c r="Q24" i="32"/>
  <c r="M24" i="32"/>
  <c r="K24" i="32"/>
  <c r="AR23" i="32"/>
  <c r="AI23" i="32"/>
  <c r="AJ23" i="32" s="1"/>
  <c r="V23" i="32"/>
  <c r="R23" i="32"/>
  <c r="Q23" i="32"/>
  <c r="M23" i="32"/>
  <c r="K23" i="32"/>
  <c r="AR22" i="32"/>
  <c r="AI22" i="32"/>
  <c r="AJ22" i="32" s="1"/>
  <c r="R22" i="32"/>
  <c r="Q22" i="32"/>
  <c r="M22" i="32"/>
  <c r="K22" i="32"/>
  <c r="AR21" i="32"/>
  <c r="AI21" i="32"/>
  <c r="AJ21" i="32" s="1"/>
  <c r="R21" i="32"/>
  <c r="Q21" i="32"/>
  <c r="M21" i="32"/>
  <c r="K21" i="32"/>
  <c r="AR20" i="32"/>
  <c r="AI20" i="32"/>
  <c r="AJ20" i="32" s="1"/>
  <c r="R20" i="32"/>
  <c r="Q20" i="32"/>
  <c r="M20" i="32"/>
  <c r="K20" i="32"/>
  <c r="AR19" i="32"/>
  <c r="AI19" i="32"/>
  <c r="AJ19" i="32" s="1"/>
  <c r="T19" i="32"/>
  <c r="R19" i="32"/>
  <c r="Q19" i="32"/>
  <c r="M19" i="32"/>
  <c r="K19" i="32"/>
  <c r="AW18" i="32"/>
  <c r="AR18" i="32"/>
  <c r="AI18" i="32"/>
  <c r="AJ18" i="32" s="1"/>
  <c r="R18" i="32"/>
  <c r="Q18" i="32"/>
  <c r="M18" i="32"/>
  <c r="K18" i="32"/>
  <c r="AW17" i="32"/>
  <c r="AR17" i="32"/>
  <c r="AI17" i="32"/>
  <c r="AJ17" i="32" s="1"/>
  <c r="R17" i="32"/>
  <c r="Q17" i="32"/>
  <c r="M17" i="32"/>
  <c r="K17" i="32"/>
  <c r="AW16" i="32"/>
  <c r="AR16" i="32"/>
  <c r="AI16" i="32"/>
  <c r="AJ16" i="32" s="1"/>
  <c r="R16" i="32"/>
  <c r="Q16" i="32"/>
  <c r="M16" i="32"/>
  <c r="K16" i="32"/>
  <c r="AW15" i="32"/>
  <c r="AR15" i="32"/>
  <c r="AI15" i="32"/>
  <c r="AJ15" i="32" s="1"/>
  <c r="R15" i="32"/>
  <c r="Q15" i="32"/>
  <c r="M15" i="32"/>
  <c r="K15" i="32"/>
  <c r="AW14" i="32"/>
  <c r="AR14" i="32"/>
  <c r="AI14" i="32"/>
  <c r="AJ14" i="32" s="1"/>
  <c r="R14" i="32"/>
  <c r="Q14" i="32"/>
  <c r="M14" i="32"/>
  <c r="K14" i="32"/>
  <c r="AW13" i="32"/>
  <c r="AR13" i="32"/>
  <c r="AI13" i="32"/>
  <c r="AJ13" i="32" s="1"/>
  <c r="R13" i="32"/>
  <c r="Q13" i="32"/>
  <c r="M13" i="32"/>
  <c r="K13" i="32"/>
  <c r="AW12" i="32"/>
  <c r="AR12" i="32"/>
  <c r="AI12" i="32"/>
  <c r="AJ12" i="32" s="1"/>
  <c r="R12" i="32"/>
  <c r="Q12" i="32"/>
  <c r="M12" i="32"/>
  <c r="K12" i="32"/>
  <c r="AR11" i="32"/>
  <c r="AI11" i="32"/>
  <c r="AJ11" i="32" s="1"/>
  <c r="R11" i="32"/>
  <c r="Q11" i="32"/>
  <c r="M11" i="32"/>
  <c r="K11" i="32"/>
  <c r="AR10" i="32"/>
  <c r="AI10" i="32"/>
  <c r="AJ10" i="32" s="1"/>
  <c r="V10" i="32"/>
  <c r="R10" i="32"/>
  <c r="Q10" i="32"/>
  <c r="M10" i="32"/>
  <c r="K10" i="32"/>
  <c r="AW9" i="32"/>
  <c r="AR9" i="32"/>
  <c r="AI9" i="32"/>
  <c r="AJ9" i="32" s="1"/>
  <c r="R9" i="32"/>
  <c r="Q9" i="32"/>
  <c r="M9" i="32"/>
  <c r="K9" i="32"/>
  <c r="AW8" i="32"/>
  <c r="AR8" i="32"/>
  <c r="AI8" i="32"/>
  <c r="AJ8" i="32" s="1"/>
  <c r="Z8" i="32"/>
  <c r="R8" i="32"/>
  <c r="Q8" i="32"/>
  <c r="M8" i="32"/>
  <c r="K8" i="32"/>
  <c r="AR7" i="32"/>
  <c r="AI7" i="32"/>
  <c r="AJ7" i="32" s="1"/>
  <c r="R7" i="32"/>
  <c r="Q7" i="32"/>
  <c r="M7" i="32"/>
  <c r="K7" i="32"/>
  <c r="AR6" i="32"/>
  <c r="R6" i="32"/>
  <c r="Q6" i="32"/>
  <c r="M6" i="32"/>
  <c r="K6" i="32"/>
  <c r="AR5" i="32"/>
  <c r="AI5" i="32"/>
  <c r="AJ5" i="32" s="1"/>
  <c r="R5" i="32"/>
  <c r="Q5" i="32"/>
  <c r="M5" i="32"/>
  <c r="K5" i="32"/>
  <c r="AR4" i="32"/>
  <c r="AI4" i="32"/>
  <c r="AJ4" i="32" s="1"/>
  <c r="R4" i="32"/>
  <c r="Q4" i="32"/>
  <c r="M4" i="32"/>
  <c r="K4" i="32"/>
  <c r="AR3" i="32"/>
  <c r="AI3" i="32"/>
  <c r="AJ3" i="32" s="1"/>
  <c r="R3" i="32"/>
  <c r="Q3" i="32"/>
  <c r="M3" i="32"/>
  <c r="K3" i="32"/>
  <c r="E206" i="16"/>
  <c r="Y57" i="33"/>
  <c r="BA57" i="32" s="1"/>
  <c r="A3" i="33"/>
  <c r="B3" i="33"/>
  <c r="A4" i="33"/>
  <c r="B4" i="33"/>
  <c r="A5" i="33"/>
  <c r="B5" i="33"/>
  <c r="A6" i="33"/>
  <c r="B6" i="33"/>
  <c r="A7" i="33"/>
  <c r="B7" i="33"/>
  <c r="A8" i="33"/>
  <c r="B8" i="33"/>
  <c r="A9" i="33"/>
  <c r="B9" i="33"/>
  <c r="A10" i="33"/>
  <c r="B10" i="33"/>
  <c r="A11" i="33"/>
  <c r="B11" i="33"/>
  <c r="A12" i="33"/>
  <c r="B12" i="33"/>
  <c r="A13" i="33"/>
  <c r="B13" i="33"/>
  <c r="A14" i="33"/>
  <c r="B14" i="33"/>
  <c r="A15" i="33"/>
  <c r="B15" i="33"/>
  <c r="A16" i="33"/>
  <c r="B16" i="33"/>
  <c r="A17" i="33"/>
  <c r="B17" i="33"/>
  <c r="A18" i="33"/>
  <c r="B18" i="33"/>
  <c r="A19" i="33"/>
  <c r="B19" i="33"/>
  <c r="A20" i="33"/>
  <c r="B20" i="33"/>
  <c r="A21" i="33"/>
  <c r="B21" i="33"/>
  <c r="A22" i="33"/>
  <c r="B22" i="33"/>
  <c r="A23" i="33"/>
  <c r="B23" i="33"/>
  <c r="A24" i="33"/>
  <c r="B24" i="33"/>
  <c r="A25" i="33"/>
  <c r="B25" i="33"/>
  <c r="A26" i="33"/>
  <c r="B26" i="33"/>
  <c r="A27" i="33"/>
  <c r="B27" i="33"/>
  <c r="A28" i="33"/>
  <c r="B28" i="33"/>
  <c r="A29" i="33"/>
  <c r="B29" i="33"/>
  <c r="A30" i="33"/>
  <c r="B30" i="33"/>
  <c r="A31" i="33"/>
  <c r="B31" i="33"/>
  <c r="A32" i="33"/>
  <c r="B32" i="33"/>
  <c r="A33" i="33"/>
  <c r="B33" i="33"/>
  <c r="A34" i="33"/>
  <c r="B34" i="33"/>
  <c r="A35" i="33"/>
  <c r="B35" i="33"/>
  <c r="A36" i="33"/>
  <c r="B36" i="33"/>
  <c r="A37" i="33"/>
  <c r="B37" i="33"/>
  <c r="A38" i="33"/>
  <c r="B38" i="33"/>
  <c r="A39" i="33"/>
  <c r="B39" i="33"/>
  <c r="A40" i="33"/>
  <c r="B40" i="33"/>
  <c r="A41" i="33"/>
  <c r="B41" i="33"/>
  <c r="A42" i="33"/>
  <c r="B42" i="33"/>
  <c r="A43" i="33"/>
  <c r="B43" i="33"/>
  <c r="A44" i="33"/>
  <c r="B44" i="33"/>
  <c r="A45" i="33"/>
  <c r="B45" i="33"/>
  <c r="A46" i="33"/>
  <c r="B46" i="33"/>
  <c r="A47" i="33"/>
  <c r="B47" i="33"/>
  <c r="A48" i="33"/>
  <c r="B48" i="33"/>
  <c r="A49" i="33"/>
  <c r="B49" i="33"/>
  <c r="A50" i="33"/>
  <c r="B50" i="33"/>
  <c r="A51" i="33"/>
  <c r="B51" i="33"/>
  <c r="A52" i="33"/>
  <c r="B52" i="33"/>
  <c r="A53" i="33"/>
  <c r="B53" i="33"/>
  <c r="A54" i="33"/>
  <c r="B54" i="33"/>
  <c r="A55" i="33"/>
  <c r="B55" i="33"/>
  <c r="A56" i="33"/>
  <c r="B56" i="33"/>
  <c r="A57" i="33"/>
  <c r="B57" i="33"/>
  <c r="A58" i="33"/>
  <c r="B58" i="33"/>
  <c r="A59" i="33"/>
  <c r="B59" i="33"/>
  <c r="A60" i="33"/>
  <c r="B60" i="33"/>
  <c r="A61" i="33"/>
  <c r="B61" i="33"/>
  <c r="A62" i="33"/>
  <c r="B62" i="33"/>
  <c r="A63" i="33"/>
  <c r="B63" i="33"/>
  <c r="A64" i="33"/>
  <c r="B64" i="33"/>
  <c r="A65" i="33"/>
  <c r="B65" i="33"/>
  <c r="A66" i="33"/>
  <c r="B66" i="33"/>
  <c r="A67" i="33"/>
  <c r="B67" i="33"/>
  <c r="A68" i="33"/>
  <c r="B68" i="33"/>
  <c r="A69" i="33"/>
  <c r="B69" i="33"/>
  <c r="A70" i="33"/>
  <c r="B70" i="33"/>
  <c r="A71" i="33"/>
  <c r="B71" i="33"/>
  <c r="A72" i="33"/>
  <c r="B72" i="33"/>
  <c r="A73" i="33"/>
  <c r="B73" i="33"/>
  <c r="A74" i="33"/>
  <c r="B74" i="33"/>
  <c r="A75" i="33"/>
  <c r="B75" i="33"/>
  <c r="A76" i="33"/>
  <c r="B76" i="33"/>
  <c r="A77" i="33"/>
  <c r="B77" i="33"/>
  <c r="A78" i="33"/>
  <c r="B78" i="33"/>
  <c r="A79" i="33"/>
  <c r="B79" i="33"/>
  <c r="A80" i="33"/>
  <c r="B80" i="33"/>
  <c r="A81" i="33"/>
  <c r="B81" i="33"/>
  <c r="A82" i="33"/>
  <c r="B82" i="33"/>
  <c r="A83" i="33"/>
  <c r="B83" i="33"/>
  <c r="A84" i="33"/>
  <c r="B84" i="33"/>
  <c r="A85" i="33"/>
  <c r="B85" i="33"/>
  <c r="A86" i="33"/>
  <c r="B86" i="33"/>
  <c r="A87" i="33"/>
  <c r="B87" i="33"/>
  <c r="A88" i="33"/>
  <c r="B88" i="33"/>
  <c r="A89" i="33"/>
  <c r="B89" i="33"/>
  <c r="A90" i="33"/>
  <c r="B90" i="33"/>
  <c r="A91" i="33"/>
  <c r="B91" i="33"/>
  <c r="A92" i="33"/>
  <c r="B92" i="33"/>
  <c r="A93" i="33"/>
  <c r="B93" i="33"/>
  <c r="A94" i="33"/>
  <c r="B94" i="33"/>
  <c r="A95" i="33"/>
  <c r="B95" i="33"/>
  <c r="A96" i="33"/>
  <c r="B96" i="33"/>
  <c r="A97" i="33"/>
  <c r="B97" i="33"/>
  <c r="A98" i="33"/>
  <c r="B98" i="33"/>
  <c r="A99" i="33"/>
  <c r="B99" i="33"/>
  <c r="A100" i="33"/>
  <c r="B100" i="33"/>
  <c r="A101" i="33"/>
  <c r="B101" i="33"/>
  <c r="A102" i="33"/>
  <c r="B102" i="33"/>
  <c r="A103" i="33"/>
  <c r="B103" i="33"/>
  <c r="A104" i="33"/>
  <c r="B104" i="33"/>
  <c r="A105" i="33"/>
  <c r="B105" i="33"/>
  <c r="A106" i="33"/>
  <c r="B106" i="33"/>
  <c r="A107" i="33"/>
  <c r="B107" i="33"/>
  <c r="A108" i="33"/>
  <c r="B108" i="33"/>
  <c r="A109" i="33"/>
  <c r="B109" i="33"/>
  <c r="A110" i="33"/>
  <c r="B110" i="33"/>
  <c r="A111" i="33"/>
  <c r="B111" i="33"/>
  <c r="A112" i="33"/>
  <c r="B112" i="33"/>
  <c r="A113" i="33"/>
  <c r="B113" i="33"/>
  <c r="A114" i="33"/>
  <c r="B114" i="33"/>
  <c r="A115" i="33"/>
  <c r="B115" i="33"/>
  <c r="A116" i="33"/>
  <c r="B116" i="33"/>
  <c r="A117" i="33"/>
  <c r="B117" i="33"/>
  <c r="A118" i="33"/>
  <c r="B118" i="33"/>
  <c r="A119" i="33"/>
  <c r="B119" i="33"/>
  <c r="A120" i="33"/>
  <c r="B120" i="33"/>
  <c r="A121" i="33"/>
  <c r="B121" i="33"/>
  <c r="A122" i="33"/>
  <c r="B122" i="33"/>
  <c r="A123" i="33"/>
  <c r="B123" i="33"/>
  <c r="A124" i="33"/>
  <c r="B124" i="33"/>
  <c r="A125" i="33"/>
  <c r="B125" i="33"/>
  <c r="A126" i="33"/>
  <c r="B126" i="33"/>
  <c r="A127" i="33"/>
  <c r="B127" i="33"/>
  <c r="A128" i="33"/>
  <c r="B128" i="33"/>
  <c r="A129" i="33"/>
  <c r="B129" i="33"/>
  <c r="A130" i="33"/>
  <c r="B130" i="33"/>
  <c r="A131" i="33"/>
  <c r="B131" i="33"/>
  <c r="A132" i="33"/>
  <c r="B132" i="33"/>
  <c r="A133" i="33"/>
  <c r="B133" i="33"/>
  <c r="A134" i="33"/>
  <c r="B134" i="33"/>
  <c r="A135" i="33"/>
  <c r="B135" i="33"/>
  <c r="A136" i="33"/>
  <c r="B136" i="33"/>
  <c r="A137" i="33"/>
  <c r="B137" i="33"/>
  <c r="A138" i="33"/>
  <c r="B138" i="33"/>
  <c r="A139" i="33"/>
  <c r="B139" i="33"/>
  <c r="A140" i="33"/>
  <c r="B140" i="33"/>
  <c r="A141" i="33"/>
  <c r="B141" i="33"/>
  <c r="A142" i="33"/>
  <c r="B142" i="33"/>
  <c r="A143" i="33"/>
  <c r="B143" i="33"/>
  <c r="A144" i="33"/>
  <c r="B144" i="33"/>
  <c r="A145" i="33"/>
  <c r="B145" i="33"/>
  <c r="A146" i="33"/>
  <c r="B146" i="33"/>
  <c r="A147" i="33"/>
  <c r="B147" i="33"/>
  <c r="A148" i="33"/>
  <c r="B148" i="33"/>
  <c r="A149" i="33"/>
  <c r="B149" i="33"/>
  <c r="A150" i="33"/>
  <c r="B150" i="33"/>
  <c r="A151" i="33"/>
  <c r="B151" i="33"/>
  <c r="A152" i="33"/>
  <c r="B152" i="33"/>
  <c r="A153" i="33"/>
  <c r="B153" i="33"/>
  <c r="A154" i="33"/>
  <c r="B154" i="33"/>
  <c r="A155" i="33"/>
  <c r="B155" i="33"/>
  <c r="A156" i="33"/>
  <c r="B156" i="33"/>
  <c r="A157" i="33"/>
  <c r="B157" i="33"/>
  <c r="A158" i="33"/>
  <c r="B158" i="33"/>
  <c r="A159" i="33"/>
  <c r="B159" i="33"/>
  <c r="A160" i="33"/>
  <c r="B160" i="33"/>
  <c r="A161" i="33"/>
  <c r="B161" i="33"/>
  <c r="A162" i="33"/>
  <c r="B162" i="33"/>
  <c r="A163" i="33"/>
  <c r="B163" i="33"/>
  <c r="A164" i="33"/>
  <c r="B164" i="33"/>
  <c r="A165" i="33"/>
  <c r="B165" i="33"/>
  <c r="A166" i="33"/>
  <c r="B166" i="33"/>
  <c r="A167" i="33"/>
  <c r="B167" i="33"/>
  <c r="A168" i="33"/>
  <c r="B168" i="33"/>
  <c r="A169" i="33"/>
  <c r="B169" i="33"/>
  <c r="A170" i="33"/>
  <c r="B170" i="33"/>
  <c r="A171" i="33"/>
  <c r="B171" i="33"/>
  <c r="A172" i="33"/>
  <c r="B172" i="33"/>
  <c r="A173" i="33"/>
  <c r="B173" i="33"/>
  <c r="A174" i="33"/>
  <c r="B174" i="33"/>
  <c r="A175" i="33"/>
  <c r="B175" i="33"/>
  <c r="A176" i="33"/>
  <c r="B176" i="33"/>
  <c r="A177" i="33"/>
  <c r="B177" i="33"/>
  <c r="A178" i="33"/>
  <c r="B178" i="33"/>
  <c r="A179" i="33"/>
  <c r="B179" i="33"/>
  <c r="A180" i="33"/>
  <c r="B180" i="33"/>
  <c r="A181" i="33"/>
  <c r="B181" i="33"/>
  <c r="A182" i="33"/>
  <c r="B182" i="33"/>
  <c r="A183" i="33"/>
  <c r="B183" i="33"/>
  <c r="A184" i="33"/>
  <c r="B184" i="33"/>
  <c r="A185" i="33"/>
  <c r="B185" i="33"/>
  <c r="A186" i="33"/>
  <c r="B186" i="33"/>
  <c r="A187" i="33"/>
  <c r="B187" i="33"/>
  <c r="A188" i="33"/>
  <c r="B188" i="33"/>
  <c r="A189" i="33"/>
  <c r="B189" i="33"/>
  <c r="A190" i="33"/>
  <c r="B190" i="33"/>
  <c r="A191" i="33"/>
  <c r="B191" i="33"/>
  <c r="A192" i="33"/>
  <c r="B192" i="33"/>
  <c r="A193" i="33"/>
  <c r="B193" i="33"/>
  <c r="A194" i="33"/>
  <c r="B194" i="33"/>
  <c r="A195" i="33"/>
  <c r="B195" i="33"/>
  <c r="A196" i="33"/>
  <c r="B196" i="33"/>
  <c r="A197" i="33"/>
  <c r="B197" i="33"/>
  <c r="A198" i="33"/>
  <c r="B198" i="33"/>
  <c r="A199" i="33"/>
  <c r="B199" i="33"/>
  <c r="A200" i="33"/>
  <c r="B200" i="33"/>
  <c r="A201" i="33"/>
  <c r="B201" i="33"/>
  <c r="A202" i="33"/>
  <c r="B202" i="33"/>
  <c r="A203" i="33"/>
  <c r="B203" i="33"/>
  <c r="A204" i="33"/>
  <c r="B204" i="33"/>
  <c r="A205" i="33"/>
  <c r="B205" i="33"/>
  <c r="A206" i="33"/>
  <c r="B206" i="33"/>
  <c r="A207" i="33"/>
  <c r="B207" i="33"/>
  <c r="A208" i="33"/>
  <c r="B208" i="33"/>
  <c r="A209" i="33"/>
  <c r="B209" i="33"/>
  <c r="A210" i="33"/>
  <c r="B210" i="33"/>
  <c r="A211" i="33"/>
  <c r="B211" i="33"/>
  <c r="A212" i="33"/>
  <c r="B212" i="33"/>
  <c r="A213" i="33"/>
  <c r="B213" i="33"/>
  <c r="A214" i="33"/>
  <c r="B214" i="33"/>
  <c r="A215" i="33"/>
  <c r="B215" i="33"/>
  <c r="A216" i="33"/>
  <c r="B216" i="33"/>
  <c r="A217" i="33"/>
  <c r="B217" i="33"/>
  <c r="A218" i="33"/>
  <c r="B218" i="33"/>
  <c r="A219" i="33"/>
  <c r="B219" i="33"/>
  <c r="A220" i="33"/>
  <c r="B220" i="33"/>
  <c r="A221" i="33"/>
  <c r="B221" i="33"/>
  <c r="A222" i="33"/>
  <c r="B222" i="33"/>
  <c r="A223" i="33"/>
  <c r="B223" i="33"/>
  <c r="A224" i="33"/>
  <c r="B224" i="33"/>
  <c r="A225" i="33"/>
  <c r="B225" i="33"/>
  <c r="A226" i="33"/>
  <c r="B226" i="33"/>
  <c r="A227" i="33"/>
  <c r="B227" i="33"/>
  <c r="A228" i="33"/>
  <c r="B228" i="33"/>
  <c r="A229" i="33"/>
  <c r="B229" i="33"/>
  <c r="A230" i="33"/>
  <c r="B230" i="33"/>
  <c r="A231" i="33"/>
  <c r="B231" i="33"/>
  <c r="A232" i="33"/>
  <c r="B232" i="33"/>
  <c r="A233" i="33"/>
  <c r="B233" i="33"/>
  <c r="A234" i="33"/>
  <c r="B234" i="33"/>
  <c r="A235" i="33"/>
  <c r="B235" i="33"/>
  <c r="A236" i="33"/>
  <c r="B236" i="33"/>
  <c r="A237" i="33"/>
  <c r="B237" i="33"/>
  <c r="A238" i="33"/>
  <c r="B238" i="33"/>
  <c r="A239" i="33"/>
  <c r="B239" i="33"/>
  <c r="A240" i="33"/>
  <c r="B240" i="33"/>
  <c r="A241" i="33"/>
  <c r="B241" i="33"/>
  <c r="A242" i="33"/>
  <c r="B242" i="33"/>
  <c r="A243" i="33"/>
  <c r="B243" i="33"/>
  <c r="A244" i="33"/>
  <c r="B244" i="33"/>
  <c r="A245" i="33"/>
  <c r="B245" i="33"/>
  <c r="A246" i="33"/>
  <c r="B246" i="33"/>
  <c r="A247" i="33"/>
  <c r="B247" i="33"/>
  <c r="A248" i="33"/>
  <c r="B248" i="33"/>
  <c r="A249" i="33"/>
  <c r="B249" i="33"/>
  <c r="A250" i="33"/>
  <c r="B250" i="33"/>
  <c r="A251" i="33"/>
  <c r="B251" i="33"/>
  <c r="A252" i="33"/>
  <c r="B252" i="33"/>
  <c r="A253" i="33"/>
  <c r="B253" i="33"/>
  <c r="A254" i="33"/>
  <c r="B254" i="33"/>
  <c r="A255" i="33"/>
  <c r="B255" i="33"/>
  <c r="A256" i="33"/>
  <c r="B256" i="33"/>
  <c r="A257" i="33"/>
  <c r="B257" i="33"/>
  <c r="A258" i="33"/>
  <c r="B258" i="33"/>
  <c r="A259" i="33"/>
  <c r="B259" i="33"/>
  <c r="A260" i="33"/>
  <c r="B260" i="33"/>
  <c r="A261" i="33"/>
  <c r="B261" i="33"/>
  <c r="A262" i="33"/>
  <c r="B262" i="33"/>
  <c r="A263" i="33"/>
  <c r="B263" i="33"/>
  <c r="A264" i="33"/>
  <c r="B264" i="33"/>
  <c r="A265" i="33"/>
  <c r="B265" i="33"/>
  <c r="A266" i="33"/>
  <c r="B266" i="33"/>
  <c r="A267" i="33"/>
  <c r="B267" i="33"/>
  <c r="A268" i="33"/>
  <c r="B268" i="33"/>
  <c r="A269" i="33"/>
  <c r="B269" i="33"/>
  <c r="A270" i="33"/>
  <c r="B270" i="33"/>
  <c r="A271" i="33"/>
  <c r="B271" i="33"/>
  <c r="A272" i="33"/>
  <c r="B272" i="33"/>
  <c r="A273" i="33"/>
  <c r="B273" i="33"/>
  <c r="A274" i="33"/>
  <c r="B274" i="33"/>
  <c r="A275" i="33"/>
  <c r="B275" i="33"/>
  <c r="A276" i="33"/>
  <c r="B276" i="33"/>
  <c r="A277" i="33"/>
  <c r="B277" i="33"/>
  <c r="A278" i="33"/>
  <c r="B278" i="33"/>
  <c r="A279" i="33"/>
  <c r="B279" i="33"/>
  <c r="A280" i="33"/>
  <c r="B280" i="33"/>
  <c r="A281" i="33"/>
  <c r="B281" i="33"/>
  <c r="A282" i="33"/>
  <c r="B282" i="33"/>
  <c r="A283" i="33"/>
  <c r="B283" i="33"/>
  <c r="A284" i="33"/>
  <c r="B284" i="33"/>
  <c r="A285" i="33"/>
  <c r="B285" i="33"/>
  <c r="A286" i="33"/>
  <c r="B286" i="33"/>
  <c r="A287" i="33"/>
  <c r="B287" i="33"/>
  <c r="A288" i="33"/>
  <c r="B288" i="33"/>
  <c r="A289" i="33"/>
  <c r="B289" i="33"/>
  <c r="A290" i="33"/>
  <c r="B290" i="33"/>
  <c r="A291" i="33"/>
  <c r="B291" i="33"/>
  <c r="A292" i="33"/>
  <c r="B292" i="33"/>
  <c r="A293" i="33"/>
  <c r="B293" i="33"/>
  <c r="A294" i="33"/>
  <c r="B294" i="33"/>
  <c r="A295" i="33"/>
  <c r="B295" i="33"/>
  <c r="A296" i="33"/>
  <c r="B296" i="33"/>
  <c r="A297" i="33"/>
  <c r="B297" i="33"/>
  <c r="A298" i="33"/>
  <c r="B298" i="33"/>
  <c r="A299" i="33"/>
  <c r="B299" i="33"/>
  <c r="A300" i="33"/>
  <c r="B300" i="33"/>
  <c r="A301" i="33"/>
  <c r="B301" i="33"/>
  <c r="A302" i="33"/>
  <c r="B302" i="33"/>
  <c r="A303" i="33"/>
  <c r="B303" i="33"/>
  <c r="A304" i="33"/>
  <c r="B304" i="33"/>
  <c r="A305" i="33"/>
  <c r="B305" i="33"/>
  <c r="A306" i="33"/>
  <c r="B306" i="33"/>
  <c r="A307" i="33"/>
  <c r="B307" i="33"/>
  <c r="A308" i="33"/>
  <c r="B308" i="33"/>
  <c r="A309" i="33"/>
  <c r="B309" i="33"/>
  <c r="A310" i="33"/>
  <c r="B310" i="33"/>
  <c r="A311" i="33"/>
  <c r="B311" i="33"/>
  <c r="A312" i="33"/>
  <c r="B312" i="33"/>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248" i="32"/>
  <c r="A249" i="32"/>
  <c r="A250" i="32"/>
  <c r="A251" i="32"/>
  <c r="A252" i="32"/>
  <c r="A253" i="32"/>
  <c r="A254" i="32"/>
  <c r="A255" i="32"/>
  <c r="A256" i="32"/>
  <c r="A257" i="32"/>
  <c r="A258" i="32"/>
  <c r="A259" i="32"/>
  <c r="A260" i="32"/>
  <c r="A261" i="32"/>
  <c r="A262" i="32"/>
  <c r="A263" i="32"/>
  <c r="A264" i="32"/>
  <c r="A265" i="32"/>
  <c r="A266" i="32"/>
  <c r="A267" i="32"/>
  <c r="A268" i="32"/>
  <c r="A269" i="32"/>
  <c r="A270" i="32"/>
  <c r="A271" i="32"/>
  <c r="A272" i="32"/>
  <c r="A273" i="32"/>
  <c r="A274" i="32"/>
  <c r="A275" i="32"/>
  <c r="A276" i="32"/>
  <c r="A277" i="32"/>
  <c r="A278" i="32"/>
  <c r="A279" i="32"/>
  <c r="A280" i="32"/>
  <c r="A281" i="32"/>
  <c r="A282" i="32"/>
  <c r="A283" i="32"/>
  <c r="A284" i="32"/>
  <c r="A285" i="32"/>
  <c r="A286" i="32"/>
  <c r="A287" i="32"/>
  <c r="A288" i="32"/>
  <c r="A289" i="32"/>
  <c r="A290" i="32"/>
  <c r="A291" i="32"/>
  <c r="A292" i="32"/>
  <c r="A293" i="32"/>
  <c r="A294" i="32"/>
  <c r="A295" i="32"/>
  <c r="A296" i="32"/>
  <c r="A297" i="32"/>
  <c r="A298" i="32"/>
  <c r="A299" i="32"/>
  <c r="A300" i="32"/>
  <c r="A301" i="32"/>
  <c r="A302" i="32"/>
  <c r="A303" i="32"/>
  <c r="A304" i="32"/>
  <c r="A305" i="32"/>
  <c r="A306" i="32"/>
  <c r="A307" i="32"/>
  <c r="A308" i="32"/>
  <c r="A309" i="32"/>
  <c r="A310" i="32"/>
  <c r="A311" i="32"/>
  <c r="A312" i="32"/>
  <c r="F110" i="32"/>
  <c r="I110" i="32" s="1"/>
  <c r="H110" i="33" s="1"/>
  <c r="O255" i="16"/>
  <c r="Y255" i="32" s="1"/>
  <c r="AA255" i="32" s="1"/>
  <c r="O256" i="16"/>
  <c r="Y256" i="32" s="1"/>
  <c r="AA256" i="32" s="1"/>
  <c r="O252" i="16"/>
  <c r="Y252" i="32" s="1"/>
  <c r="AA252" i="32" s="1"/>
  <c r="AG252" i="16"/>
  <c r="AF252" i="16" s="1"/>
  <c r="AV252" i="32" s="1"/>
  <c r="AW252" i="32" s="1"/>
  <c r="O253" i="16"/>
  <c r="Y253" i="32" s="1"/>
  <c r="AA253" i="32" s="1"/>
  <c r="AG253" i="16"/>
  <c r="AF253" i="16" s="1"/>
  <c r="AV253" i="32" s="1"/>
  <c r="AW253" i="32" s="1"/>
  <c r="O249" i="16"/>
  <c r="Y249" i="32" s="1"/>
  <c r="AA249" i="32" s="1"/>
  <c r="S249" i="16"/>
  <c r="AG249" i="16"/>
  <c r="AF249" i="16" s="1"/>
  <c r="AV249" i="32" s="1"/>
  <c r="AW249" i="32" s="1"/>
  <c r="O250" i="16"/>
  <c r="Y250" i="32" s="1"/>
  <c r="AA250" i="32" s="1"/>
  <c r="S250" i="16"/>
  <c r="AG250" i="16"/>
  <c r="AF250" i="16" s="1"/>
  <c r="AV250" i="32" s="1"/>
  <c r="AW250" i="32" s="1"/>
  <c r="F249" i="16"/>
  <c r="F252" i="16"/>
  <c r="F255" i="16"/>
  <c r="F257" i="16"/>
  <c r="E249" i="16"/>
  <c r="K3" i="33"/>
  <c r="G4" i="33"/>
  <c r="K4" i="33"/>
  <c r="K5" i="33" s="1"/>
  <c r="G5" i="33"/>
  <c r="G6" i="33"/>
  <c r="K6" i="33"/>
  <c r="K7" i="33" s="1"/>
  <c r="G7" i="33"/>
  <c r="G8" i="33"/>
  <c r="K8" i="33"/>
  <c r="K9" i="33" s="1"/>
  <c r="G9" i="33"/>
  <c r="G10" i="33"/>
  <c r="K10" i="33"/>
  <c r="G11" i="33"/>
  <c r="K11" i="33"/>
  <c r="G12" i="33"/>
  <c r="K12" i="33"/>
  <c r="G13" i="33"/>
  <c r="G14" i="33" s="1"/>
  <c r="G15" i="33" s="1"/>
  <c r="G16" i="33" s="1"/>
  <c r="G17" i="33" s="1"/>
  <c r="G18" i="33" s="1"/>
  <c r="K13" i="33"/>
  <c r="K14" i="33" s="1"/>
  <c r="K15" i="33"/>
  <c r="K16" i="33" s="1"/>
  <c r="K17" i="33"/>
  <c r="K18" i="33" s="1"/>
  <c r="G19" i="33"/>
  <c r="G20" i="33" s="1"/>
  <c r="G21" i="33" s="1"/>
  <c r="K19" i="33"/>
  <c r="K20" i="33"/>
  <c r="K21" i="33"/>
  <c r="G22" i="33"/>
  <c r="K22" i="33"/>
  <c r="G23" i="33"/>
  <c r="K23" i="33"/>
  <c r="G24" i="33"/>
  <c r="K24" i="33"/>
  <c r="G25" i="33"/>
  <c r="G26" i="33" s="1"/>
  <c r="G27" i="33" s="1"/>
  <c r="G28" i="33" s="1"/>
  <c r="G29" i="33" s="1"/>
  <c r="G30" i="33" s="1"/>
  <c r="G31" i="33" s="1"/>
  <c r="G32" i="33" s="1"/>
  <c r="K25" i="33"/>
  <c r="K26" i="33" s="1"/>
  <c r="K27" i="33"/>
  <c r="K28" i="33" s="1"/>
  <c r="K29" i="33"/>
  <c r="K30" i="33" s="1"/>
  <c r="K31" i="33"/>
  <c r="K32" i="33" s="1"/>
  <c r="G33" i="33"/>
  <c r="G34" i="33" s="1"/>
  <c r="K33" i="33"/>
  <c r="K34" i="33"/>
  <c r="G35" i="33"/>
  <c r="G36" i="33" s="1"/>
  <c r="K35" i="33"/>
  <c r="K36" i="33"/>
  <c r="G37" i="33"/>
  <c r="G38" i="33" s="1"/>
  <c r="K37" i="33"/>
  <c r="K38" i="33"/>
  <c r="G39" i="33"/>
  <c r="G40" i="33" s="1"/>
  <c r="G41" i="33" s="1"/>
  <c r="G42" i="33" s="1"/>
  <c r="G43" i="33" s="1"/>
  <c r="G44" i="33" s="1"/>
  <c r="K39" i="33"/>
  <c r="K40" i="33" s="1"/>
  <c r="K41" i="33"/>
  <c r="K42" i="33" s="1"/>
  <c r="K43" i="33"/>
  <c r="K44" i="33" s="1"/>
  <c r="G45" i="33"/>
  <c r="G46" i="33" s="1"/>
  <c r="K45" i="33"/>
  <c r="K46" i="33"/>
  <c r="G47" i="33"/>
  <c r="G48" i="33" s="1"/>
  <c r="K47" i="33"/>
  <c r="K48" i="33"/>
  <c r="G49" i="33"/>
  <c r="G50" i="33" s="1"/>
  <c r="G51" i="33" s="1"/>
  <c r="G52" i="33" s="1"/>
  <c r="G53" i="33" s="1"/>
  <c r="G54" i="33" s="1"/>
  <c r="K49" i="33"/>
  <c r="K50" i="33" s="1"/>
  <c r="K51" i="33"/>
  <c r="K52" i="33" s="1"/>
  <c r="K53" i="33"/>
  <c r="K54" i="33" s="1"/>
  <c r="G55" i="33"/>
  <c r="G56" i="33" s="1"/>
  <c r="K55" i="33"/>
  <c r="K56" i="33"/>
  <c r="G57" i="33"/>
  <c r="G58" i="33" s="1"/>
  <c r="G59" i="33" s="1"/>
  <c r="G60" i="33" s="1"/>
  <c r="G61" i="33" s="1"/>
  <c r="G62" i="33" s="1"/>
  <c r="G63" i="33" s="1"/>
  <c r="G64" i="33" s="1"/>
  <c r="K57" i="33"/>
  <c r="K58" i="33" s="1"/>
  <c r="K59" i="33" s="1"/>
  <c r="K60" i="33" s="1"/>
  <c r="K61" i="33"/>
  <c r="K62" i="33" s="1"/>
  <c r="K63" i="33" s="1"/>
  <c r="K64" i="33" s="1"/>
  <c r="G65" i="33"/>
  <c r="G66" i="33" s="1"/>
  <c r="G67" i="33" s="1"/>
  <c r="G68" i="33" s="1"/>
  <c r="G69" i="33" s="1"/>
  <c r="G70" i="33" s="1"/>
  <c r="G71" i="33" s="1"/>
  <c r="G72" i="33" s="1"/>
  <c r="G73" i="33" s="1"/>
  <c r="G74" i="33" s="1"/>
  <c r="G75" i="33" s="1"/>
  <c r="G76" i="33" s="1"/>
  <c r="G77" i="33" s="1"/>
  <c r="G78" i="33" s="1"/>
  <c r="G79" i="33" s="1"/>
  <c r="K65" i="33"/>
  <c r="K66" i="33" s="1"/>
  <c r="K67" i="33" s="1"/>
  <c r="K68" i="33" s="1"/>
  <c r="K69" i="33" s="1"/>
  <c r="K70" i="33"/>
  <c r="K71" i="33" s="1"/>
  <c r="K72" i="33" s="1"/>
  <c r="K73" i="33" s="1"/>
  <c r="K74" i="33" s="1"/>
  <c r="K75" i="33"/>
  <c r="K76" i="33" s="1"/>
  <c r="K77" i="33" s="1"/>
  <c r="K78" i="33" s="1"/>
  <c r="K79" i="33" s="1"/>
  <c r="G80" i="33"/>
  <c r="G81" i="33" s="1"/>
  <c r="G82" i="33" s="1"/>
  <c r="G83" i="33" s="1"/>
  <c r="K80" i="33"/>
  <c r="K81" i="33" s="1"/>
  <c r="K82" i="33"/>
  <c r="K83" i="33" s="1"/>
  <c r="G84" i="33"/>
  <c r="G85" i="33" s="1"/>
  <c r="G86" i="33" s="1"/>
  <c r="G87" i="33" s="1"/>
  <c r="G88" i="33" s="1"/>
  <c r="G89" i="33" s="1"/>
  <c r="K84" i="33"/>
  <c r="K85" i="33" s="1"/>
  <c r="K86" i="33"/>
  <c r="K87" i="33" s="1"/>
  <c r="K88" i="33"/>
  <c r="K89" i="33" s="1"/>
  <c r="G90" i="33"/>
  <c r="G91" i="33" s="1"/>
  <c r="G92" i="33" s="1"/>
  <c r="K90" i="33"/>
  <c r="K91" i="33"/>
  <c r="K92" i="33"/>
  <c r="G93" i="33"/>
  <c r="G94" i="33" s="1"/>
  <c r="G95" i="33" s="1"/>
  <c r="G96" i="33" s="1"/>
  <c r="K93" i="33"/>
  <c r="K94" i="33" s="1"/>
  <c r="K95" i="33"/>
  <c r="K96" i="33" s="1"/>
  <c r="G97" i="33"/>
  <c r="G98" i="33" s="1"/>
  <c r="G99" i="33" s="1"/>
  <c r="K97" i="33"/>
  <c r="K98" i="33"/>
  <c r="K99" i="33"/>
  <c r="G100" i="33"/>
  <c r="G101" i="33" s="1"/>
  <c r="K100" i="33"/>
  <c r="K101" i="33"/>
  <c r="G102" i="33"/>
  <c r="G103" i="33" s="1"/>
  <c r="K102" i="33"/>
  <c r="K103" i="33"/>
  <c r="G104" i="33"/>
  <c r="G105" i="33" s="1"/>
  <c r="K104" i="33"/>
  <c r="K105" i="33"/>
  <c r="G106" i="33"/>
  <c r="G107" i="33" s="1"/>
  <c r="K106" i="33"/>
  <c r="K107" i="33"/>
  <c r="G108" i="33"/>
  <c r="G109" i="33" s="1"/>
  <c r="K108" i="33"/>
  <c r="K109" i="33"/>
  <c r="G110" i="33"/>
  <c r="G111" i="33" s="1"/>
  <c r="G112" i="33" s="1"/>
  <c r="G113" i="33" s="1"/>
  <c r="G114" i="33" s="1"/>
  <c r="G115" i="33" s="1"/>
  <c r="K110" i="33"/>
  <c r="K111" i="33" s="1"/>
  <c r="K112" i="33" s="1"/>
  <c r="K113" i="33"/>
  <c r="K114" i="33" s="1"/>
  <c r="K115" i="33" s="1"/>
  <c r="G116" i="33"/>
  <c r="G117" i="33" s="1"/>
  <c r="G118" i="33" s="1"/>
  <c r="G119" i="33" s="1"/>
  <c r="G120" i="33" s="1"/>
  <c r="G121" i="33" s="1"/>
  <c r="K116" i="33"/>
  <c r="K117" i="33" s="1"/>
  <c r="K118" i="33" s="1"/>
  <c r="K119" i="33"/>
  <c r="K120" i="33" s="1"/>
  <c r="K121" i="33" s="1"/>
  <c r="G122" i="33"/>
  <c r="G123" i="33" s="1"/>
  <c r="G124" i="33" s="1"/>
  <c r="G125" i="33" s="1"/>
  <c r="G126" i="33" s="1"/>
  <c r="G127" i="33" s="1"/>
  <c r="K122" i="33"/>
  <c r="K123" i="33" s="1"/>
  <c r="K124" i="33" s="1"/>
  <c r="K125" i="33"/>
  <c r="K126" i="33" s="1"/>
  <c r="K127" i="33" s="1"/>
  <c r="G128" i="33"/>
  <c r="G129" i="33" s="1"/>
  <c r="G130" i="33" s="1"/>
  <c r="G131" i="33" s="1"/>
  <c r="G132" i="33" s="1"/>
  <c r="G133" i="33" s="1"/>
  <c r="K128" i="33"/>
  <c r="K129" i="33" s="1"/>
  <c r="K130" i="33" s="1"/>
  <c r="K131" i="33"/>
  <c r="K132" i="33" s="1"/>
  <c r="K133" i="33" s="1"/>
  <c r="G134" i="33"/>
  <c r="G135" i="33" s="1"/>
  <c r="G136" i="33" s="1"/>
  <c r="G137" i="33" s="1"/>
  <c r="K134" i="33"/>
  <c r="K135" i="33" s="1"/>
  <c r="K136" i="33"/>
  <c r="K137" i="33" s="1"/>
  <c r="G138" i="33"/>
  <c r="G139" i="33" s="1"/>
  <c r="G140" i="33" s="1"/>
  <c r="G141" i="33" s="1"/>
  <c r="K138" i="33"/>
  <c r="K139" i="33" s="1"/>
  <c r="K140" i="33"/>
  <c r="K141" i="33" s="1"/>
  <c r="G142" i="33"/>
  <c r="G143" i="33" s="1"/>
  <c r="K142" i="33"/>
  <c r="K143" i="33"/>
  <c r="G144" i="33"/>
  <c r="G145" i="33" s="1"/>
  <c r="K144" i="33"/>
  <c r="K145" i="33"/>
  <c r="G146" i="33"/>
  <c r="G147" i="33" s="1"/>
  <c r="K146" i="33"/>
  <c r="K147" i="33"/>
  <c r="G148" i="33"/>
  <c r="G149" i="33" s="1"/>
  <c r="K148" i="33"/>
  <c r="K149" i="33"/>
  <c r="G150" i="33"/>
  <c r="G151" i="33" s="1"/>
  <c r="K150" i="33"/>
  <c r="K151" i="33"/>
  <c r="G152" i="33"/>
  <c r="G153" i="33" s="1"/>
  <c r="K152" i="33"/>
  <c r="K153" i="33"/>
  <c r="G154" i="33"/>
  <c r="G155" i="33" s="1"/>
  <c r="K154" i="33"/>
  <c r="K155" i="33"/>
  <c r="G156" i="33"/>
  <c r="G157" i="33" s="1"/>
  <c r="K156" i="33"/>
  <c r="K157" i="33"/>
  <c r="G158" i="33"/>
  <c r="G159" i="33" s="1"/>
  <c r="K158" i="33"/>
  <c r="K159" i="33"/>
  <c r="G160" i="33"/>
  <c r="G161" i="33" s="1"/>
  <c r="K160" i="33"/>
  <c r="K161" i="33"/>
  <c r="G162" i="33"/>
  <c r="G163" i="33" s="1"/>
  <c r="K162" i="33"/>
  <c r="K163" i="33"/>
  <c r="G164" i="33"/>
  <c r="G165" i="33" s="1"/>
  <c r="K164" i="33"/>
  <c r="K165" i="33"/>
  <c r="G166" i="33"/>
  <c r="G167" i="33" s="1"/>
  <c r="G168" i="33" s="1"/>
  <c r="G169" i="33" s="1"/>
  <c r="G170" i="33" s="1"/>
  <c r="G171" i="33" s="1"/>
  <c r="G172" i="33" s="1"/>
  <c r="G173" i="33" s="1"/>
  <c r="G174" i="33" s="1"/>
  <c r="G175" i="33" s="1"/>
  <c r="K166" i="33"/>
  <c r="K167" i="33" s="1"/>
  <c r="K168" i="33" s="1"/>
  <c r="K169" i="33" s="1"/>
  <c r="K170" i="33" s="1"/>
  <c r="K171" i="33"/>
  <c r="K172" i="33" s="1"/>
  <c r="K173" i="33" s="1"/>
  <c r="K174" i="33" s="1"/>
  <c r="K175" i="33" s="1"/>
  <c r="G176" i="33"/>
  <c r="G177" i="33" s="1"/>
  <c r="G178" i="33" s="1"/>
  <c r="G179" i="33" s="1"/>
  <c r="G180" i="33" s="1"/>
  <c r="G181" i="33" s="1"/>
  <c r="G182" i="33" s="1"/>
  <c r="G183" i="33" s="1"/>
  <c r="G184" i="33" s="1"/>
  <c r="G185" i="33" s="1"/>
  <c r="K176" i="33"/>
  <c r="K177" i="33" s="1"/>
  <c r="K178" i="33" s="1"/>
  <c r="K179" i="33" s="1"/>
  <c r="K180" i="33" s="1"/>
  <c r="K181" i="33"/>
  <c r="K182" i="33" s="1"/>
  <c r="K183" i="33" s="1"/>
  <c r="K184" i="33" s="1"/>
  <c r="K185" i="33" s="1"/>
  <c r="G186" i="33"/>
  <c r="G187" i="33" s="1"/>
  <c r="K186" i="33"/>
  <c r="K187" i="33"/>
  <c r="G188" i="33"/>
  <c r="G189" i="33" s="1"/>
  <c r="G190" i="33" s="1"/>
  <c r="G191" i="33" s="1"/>
  <c r="K188" i="33"/>
  <c r="K189" i="33"/>
  <c r="K190" i="33"/>
  <c r="K191" i="33"/>
  <c r="G192" i="33"/>
  <c r="K192" i="33"/>
  <c r="G193" i="33"/>
  <c r="K193" i="33"/>
  <c r="G194" i="33"/>
  <c r="K194" i="33"/>
  <c r="G195" i="33"/>
  <c r="G196" i="33" s="1"/>
  <c r="K195" i="33"/>
  <c r="K196" i="33"/>
  <c r="G197" i="33"/>
  <c r="G198" i="33" s="1"/>
  <c r="K197" i="33"/>
  <c r="K198" i="33"/>
  <c r="G199" i="33"/>
  <c r="G200" i="33" s="1"/>
  <c r="G201" i="33" s="1"/>
  <c r="G202" i="33" s="1"/>
  <c r="G203" i="33" s="1"/>
  <c r="G204" i="33" s="1"/>
  <c r="K199" i="33"/>
  <c r="K200" i="33" s="1"/>
  <c r="K201" i="33" s="1"/>
  <c r="G205" i="33"/>
  <c r="G206" i="33"/>
  <c r="G207" i="33"/>
  <c r="G208" i="33"/>
  <c r="G209" i="33"/>
  <c r="G210" i="33"/>
  <c r="G211" i="33" s="1"/>
  <c r="G212" i="33"/>
  <c r="G213" i="33" s="1"/>
  <c r="G214" i="33"/>
  <c r="G215" i="33" s="1"/>
  <c r="K215" i="33"/>
  <c r="G216" i="33"/>
  <c r="G217" i="33" s="1"/>
  <c r="K216" i="33"/>
  <c r="K217" i="33"/>
  <c r="G218" i="33"/>
  <c r="G219" i="33" s="1"/>
  <c r="K218" i="33"/>
  <c r="K219" i="33"/>
  <c r="G220" i="33"/>
  <c r="G221" i="33" s="1"/>
  <c r="G222" i="33" s="1"/>
  <c r="G223" i="33" s="1"/>
  <c r="G224" i="33" s="1"/>
  <c r="G225" i="33" s="1"/>
  <c r="G226" i="33" s="1"/>
  <c r="G227" i="33" s="1"/>
  <c r="G228" i="33" s="1"/>
  <c r="G229" i="33" s="1"/>
  <c r="G230" i="33" s="1"/>
  <c r="G231" i="33" s="1"/>
  <c r="K220" i="33"/>
  <c r="K221" i="33" s="1"/>
  <c r="K222" i="33" s="1"/>
  <c r="K223" i="33" s="1"/>
  <c r="K224" i="33"/>
  <c r="K225" i="33" s="1"/>
  <c r="K226" i="33" s="1"/>
  <c r="K227" i="33" s="1"/>
  <c r="K228" i="33"/>
  <c r="K229" i="33" s="1"/>
  <c r="K230" i="33" s="1"/>
  <c r="K231" i="33" s="1"/>
  <c r="G232" i="33"/>
  <c r="G233" i="33" s="1"/>
  <c r="G234" i="33" s="1"/>
  <c r="G235" i="33" s="1"/>
  <c r="K232" i="33"/>
  <c r="K233" i="33"/>
  <c r="K234" i="33"/>
  <c r="K235" i="33"/>
  <c r="G236" i="33"/>
  <c r="G237" i="33" s="1"/>
  <c r="G238" i="33" s="1"/>
  <c r="G239" i="33" s="1"/>
  <c r="K236" i="33"/>
  <c r="K237" i="33"/>
  <c r="K238" i="33"/>
  <c r="K239" i="33"/>
  <c r="G240" i="33"/>
  <c r="K240" i="33"/>
  <c r="G241" i="33"/>
  <c r="G242" i="33" s="1"/>
  <c r="G243" i="33" s="1"/>
  <c r="K241" i="33"/>
  <c r="K242" i="33"/>
  <c r="K243" i="33"/>
  <c r="G244" i="33"/>
  <c r="K244" i="33"/>
  <c r="G245" i="33"/>
  <c r="G246" i="33" s="1"/>
  <c r="G247" i="33" s="1"/>
  <c r="K245" i="33"/>
  <c r="K246" i="33"/>
  <c r="K247" i="33"/>
  <c r="G248" i="33"/>
  <c r="G249" i="33" s="1"/>
  <c r="G250" i="33" s="1"/>
  <c r="K248" i="33"/>
  <c r="K249" i="33" s="1"/>
  <c r="K250" i="33" s="1"/>
  <c r="G251" i="33"/>
  <c r="G252" i="33" s="1"/>
  <c r="G253" i="33" s="1"/>
  <c r="G254" i="33" s="1"/>
  <c r="G255" i="33" s="1"/>
  <c r="G256" i="33" s="1"/>
  <c r="K251" i="33"/>
  <c r="K252" i="33" s="1"/>
  <c r="K253" i="33" s="1"/>
  <c r="K254" i="33"/>
  <c r="K255" i="33" s="1"/>
  <c r="K256" i="33" s="1"/>
  <c r="G257" i="33"/>
  <c r="G258" i="33" s="1"/>
  <c r="K257" i="33"/>
  <c r="K258" i="33"/>
  <c r="G259" i="33"/>
  <c r="G260" i="33" s="1"/>
  <c r="G261" i="33" s="1"/>
  <c r="G262" i="33" s="1"/>
  <c r="K259" i="33"/>
  <c r="K260" i="33"/>
  <c r="K261" i="33"/>
  <c r="K262" i="33"/>
  <c r="G263" i="33"/>
  <c r="K263" i="33"/>
  <c r="G264" i="33"/>
  <c r="K264" i="33"/>
  <c r="G265" i="33"/>
  <c r="K265" i="33"/>
  <c r="G266" i="33"/>
  <c r="K266" i="33"/>
  <c r="G267" i="33"/>
  <c r="K267" i="33"/>
  <c r="G268" i="33"/>
  <c r="K268" i="33"/>
  <c r="G269" i="33"/>
  <c r="K269" i="33"/>
  <c r="G270" i="33"/>
  <c r="G271" i="33" s="1"/>
  <c r="G272" i="33" s="1"/>
  <c r="G273" i="33" s="1"/>
  <c r="G274" i="33" s="1"/>
  <c r="G275" i="33" s="1"/>
  <c r="G276" i="33" s="1"/>
  <c r="G277" i="33" s="1"/>
  <c r="G278" i="33" s="1"/>
  <c r="G279" i="33" s="1"/>
  <c r="G280" i="33" s="1"/>
  <c r="G281" i="33" s="1"/>
  <c r="G282" i="33" s="1"/>
  <c r="G283" i="33" s="1"/>
  <c r="G284" i="33" s="1"/>
  <c r="G285" i="33" s="1"/>
  <c r="G286" i="33" s="1"/>
  <c r="G287" i="33" s="1"/>
  <c r="G288" i="33" s="1"/>
  <c r="G289" i="33" s="1"/>
  <c r="G290" i="33" s="1"/>
  <c r="G291" i="33" s="1"/>
  <c r="G292" i="33" s="1"/>
  <c r="G293" i="33" s="1"/>
  <c r="G294" i="33" s="1"/>
  <c r="G295" i="33" s="1"/>
  <c r="G296" i="33" s="1"/>
  <c r="G297" i="33" s="1"/>
  <c r="G298" i="33" s="1"/>
  <c r="G299" i="33" s="1"/>
  <c r="G300" i="33" s="1"/>
  <c r="G301" i="33" s="1"/>
  <c r="K270" i="33"/>
  <c r="K271" i="33" s="1"/>
  <c r="K272" i="33" s="1"/>
  <c r="K273" i="33" s="1"/>
  <c r="K274" i="33" s="1"/>
  <c r="K275" i="33" s="1"/>
  <c r="K276" i="33" s="1"/>
  <c r="K277" i="33" s="1"/>
  <c r="K278" i="33" s="1"/>
  <c r="K279" i="33" s="1"/>
  <c r="K280" i="33" s="1"/>
  <c r="K281" i="33" s="1"/>
  <c r="K282" i="33" s="1"/>
  <c r="K283" i="33" s="1"/>
  <c r="K284" i="33" s="1"/>
  <c r="K285" i="33" s="1"/>
  <c r="K286" i="33"/>
  <c r="K287" i="33" s="1"/>
  <c r="K288" i="33" s="1"/>
  <c r="K289" i="33" s="1"/>
  <c r="K290" i="33" s="1"/>
  <c r="K291" i="33" s="1"/>
  <c r="K292" i="33" s="1"/>
  <c r="K293" i="33" s="1"/>
  <c r="K294" i="33" s="1"/>
  <c r="K295" i="33" s="1"/>
  <c r="K296" i="33" s="1"/>
  <c r="K297" i="33" s="1"/>
  <c r="K298" i="33" s="1"/>
  <c r="K299" i="33" s="1"/>
  <c r="K300" i="33" s="1"/>
  <c r="K301" i="33" s="1"/>
  <c r="G302" i="33"/>
  <c r="K302" i="33"/>
  <c r="G303" i="33"/>
  <c r="K303" i="33"/>
  <c r="G304" i="33"/>
  <c r="K304" i="33"/>
  <c r="G305" i="33"/>
  <c r="G306" i="33" s="1"/>
  <c r="G307" i="33" s="1"/>
  <c r="G308" i="33" s="1"/>
  <c r="G309" i="33" s="1"/>
  <c r="G310" i="33" s="1"/>
  <c r="G311" i="33" s="1"/>
  <c r="G312" i="33" s="1"/>
  <c r="K305" i="33"/>
  <c r="K306" i="33" s="1"/>
  <c r="K307" i="33" s="1"/>
  <c r="K308" i="33" s="1"/>
  <c r="K309" i="33"/>
  <c r="K310" i="33" s="1"/>
  <c r="K311" i="33" s="1"/>
  <c r="K312" i="33" s="1"/>
  <c r="K2" i="32"/>
  <c r="M2" i="32"/>
  <c r="F6" i="32"/>
  <c r="I6" i="32" s="1"/>
  <c r="H6" i="33" s="1"/>
  <c r="H6" i="32"/>
  <c r="F7" i="32"/>
  <c r="I7" i="32" s="1"/>
  <c r="H7" i="33" s="1"/>
  <c r="H7" i="32"/>
  <c r="F8" i="32"/>
  <c r="I8" i="32" s="1"/>
  <c r="H8" i="33" s="1"/>
  <c r="H8" i="32"/>
  <c r="F9" i="32"/>
  <c r="I9" i="32" s="1"/>
  <c r="H9" i="33" s="1"/>
  <c r="H9" i="32"/>
  <c r="F10" i="32"/>
  <c r="I10" i="32" s="1"/>
  <c r="H10" i="33" s="1"/>
  <c r="H10" i="32"/>
  <c r="F11" i="32"/>
  <c r="I11" i="32" s="1"/>
  <c r="H11" i="33" s="1"/>
  <c r="H11" i="32"/>
  <c r="F12" i="32"/>
  <c r="I12" i="32" s="1"/>
  <c r="H12" i="33" s="1"/>
  <c r="H12" i="32"/>
  <c r="F13" i="32"/>
  <c r="F14" i="32" s="1"/>
  <c r="F15" i="32" s="1"/>
  <c r="F16" i="32" s="1"/>
  <c r="F17" i="32" s="1"/>
  <c r="F18" i="32" s="1"/>
  <c r="I18" i="32" s="1"/>
  <c r="H18" i="33" s="1"/>
  <c r="H13" i="32"/>
  <c r="J13" i="33" s="1"/>
  <c r="F19" i="32"/>
  <c r="F20" i="32" s="1"/>
  <c r="F21" i="32" s="1"/>
  <c r="I21" i="32" s="1"/>
  <c r="H21" i="33" s="1"/>
  <c r="H19" i="32"/>
  <c r="J19" i="33" s="1"/>
  <c r="F22" i="32"/>
  <c r="I22" i="32" s="1"/>
  <c r="H22" i="33" s="1"/>
  <c r="H22" i="32"/>
  <c r="F23" i="32"/>
  <c r="I23" i="32" s="1"/>
  <c r="H23" i="33" s="1"/>
  <c r="H23" i="32"/>
  <c r="F24" i="32"/>
  <c r="I24" i="32" s="1"/>
  <c r="H24" i="33" s="1"/>
  <c r="H24" i="32"/>
  <c r="F25" i="32"/>
  <c r="F26" i="32" s="1"/>
  <c r="F27" i="32" s="1"/>
  <c r="F28" i="32" s="1"/>
  <c r="F29" i="32" s="1"/>
  <c r="F30" i="32" s="1"/>
  <c r="F31" i="32" s="1"/>
  <c r="F32" i="32" s="1"/>
  <c r="I32" i="32" s="1"/>
  <c r="H32" i="33" s="1"/>
  <c r="H25" i="32"/>
  <c r="J25" i="33" s="1"/>
  <c r="F33" i="32"/>
  <c r="F34" i="32" s="1"/>
  <c r="I34" i="32" s="1"/>
  <c r="H34" i="33" s="1"/>
  <c r="H33" i="32"/>
  <c r="F35" i="32"/>
  <c r="F36" i="32" s="1"/>
  <c r="I36" i="32" s="1"/>
  <c r="H36" i="33" s="1"/>
  <c r="H35" i="32"/>
  <c r="J35" i="33" s="1"/>
  <c r="F37" i="32"/>
  <c r="F38" i="32" s="1"/>
  <c r="I38" i="32" s="1"/>
  <c r="H38" i="33" s="1"/>
  <c r="H37" i="32"/>
  <c r="J37" i="33" s="1"/>
  <c r="F39" i="32"/>
  <c r="F40" i="32" s="1"/>
  <c r="F41" i="32" s="1"/>
  <c r="F42" i="32" s="1"/>
  <c r="F43" i="32" s="1"/>
  <c r="F44" i="32" s="1"/>
  <c r="I44" i="32" s="1"/>
  <c r="H44" i="33" s="1"/>
  <c r="H39" i="32"/>
  <c r="J39" i="33" s="1"/>
  <c r="F45" i="32"/>
  <c r="F46" i="32" s="1"/>
  <c r="I46" i="32" s="1"/>
  <c r="H46" i="33" s="1"/>
  <c r="H45" i="32"/>
  <c r="J45" i="33" s="1"/>
  <c r="F47" i="32"/>
  <c r="F48" i="32" s="1"/>
  <c r="I48" i="32" s="1"/>
  <c r="H48" i="33" s="1"/>
  <c r="H47" i="32"/>
  <c r="J47" i="33" s="1"/>
  <c r="F49" i="32"/>
  <c r="F50" i="32" s="1"/>
  <c r="F51" i="32" s="1"/>
  <c r="F52" i="32" s="1"/>
  <c r="F53" i="32" s="1"/>
  <c r="F54" i="32" s="1"/>
  <c r="I54" i="32" s="1"/>
  <c r="H54" i="33" s="1"/>
  <c r="H49" i="32"/>
  <c r="F55" i="32"/>
  <c r="F56" i="32" s="1"/>
  <c r="I56" i="32" s="1"/>
  <c r="H56" i="33" s="1"/>
  <c r="H55" i="32"/>
  <c r="J55" i="33" s="1"/>
  <c r="F57" i="32"/>
  <c r="F58" i="32" s="1"/>
  <c r="F59" i="32" s="1"/>
  <c r="F60" i="32" s="1"/>
  <c r="F61" i="32" s="1"/>
  <c r="F62" i="32" s="1"/>
  <c r="F63" i="32" s="1"/>
  <c r="F64" i="32" s="1"/>
  <c r="I64" i="32" s="1"/>
  <c r="H64" i="33" s="1"/>
  <c r="H57" i="32"/>
  <c r="J57" i="33" s="1"/>
  <c r="F65" i="32"/>
  <c r="F66" i="32" s="1"/>
  <c r="F67" i="32" s="1"/>
  <c r="F68" i="32" s="1"/>
  <c r="F69" i="32" s="1"/>
  <c r="F70" i="32" s="1"/>
  <c r="F71" i="32" s="1"/>
  <c r="F72" i="32" s="1"/>
  <c r="F73" i="32" s="1"/>
  <c r="F74" i="32" s="1"/>
  <c r="F75" i="32" s="1"/>
  <c r="F76" i="32" s="1"/>
  <c r="F77" i="32" s="1"/>
  <c r="H65" i="32"/>
  <c r="F80" i="32"/>
  <c r="J80" i="33"/>
  <c r="F84" i="32"/>
  <c r="J84" i="33"/>
  <c r="F90" i="32"/>
  <c r="J90" i="33"/>
  <c r="F93" i="32"/>
  <c r="J93" i="33"/>
  <c r="F97" i="32"/>
  <c r="F98" i="32" s="1"/>
  <c r="F99" i="32" s="1"/>
  <c r="I99" i="32" s="1"/>
  <c r="H99" i="33" s="1"/>
  <c r="H97" i="32"/>
  <c r="F100" i="32"/>
  <c r="F101" i="32" s="1"/>
  <c r="I101" i="32" s="1"/>
  <c r="H101" i="33" s="1"/>
  <c r="H100" i="32"/>
  <c r="J100" i="33" s="1"/>
  <c r="F102" i="32"/>
  <c r="F103" i="32" s="1"/>
  <c r="I103" i="32" s="1"/>
  <c r="H103" i="33" s="1"/>
  <c r="H102" i="32"/>
  <c r="J102" i="33" s="1"/>
  <c r="F104" i="32"/>
  <c r="F105" i="32" s="1"/>
  <c r="I105" i="32" s="1"/>
  <c r="H105" i="33" s="1"/>
  <c r="H104" i="32"/>
  <c r="F106" i="32"/>
  <c r="F107" i="32" s="1"/>
  <c r="I107" i="32" s="1"/>
  <c r="H107" i="33" s="1"/>
  <c r="H106" i="32"/>
  <c r="J106" i="33" s="1"/>
  <c r="F108" i="32"/>
  <c r="F109" i="32" s="1"/>
  <c r="I109" i="32" s="1"/>
  <c r="H109" i="33" s="1"/>
  <c r="H108" i="32"/>
  <c r="J108" i="33" s="1"/>
  <c r="H110" i="32"/>
  <c r="F116" i="32"/>
  <c r="F117" i="32" s="1"/>
  <c r="F118" i="32" s="1"/>
  <c r="F119" i="32" s="1"/>
  <c r="F120" i="32" s="1"/>
  <c r="F121" i="32" s="1"/>
  <c r="I121" i="32" s="1"/>
  <c r="H121" i="33" s="1"/>
  <c r="F122" i="32"/>
  <c r="F123" i="32" s="1"/>
  <c r="F124" i="32" s="1"/>
  <c r="F125" i="32" s="1"/>
  <c r="F126" i="32" s="1"/>
  <c r="F127" i="32" s="1"/>
  <c r="I127" i="32" s="1"/>
  <c r="H127" i="33" s="1"/>
  <c r="F128" i="32"/>
  <c r="F129" i="32" s="1"/>
  <c r="F130" i="32" s="1"/>
  <c r="F131" i="32" s="1"/>
  <c r="F132" i="32" s="1"/>
  <c r="F133" i="32" s="1"/>
  <c r="I133" i="32" s="1"/>
  <c r="H133" i="33" s="1"/>
  <c r="F134" i="32"/>
  <c r="F135" i="32" s="1"/>
  <c r="F136" i="32" s="1"/>
  <c r="F137" i="32" s="1"/>
  <c r="I137" i="32" s="1"/>
  <c r="H137" i="33" s="1"/>
  <c r="H134" i="32"/>
  <c r="J134" i="33" s="1"/>
  <c r="F138" i="32"/>
  <c r="F139" i="32" s="1"/>
  <c r="F140" i="32" s="1"/>
  <c r="F141" i="32" s="1"/>
  <c r="I141" i="32" s="1"/>
  <c r="H141" i="33" s="1"/>
  <c r="H138" i="32"/>
  <c r="J138" i="33" s="1"/>
  <c r="F142" i="32"/>
  <c r="F143" i="32" s="1"/>
  <c r="I143" i="32" s="1"/>
  <c r="H143" i="33" s="1"/>
  <c r="H142" i="32"/>
  <c r="F144" i="32"/>
  <c r="F145" i="32" s="1"/>
  <c r="I145" i="32" s="1"/>
  <c r="H145" i="33" s="1"/>
  <c r="F146" i="32"/>
  <c r="F147" i="32" s="1"/>
  <c r="I147" i="32" s="1"/>
  <c r="H147" i="33" s="1"/>
  <c r="F148" i="32"/>
  <c r="F149" i="32" s="1"/>
  <c r="I149" i="32" s="1"/>
  <c r="H149" i="33" s="1"/>
  <c r="F150" i="32"/>
  <c r="F151" i="32" s="1"/>
  <c r="I151" i="32" s="1"/>
  <c r="H151" i="33" s="1"/>
  <c r="F152" i="32"/>
  <c r="F153" i="32" s="1"/>
  <c r="I153" i="32" s="1"/>
  <c r="H153" i="33" s="1"/>
  <c r="F154" i="32"/>
  <c r="F155" i="32" s="1"/>
  <c r="I155" i="32" s="1"/>
  <c r="H155" i="33" s="1"/>
  <c r="F156" i="32"/>
  <c r="F157" i="32" s="1"/>
  <c r="I157" i="32" s="1"/>
  <c r="H157" i="33" s="1"/>
  <c r="F158" i="32"/>
  <c r="F159" i="32" s="1"/>
  <c r="I159" i="32" s="1"/>
  <c r="H159" i="33" s="1"/>
  <c r="F160" i="32"/>
  <c r="F161" i="32" s="1"/>
  <c r="I161" i="32" s="1"/>
  <c r="H161" i="33" s="1"/>
  <c r="F162" i="32"/>
  <c r="F163" i="32" s="1"/>
  <c r="I163" i="32" s="1"/>
  <c r="H163" i="33" s="1"/>
  <c r="F164" i="32"/>
  <c r="F165" i="32" s="1"/>
  <c r="I165" i="32" s="1"/>
  <c r="H165" i="33" s="1"/>
  <c r="H164" i="32"/>
  <c r="J164" i="33" s="1"/>
  <c r="F166" i="32"/>
  <c r="F167" i="32" s="1"/>
  <c r="F168" i="32" s="1"/>
  <c r="F169" i="32" s="1"/>
  <c r="F170" i="32" s="1"/>
  <c r="F171" i="32" s="1"/>
  <c r="F172" i="32" s="1"/>
  <c r="H166" i="32"/>
  <c r="J166" i="33" s="1"/>
  <c r="F176" i="32"/>
  <c r="J176" i="33"/>
  <c r="F186" i="32"/>
  <c r="J186" i="33"/>
  <c r="F188" i="32"/>
  <c r="J188" i="33"/>
  <c r="F192" i="32"/>
  <c r="I192" i="32" s="1"/>
  <c r="H192" i="33" s="1"/>
  <c r="F193" i="32"/>
  <c r="I193" i="32" s="1"/>
  <c r="H193" i="33" s="1"/>
  <c r="F194" i="32"/>
  <c r="I194" i="32" s="1"/>
  <c r="H194" i="33" s="1"/>
  <c r="F195" i="32"/>
  <c r="J195" i="33"/>
  <c r="F197" i="32"/>
  <c r="J197" i="33"/>
  <c r="F199" i="32"/>
  <c r="F200" i="32" s="1"/>
  <c r="F201" i="32" s="1"/>
  <c r="F202" i="32" s="1"/>
  <c r="F203" i="32" s="1"/>
  <c r="F204" i="32" s="1"/>
  <c r="I204" i="32" s="1"/>
  <c r="H204" i="33" s="1"/>
  <c r="H199" i="32"/>
  <c r="J199" i="33" s="1"/>
  <c r="F205" i="32"/>
  <c r="I205" i="32" s="1"/>
  <c r="H205" i="33" s="1"/>
  <c r="H205" i="32"/>
  <c r="J205" i="33" s="1"/>
  <c r="F206" i="32"/>
  <c r="I206" i="32" s="1"/>
  <c r="H206" i="33" s="1"/>
  <c r="H206" i="32"/>
  <c r="J206" i="33" s="1"/>
  <c r="F207" i="32"/>
  <c r="I207" i="32" s="1"/>
  <c r="H207" i="33" s="1"/>
  <c r="H207" i="32"/>
  <c r="J207" i="33" s="1"/>
  <c r="F208" i="32"/>
  <c r="I208" i="32" s="1"/>
  <c r="H208" i="33" s="1"/>
  <c r="H208" i="32"/>
  <c r="J208" i="33" s="1"/>
  <c r="F209" i="32"/>
  <c r="I209" i="32" s="1"/>
  <c r="H209" i="33" s="1"/>
  <c r="H209" i="32"/>
  <c r="J209" i="33" s="1"/>
  <c r="F210" i="32"/>
  <c r="F211" i="32" s="1"/>
  <c r="I211" i="32" s="1"/>
  <c r="H211" i="33" s="1"/>
  <c r="H210" i="32"/>
  <c r="J210" i="33" s="1"/>
  <c r="F212" i="32"/>
  <c r="F213" i="32" s="1"/>
  <c r="I213" i="32" s="1"/>
  <c r="H213" i="33" s="1"/>
  <c r="H212" i="32"/>
  <c r="J212" i="33" s="1"/>
  <c r="F214" i="32"/>
  <c r="F215" i="32" s="1"/>
  <c r="I215" i="32" s="1"/>
  <c r="H215" i="33" s="1"/>
  <c r="H214" i="32"/>
  <c r="J214" i="33" s="1"/>
  <c r="F216" i="32"/>
  <c r="F217" i="32" s="1"/>
  <c r="I217" i="32" s="1"/>
  <c r="H217" i="33" s="1"/>
  <c r="H216" i="32"/>
  <c r="F218" i="32"/>
  <c r="F219" i="32" s="1"/>
  <c r="I219" i="32" s="1"/>
  <c r="H219" i="33" s="1"/>
  <c r="H218" i="32"/>
  <c r="J218" i="33" s="1"/>
  <c r="F220" i="32"/>
  <c r="F221" i="32" s="1"/>
  <c r="F222" i="32" s="1"/>
  <c r="F223" i="32" s="1"/>
  <c r="F224" i="32" s="1"/>
  <c r="F225" i="32" s="1"/>
  <c r="F226" i="32" s="1"/>
  <c r="F227" i="32" s="1"/>
  <c r="F228" i="32" s="1"/>
  <c r="F229" i="32" s="1"/>
  <c r="F230" i="32" s="1"/>
  <c r="F231" i="32" s="1"/>
  <c r="I231" i="32" s="1"/>
  <c r="H231" i="33" s="1"/>
  <c r="H220" i="32"/>
  <c r="J220" i="33" s="1"/>
  <c r="F232" i="32"/>
  <c r="F233" i="32" s="1"/>
  <c r="F234" i="32" s="1"/>
  <c r="F235" i="32" s="1"/>
  <c r="I235" i="32" s="1"/>
  <c r="H235" i="33" s="1"/>
  <c r="H232" i="32"/>
  <c r="F236" i="32"/>
  <c r="F237" i="32" s="1"/>
  <c r="F238" i="32" s="1"/>
  <c r="F239" i="32" s="1"/>
  <c r="I239" i="32" s="1"/>
  <c r="H239" i="33" s="1"/>
  <c r="H236" i="32"/>
  <c r="J236" i="33" s="1"/>
  <c r="F240" i="32"/>
  <c r="I240" i="32" s="1"/>
  <c r="H240" i="33" s="1"/>
  <c r="H240" i="32"/>
  <c r="F241" i="32"/>
  <c r="F242" i="32" s="1"/>
  <c r="F243" i="32" s="1"/>
  <c r="I243" i="32" s="1"/>
  <c r="H243" i="33" s="1"/>
  <c r="H241" i="32"/>
  <c r="F244" i="32"/>
  <c r="I244" i="32" s="1"/>
  <c r="H244" i="33" s="1"/>
  <c r="H244" i="32"/>
  <c r="F245" i="32"/>
  <c r="F246" i="32" s="1"/>
  <c r="F247" i="32" s="1"/>
  <c r="I247" i="32" s="1"/>
  <c r="H247" i="33" s="1"/>
  <c r="H245" i="32"/>
  <c r="J245" i="33" s="1"/>
  <c r="F248" i="32"/>
  <c r="F249" i="32" s="1"/>
  <c r="F250" i="32" s="1"/>
  <c r="I250" i="32" s="1"/>
  <c r="H250" i="33" s="1"/>
  <c r="H248" i="32"/>
  <c r="F251" i="32"/>
  <c r="F252" i="32" s="1"/>
  <c r="F253" i="32" s="1"/>
  <c r="F254" i="32" s="1"/>
  <c r="F255" i="32" s="1"/>
  <c r="F256" i="32" s="1"/>
  <c r="I256" i="32" s="1"/>
  <c r="H256" i="33" s="1"/>
  <c r="H251" i="32"/>
  <c r="J251" i="33" s="1"/>
  <c r="F257" i="32"/>
  <c r="F258" i="32" s="1"/>
  <c r="I258" i="32" s="1"/>
  <c r="H258" i="33" s="1"/>
  <c r="H257" i="32"/>
  <c r="F259" i="32"/>
  <c r="F260" i="32" s="1"/>
  <c r="F261" i="32" s="1"/>
  <c r="F262" i="32" s="1"/>
  <c r="I262" i="32" s="1"/>
  <c r="H262" i="33" s="1"/>
  <c r="H259" i="32"/>
  <c r="J259" i="33" s="1"/>
  <c r="F263" i="32"/>
  <c r="I263" i="32" s="1"/>
  <c r="H263" i="33" s="1"/>
  <c r="H263" i="32"/>
  <c r="F264" i="32"/>
  <c r="I264" i="32" s="1"/>
  <c r="H264" i="33" s="1"/>
  <c r="H264" i="32"/>
  <c r="F265" i="32"/>
  <c r="I265" i="32" s="1"/>
  <c r="H265" i="33" s="1"/>
  <c r="H265" i="32"/>
  <c r="F266" i="32"/>
  <c r="I266" i="32" s="1"/>
  <c r="H266" i="33" s="1"/>
  <c r="H266" i="32"/>
  <c r="F267" i="32"/>
  <c r="I267" i="32" s="1"/>
  <c r="H267" i="33" s="1"/>
  <c r="H267" i="32"/>
  <c r="F268" i="32"/>
  <c r="I268" i="32" s="1"/>
  <c r="H268" i="33" s="1"/>
  <c r="H268" i="32"/>
  <c r="F269" i="32"/>
  <c r="I269" i="32" s="1"/>
  <c r="H269" i="33" s="1"/>
  <c r="H269" i="32"/>
  <c r="F270" i="32"/>
  <c r="F271" i="32" s="1"/>
  <c r="F272" i="32" s="1"/>
  <c r="F273" i="32" s="1"/>
  <c r="F274" i="32" s="1"/>
  <c r="F275" i="32" s="1"/>
  <c r="F276" i="32" s="1"/>
  <c r="F277" i="32" s="1"/>
  <c r="F278" i="32" s="1"/>
  <c r="F279" i="32" s="1"/>
  <c r="F280" i="32" s="1"/>
  <c r="F281" i="32" s="1"/>
  <c r="F282" i="32" s="1"/>
  <c r="F283" i="32" s="1"/>
  <c r="F284" i="32" s="1"/>
  <c r="F285" i="32" s="1"/>
  <c r="F286" i="32" s="1"/>
  <c r="F287" i="32" s="1"/>
  <c r="F288" i="32" s="1"/>
  <c r="F289" i="32" s="1"/>
  <c r="F290" i="32" s="1"/>
  <c r="F291" i="32" s="1"/>
  <c r="F292" i="32" s="1"/>
  <c r="F293" i="32" s="1"/>
  <c r="F294" i="32" s="1"/>
  <c r="F295" i="32" s="1"/>
  <c r="F296" i="32" s="1"/>
  <c r="F297" i="32" s="1"/>
  <c r="F298" i="32" s="1"/>
  <c r="F299" i="32" s="1"/>
  <c r="F300" i="32" s="1"/>
  <c r="F301" i="32" s="1"/>
  <c r="I301" i="32" s="1"/>
  <c r="H301" i="33" s="1"/>
  <c r="H270" i="32"/>
  <c r="F302" i="32"/>
  <c r="I302" i="32" s="1"/>
  <c r="H302" i="33" s="1"/>
  <c r="H302" i="32"/>
  <c r="F303" i="32"/>
  <c r="I303" i="32" s="1"/>
  <c r="H303" i="33" s="1"/>
  <c r="H303" i="32"/>
  <c r="F304" i="32"/>
  <c r="I304" i="32" s="1"/>
  <c r="H304" i="33" s="1"/>
  <c r="H304" i="32"/>
  <c r="F305" i="32"/>
  <c r="F306" i="32" s="1"/>
  <c r="F307" i="32" s="1"/>
  <c r="F308" i="32" s="1"/>
  <c r="F309" i="32" s="1"/>
  <c r="F310" i="32" s="1"/>
  <c r="F311" i="32" s="1"/>
  <c r="F312" i="32" s="1"/>
  <c r="I312" i="32" s="1"/>
  <c r="H312" i="33" s="1"/>
  <c r="H305" i="32"/>
  <c r="F4" i="32"/>
  <c r="I4" i="32" s="1"/>
  <c r="H4" i="33" s="1"/>
  <c r="H4" i="32"/>
  <c r="F5" i="32"/>
  <c r="I5" i="32" s="1"/>
  <c r="H5" i="33" s="1"/>
  <c r="H5" i="32"/>
  <c r="H2" i="32"/>
  <c r="J2" i="33" s="1"/>
  <c r="F2" i="32"/>
  <c r="F3" i="32" s="1"/>
  <c r="I3" i="32" s="1"/>
  <c r="H3" i="33" s="1"/>
  <c r="U2" i="32"/>
  <c r="AI2" i="32"/>
  <c r="AJ2" i="32" s="1"/>
  <c r="R1" i="32"/>
  <c r="Q1" i="32"/>
  <c r="Q2" i="32"/>
  <c r="F286" i="16"/>
  <c r="E286" i="16"/>
  <c r="E265" i="16"/>
  <c r="E269" i="16"/>
  <c r="E270" i="16"/>
  <c r="E271" i="16"/>
  <c r="E272" i="16"/>
  <c r="E273" i="16"/>
  <c r="E274" i="16"/>
  <c r="E275" i="16"/>
  <c r="E298" i="16"/>
  <c r="E299" i="16"/>
  <c r="E300" i="16"/>
  <c r="E301" i="16"/>
  <c r="E304" i="16"/>
  <c r="E305" i="16"/>
  <c r="E306" i="16"/>
  <c r="E307" i="16"/>
  <c r="E308" i="16"/>
  <c r="S61" i="33"/>
  <c r="A2" i="32"/>
  <c r="B2" i="32"/>
  <c r="B3"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79" i="32"/>
  <c r="B80" i="32"/>
  <c r="B81" i="32"/>
  <c r="B82" i="32"/>
  <c r="B83" i="32"/>
  <c r="B84" i="32"/>
  <c r="B85" i="32"/>
  <c r="B86" i="32"/>
  <c r="B87" i="32"/>
  <c r="B88" i="32"/>
  <c r="B89" i="32"/>
  <c r="B90" i="32"/>
  <c r="B91" i="32"/>
  <c r="B92" i="32"/>
  <c r="B93" i="32"/>
  <c r="B94" i="32"/>
  <c r="B95" i="32"/>
  <c r="B96" i="32"/>
  <c r="B97" i="32"/>
  <c r="B98" i="32"/>
  <c r="B99" i="32"/>
  <c r="B100" i="32"/>
  <c r="B101" i="32"/>
  <c r="B102" i="32"/>
  <c r="B103" i="32"/>
  <c r="B104" i="32"/>
  <c r="B105" i="32"/>
  <c r="B106" i="32"/>
  <c r="B107" i="32"/>
  <c r="B108" i="32"/>
  <c r="B109" i="32"/>
  <c r="B110" i="32"/>
  <c r="B111" i="32"/>
  <c r="B112" i="32"/>
  <c r="B113" i="32"/>
  <c r="B114" i="32"/>
  <c r="B115" i="32"/>
  <c r="B116" i="32"/>
  <c r="B117" i="32"/>
  <c r="B118" i="32"/>
  <c r="B119" i="32"/>
  <c r="B120" i="32"/>
  <c r="B121" i="32"/>
  <c r="B122" i="32"/>
  <c r="B123" i="32"/>
  <c r="B124" i="32"/>
  <c r="B125" i="32"/>
  <c r="B126" i="32"/>
  <c r="B127" i="32"/>
  <c r="B128" i="32"/>
  <c r="B129" i="32"/>
  <c r="B130" i="32"/>
  <c r="B131" i="32"/>
  <c r="B132" i="32"/>
  <c r="B133" i="32"/>
  <c r="B134" i="32"/>
  <c r="B135" i="32"/>
  <c r="B136" i="32"/>
  <c r="B137" i="32"/>
  <c r="B138" i="32"/>
  <c r="B139" i="32"/>
  <c r="B140" i="32"/>
  <c r="B141" i="32"/>
  <c r="B142" i="32"/>
  <c r="B143" i="32"/>
  <c r="B144" i="32"/>
  <c r="B145" i="32"/>
  <c r="B146" i="32"/>
  <c r="B147" i="32"/>
  <c r="B148" i="32"/>
  <c r="B149" i="32"/>
  <c r="B150" i="32"/>
  <c r="B151" i="32"/>
  <c r="B152" i="32"/>
  <c r="B153" i="32"/>
  <c r="B154" i="32"/>
  <c r="B155" i="32"/>
  <c r="B156" i="32"/>
  <c r="B157" i="32"/>
  <c r="B158" i="32"/>
  <c r="B159" i="32"/>
  <c r="B160" i="32"/>
  <c r="B161" i="32"/>
  <c r="B162" i="32"/>
  <c r="B163" i="32"/>
  <c r="B164" i="32"/>
  <c r="B165" i="32"/>
  <c r="B166" i="32"/>
  <c r="B167" i="32"/>
  <c r="B168" i="32"/>
  <c r="B169" i="32"/>
  <c r="B170" i="32"/>
  <c r="B171" i="32"/>
  <c r="B172" i="32"/>
  <c r="B173" i="32"/>
  <c r="B174" i="32"/>
  <c r="B175" i="32"/>
  <c r="B176" i="32"/>
  <c r="B177" i="32"/>
  <c r="B178" i="32"/>
  <c r="B179" i="32"/>
  <c r="B180" i="32"/>
  <c r="B181" i="32"/>
  <c r="B182" i="32"/>
  <c r="B183" i="32"/>
  <c r="B184" i="32"/>
  <c r="B185" i="32"/>
  <c r="B186" i="32"/>
  <c r="B187" i="32"/>
  <c r="B188" i="32"/>
  <c r="B189" i="32"/>
  <c r="B190" i="32"/>
  <c r="B191" i="32"/>
  <c r="B192" i="32"/>
  <c r="B193" i="32"/>
  <c r="B194" i="32"/>
  <c r="B195" i="32"/>
  <c r="B196" i="32"/>
  <c r="B197" i="32"/>
  <c r="B198" i="32"/>
  <c r="B199" i="32"/>
  <c r="B200" i="32"/>
  <c r="B201" i="32"/>
  <c r="B202" i="32"/>
  <c r="B203" i="32"/>
  <c r="B204" i="32"/>
  <c r="B205" i="32"/>
  <c r="B206" i="32"/>
  <c r="B207" i="32"/>
  <c r="B208" i="32"/>
  <c r="B209" i="32"/>
  <c r="B210" i="32"/>
  <c r="B211" i="32"/>
  <c r="B212" i="32"/>
  <c r="B213" i="32"/>
  <c r="B214" i="32"/>
  <c r="B215" i="32"/>
  <c r="B216" i="32"/>
  <c r="B217" i="32"/>
  <c r="B218" i="32"/>
  <c r="B219" i="32"/>
  <c r="B220" i="32"/>
  <c r="B221" i="32"/>
  <c r="B222" i="32"/>
  <c r="B223" i="32"/>
  <c r="B224" i="32"/>
  <c r="B225" i="32"/>
  <c r="B226" i="32"/>
  <c r="B227" i="32"/>
  <c r="B228" i="32"/>
  <c r="B229" i="32"/>
  <c r="B230" i="32"/>
  <c r="B231" i="32"/>
  <c r="B232" i="32"/>
  <c r="B233" i="32"/>
  <c r="B234" i="32"/>
  <c r="B235" i="32"/>
  <c r="B236" i="32"/>
  <c r="B237" i="32"/>
  <c r="B238" i="32"/>
  <c r="B239" i="32"/>
  <c r="B240" i="32"/>
  <c r="B241" i="32"/>
  <c r="B242" i="32"/>
  <c r="B243" i="32"/>
  <c r="B244" i="32"/>
  <c r="B245" i="32"/>
  <c r="B246" i="32"/>
  <c r="B247" i="32"/>
  <c r="B248" i="32"/>
  <c r="B249" i="32"/>
  <c r="B250" i="32"/>
  <c r="B251" i="32"/>
  <c r="B252" i="32"/>
  <c r="B253" i="32"/>
  <c r="B254" i="32"/>
  <c r="B255" i="32"/>
  <c r="B256" i="32"/>
  <c r="B257" i="32"/>
  <c r="B258" i="32"/>
  <c r="B259" i="32"/>
  <c r="B260" i="32"/>
  <c r="B261" i="32"/>
  <c r="B262" i="32"/>
  <c r="B263" i="32"/>
  <c r="B264" i="32"/>
  <c r="B265" i="32"/>
  <c r="B266" i="32"/>
  <c r="B267" i="32"/>
  <c r="B268" i="32"/>
  <c r="B269" i="32"/>
  <c r="B270" i="32"/>
  <c r="B271" i="32"/>
  <c r="B272" i="32"/>
  <c r="B273" i="32"/>
  <c r="B274" i="32"/>
  <c r="B275" i="32"/>
  <c r="B276" i="32"/>
  <c r="B277" i="32"/>
  <c r="B278" i="32"/>
  <c r="B279" i="32"/>
  <c r="B280" i="32"/>
  <c r="B281" i="32"/>
  <c r="B282" i="32"/>
  <c r="B283" i="32"/>
  <c r="B284" i="32"/>
  <c r="B285" i="32"/>
  <c r="B286" i="32"/>
  <c r="B287" i="32"/>
  <c r="B288" i="32"/>
  <c r="B289" i="32"/>
  <c r="B290" i="32"/>
  <c r="B291" i="32"/>
  <c r="B292" i="32"/>
  <c r="B293" i="32"/>
  <c r="B294" i="32"/>
  <c r="B295" i="32"/>
  <c r="B296" i="32"/>
  <c r="B297" i="32"/>
  <c r="B298" i="32"/>
  <c r="B299" i="32"/>
  <c r="B300" i="32"/>
  <c r="B301" i="32"/>
  <c r="B302" i="32"/>
  <c r="B303" i="32"/>
  <c r="B304" i="32"/>
  <c r="B305" i="32"/>
  <c r="B306" i="32"/>
  <c r="B307" i="32"/>
  <c r="B308" i="32"/>
  <c r="B309" i="32"/>
  <c r="B310" i="32"/>
  <c r="B311" i="32"/>
  <c r="B312" i="32"/>
  <c r="A1" i="32"/>
  <c r="B1" i="33"/>
  <c r="B2" i="33"/>
  <c r="A2" i="33"/>
  <c r="A1" i="33"/>
  <c r="B1" i="32"/>
  <c r="AR2" i="32"/>
  <c r="F234" i="16"/>
  <c r="F1" i="32"/>
  <c r="Z176" i="32" l="1"/>
  <c r="Z148" i="32"/>
  <c r="X149" i="32"/>
  <c r="Z104" i="32"/>
  <c r="X105" i="32"/>
  <c r="V105" i="32" s="1"/>
  <c r="V164" i="32"/>
  <c r="X165" i="32"/>
  <c r="Z165" i="32" s="1"/>
  <c r="Z39" i="32"/>
  <c r="Z192" i="32"/>
  <c r="X92" i="32"/>
  <c r="AD75" i="32"/>
  <c r="X154" i="32"/>
  <c r="X155" i="32" s="1"/>
  <c r="X110" i="32"/>
  <c r="X111" i="32" s="1"/>
  <c r="T111" i="32" s="1"/>
  <c r="V109" i="32"/>
  <c r="U134" i="32"/>
  <c r="V153" i="32"/>
  <c r="X202" i="32"/>
  <c r="X203" i="32" s="1"/>
  <c r="S203" i="32" s="1"/>
  <c r="Z211" i="32"/>
  <c r="X212" i="32"/>
  <c r="V47" i="32"/>
  <c r="X159" i="32"/>
  <c r="Z159" i="32" s="1"/>
  <c r="X107" i="32"/>
  <c r="T107" i="32" s="1"/>
  <c r="Z206" i="32"/>
  <c r="X207" i="32"/>
  <c r="T207" i="32" s="1"/>
  <c r="Z254" i="32"/>
  <c r="X255" i="32"/>
  <c r="U192" i="32"/>
  <c r="Z269" i="32"/>
  <c r="X270" i="32"/>
  <c r="S270" i="32" s="1"/>
  <c r="Z56" i="32"/>
  <c r="U34" i="32"/>
  <c r="T11" i="32"/>
  <c r="S148" i="32"/>
  <c r="S27" i="32"/>
  <c r="Z25" i="32"/>
  <c r="T27" i="32"/>
  <c r="V86" i="32"/>
  <c r="U27" i="32"/>
  <c r="U128" i="32"/>
  <c r="V152" i="32"/>
  <c r="V27" i="32"/>
  <c r="Z152" i="32"/>
  <c r="Z4" i="32"/>
  <c r="Z17" i="32"/>
  <c r="Z27" i="32"/>
  <c r="T38" i="32"/>
  <c r="D58" i="32"/>
  <c r="D58" i="33"/>
  <c r="D301" i="32"/>
  <c r="D301" i="33"/>
  <c r="D249" i="32"/>
  <c r="D249" i="33"/>
  <c r="D305" i="32"/>
  <c r="D305" i="33"/>
  <c r="D273" i="32"/>
  <c r="D273" i="33"/>
  <c r="D300" i="32"/>
  <c r="D300" i="33"/>
  <c r="D270" i="32"/>
  <c r="D270" i="33"/>
  <c r="E257" i="32"/>
  <c r="E257" i="33"/>
  <c r="D269" i="32"/>
  <c r="D269" i="33"/>
  <c r="E255" i="32"/>
  <c r="E255" i="33"/>
  <c r="D62" i="32"/>
  <c r="D62" i="33"/>
  <c r="E234" i="32"/>
  <c r="E234" i="33"/>
  <c r="D299" i="33"/>
  <c r="D299" i="32"/>
  <c r="D308" i="32"/>
  <c r="D308" i="33"/>
  <c r="D298" i="32"/>
  <c r="D298" i="33"/>
  <c r="D265" i="32"/>
  <c r="D265" i="33"/>
  <c r="E252" i="32"/>
  <c r="E252" i="33"/>
  <c r="E240" i="32"/>
  <c r="E240" i="33"/>
  <c r="D304" i="33"/>
  <c r="D304" i="32"/>
  <c r="D272" i="32"/>
  <c r="D272" i="33"/>
  <c r="D271" i="32"/>
  <c r="D271" i="33"/>
  <c r="D307" i="32"/>
  <c r="D307" i="33"/>
  <c r="D275" i="33"/>
  <c r="D275" i="32"/>
  <c r="D286" i="32"/>
  <c r="D286" i="33"/>
  <c r="E249" i="32"/>
  <c r="E249" i="33"/>
  <c r="E243" i="32"/>
  <c r="E243" i="33"/>
  <c r="D306" i="32"/>
  <c r="D306" i="33"/>
  <c r="D274" i="32"/>
  <c r="D274" i="33"/>
  <c r="E286" i="32"/>
  <c r="E286" i="33"/>
  <c r="D206" i="32"/>
  <c r="D206" i="33"/>
  <c r="V6" i="32"/>
  <c r="Z13" i="32"/>
  <c r="V39" i="32"/>
  <c r="U47" i="32"/>
  <c r="U176" i="32"/>
  <c r="Z36" i="32"/>
  <c r="Z47" i="32"/>
  <c r="U51" i="32"/>
  <c r="S6" i="32"/>
  <c r="S47" i="32"/>
  <c r="S99" i="32"/>
  <c r="T131" i="32"/>
  <c r="V158" i="32"/>
  <c r="S176" i="32"/>
  <c r="T6" i="32"/>
  <c r="S88" i="32"/>
  <c r="U99" i="32"/>
  <c r="T176" i="32"/>
  <c r="U119" i="32"/>
  <c r="S46" i="32"/>
  <c r="V46" i="32"/>
  <c r="Z80" i="32"/>
  <c r="X223" i="32"/>
  <c r="Z223" i="32" s="1"/>
  <c r="Z222" i="32"/>
  <c r="X227" i="32"/>
  <c r="Z227" i="32" s="1"/>
  <c r="Z226" i="32"/>
  <c r="X289" i="32"/>
  <c r="Z288" i="32"/>
  <c r="F81" i="32"/>
  <c r="I80" i="32"/>
  <c r="F173" i="32"/>
  <c r="I172" i="32"/>
  <c r="F85" i="32"/>
  <c r="I84" i="32"/>
  <c r="F189" i="32"/>
  <c r="I188" i="32"/>
  <c r="H188" i="33" s="1"/>
  <c r="F198" i="32"/>
  <c r="I198" i="32" s="1"/>
  <c r="H198" i="33" s="1"/>
  <c r="I197" i="32"/>
  <c r="F94" i="32"/>
  <c r="I93" i="32"/>
  <c r="F196" i="32"/>
  <c r="I195" i="32"/>
  <c r="F187" i="32"/>
  <c r="I186" i="32"/>
  <c r="F78" i="32"/>
  <c r="I77" i="32"/>
  <c r="F177" i="32"/>
  <c r="I176" i="32"/>
  <c r="F91" i="32"/>
  <c r="I90" i="32"/>
  <c r="S188" i="32"/>
  <c r="V196" i="32"/>
  <c r="AV58" i="32"/>
  <c r="AW58" i="32" s="1"/>
  <c r="D58" i="16"/>
  <c r="AV59" i="32"/>
  <c r="AW59" i="32" s="1"/>
  <c r="V240" i="32"/>
  <c r="U193" i="32"/>
  <c r="U3" i="32"/>
  <c r="V61" i="32"/>
  <c r="V84" i="32"/>
  <c r="T103" i="32"/>
  <c r="Z84" i="32"/>
  <c r="S91" i="32"/>
  <c r="V43" i="32"/>
  <c r="T143" i="32"/>
  <c r="Z43" i="32"/>
  <c r="U43" i="32"/>
  <c r="U84" i="32"/>
  <c r="U143" i="32"/>
  <c r="U155" i="32"/>
  <c r="T91" i="32"/>
  <c r="V125" i="32"/>
  <c r="T233" i="32"/>
  <c r="V48" i="32"/>
  <c r="U91" i="32"/>
  <c r="S84" i="32"/>
  <c r="U136" i="32"/>
  <c r="U90" i="32"/>
  <c r="U37" i="32"/>
  <c r="V65" i="32"/>
  <c r="U33" i="32"/>
  <c r="U222" i="32"/>
  <c r="T236" i="32"/>
  <c r="U39" i="32"/>
  <c r="V56" i="32"/>
  <c r="S104" i="32"/>
  <c r="T241" i="32"/>
  <c r="U104" i="32"/>
  <c r="U86" i="32"/>
  <c r="U75" i="32"/>
  <c r="AC75" i="32"/>
  <c r="Z29" i="32"/>
  <c r="T39" i="32"/>
  <c r="U195" i="32"/>
  <c r="U267" i="32"/>
  <c r="Z193" i="32"/>
  <c r="H111" i="32"/>
  <c r="J111" i="33" s="1"/>
  <c r="J110" i="33"/>
  <c r="V224" i="32"/>
  <c r="V249" i="32"/>
  <c r="G4" i="32"/>
  <c r="I4" i="33" s="1"/>
  <c r="J4" i="33"/>
  <c r="G302" i="32"/>
  <c r="I302" i="33" s="1"/>
  <c r="J302" i="33"/>
  <c r="G267" i="32"/>
  <c r="I267" i="33" s="1"/>
  <c r="J267" i="33"/>
  <c r="G263" i="32"/>
  <c r="I263" i="33" s="1"/>
  <c r="J263" i="33"/>
  <c r="H249" i="32"/>
  <c r="J249" i="33" s="1"/>
  <c r="J248" i="33"/>
  <c r="G240" i="32"/>
  <c r="I240" i="33" s="1"/>
  <c r="J240" i="33"/>
  <c r="H211" i="32"/>
  <c r="J211" i="33" s="1"/>
  <c r="G206" i="32"/>
  <c r="I206" i="33" s="1"/>
  <c r="H98" i="32"/>
  <c r="J97" i="33"/>
  <c r="H50" i="32"/>
  <c r="J49" i="33"/>
  <c r="G24" i="32"/>
  <c r="I24" i="33" s="1"/>
  <c r="J24" i="33"/>
  <c r="G9" i="32"/>
  <c r="I9" i="33" s="1"/>
  <c r="J9" i="33"/>
  <c r="G5" i="32"/>
  <c r="I5" i="33" s="1"/>
  <c r="J5" i="33"/>
  <c r="G303" i="32"/>
  <c r="I303" i="33" s="1"/>
  <c r="J303" i="33"/>
  <c r="G268" i="32"/>
  <c r="I268" i="33" s="1"/>
  <c r="J268" i="33"/>
  <c r="G264" i="32"/>
  <c r="I264" i="33" s="1"/>
  <c r="J264" i="33"/>
  <c r="H242" i="32"/>
  <c r="G242" i="32" s="1"/>
  <c r="I242" i="33" s="1"/>
  <c r="J241" i="33"/>
  <c r="G207" i="32"/>
  <c r="I207" i="33" s="1"/>
  <c r="G192" i="32"/>
  <c r="I192" i="33" s="1"/>
  <c r="J192" i="33"/>
  <c r="G10" i="32"/>
  <c r="I10" i="33" s="1"/>
  <c r="J10" i="33"/>
  <c r="G6" i="32"/>
  <c r="I6" i="33" s="1"/>
  <c r="J6" i="33"/>
  <c r="AA181" i="32"/>
  <c r="AA70" i="32"/>
  <c r="H306" i="32"/>
  <c r="G306" i="32" s="1"/>
  <c r="I306" i="33" s="1"/>
  <c r="J305" i="33"/>
  <c r="H271" i="32"/>
  <c r="J271" i="33" s="1"/>
  <c r="J270" i="33"/>
  <c r="G266" i="32"/>
  <c r="I266" i="33" s="1"/>
  <c r="J266" i="33"/>
  <c r="H217" i="32"/>
  <c r="J216" i="33"/>
  <c r="G209" i="32"/>
  <c r="I209" i="33" s="1"/>
  <c r="G205" i="32"/>
  <c r="I205" i="33" s="1"/>
  <c r="G194" i="32"/>
  <c r="I194" i="33" s="1"/>
  <c r="J194" i="33"/>
  <c r="H105" i="32"/>
  <c r="J104" i="33"/>
  <c r="H66" i="32"/>
  <c r="G66" i="32" s="1"/>
  <c r="I66" i="33" s="1"/>
  <c r="J65" i="33"/>
  <c r="G23" i="32"/>
  <c r="I23" i="33" s="1"/>
  <c r="J23" i="33"/>
  <c r="G12" i="32"/>
  <c r="I12" i="33" s="1"/>
  <c r="J12" i="33"/>
  <c r="G8" i="32"/>
  <c r="I8" i="33" s="1"/>
  <c r="J8" i="33"/>
  <c r="T224" i="32"/>
  <c r="AA65" i="32"/>
  <c r="AD65" i="32" s="1"/>
  <c r="AG65" i="32" s="1"/>
  <c r="M65" i="33" s="1"/>
  <c r="G304" i="32"/>
  <c r="I304" i="33" s="1"/>
  <c r="J304" i="33"/>
  <c r="G269" i="32"/>
  <c r="I269" i="33" s="1"/>
  <c r="J269" i="33"/>
  <c r="G265" i="32"/>
  <c r="I265" i="33" s="1"/>
  <c r="J265" i="33"/>
  <c r="H258" i="32"/>
  <c r="J257" i="33"/>
  <c r="G244" i="32"/>
  <c r="I244" i="33" s="1"/>
  <c r="J244" i="33"/>
  <c r="H233" i="32"/>
  <c r="J233" i="33" s="1"/>
  <c r="J232" i="33"/>
  <c r="G208" i="32"/>
  <c r="I208" i="33" s="1"/>
  <c r="G193" i="32"/>
  <c r="I193" i="33" s="1"/>
  <c r="J193" i="33"/>
  <c r="H143" i="32"/>
  <c r="J142" i="33"/>
  <c r="H34" i="32"/>
  <c r="J33" i="33"/>
  <c r="G22" i="32"/>
  <c r="I22" i="33" s="1"/>
  <c r="J22" i="33"/>
  <c r="G11" i="32"/>
  <c r="I11" i="33" s="1"/>
  <c r="J11" i="33"/>
  <c r="G7" i="32"/>
  <c r="I7" i="33" s="1"/>
  <c r="J7" i="33"/>
  <c r="U224" i="32"/>
  <c r="T249" i="32"/>
  <c r="V268" i="32"/>
  <c r="U268" i="32"/>
  <c r="U248" i="32"/>
  <c r="T248" i="32"/>
  <c r="V248" i="32"/>
  <c r="X141" i="32"/>
  <c r="Z141" i="32" s="1"/>
  <c r="V140" i="32"/>
  <c r="S140" i="32"/>
  <c r="Z5" i="32"/>
  <c r="U6" i="32"/>
  <c r="S11" i="32"/>
  <c r="S48" i="32"/>
  <c r="S136" i="32"/>
  <c r="S196" i="32"/>
  <c r="S236" i="32"/>
  <c r="U11" i="32"/>
  <c r="V136" i="32"/>
  <c r="S217" i="32"/>
  <c r="S232" i="32"/>
  <c r="V11" i="32"/>
  <c r="S15" i="32"/>
  <c r="T22" i="32"/>
  <c r="U31" i="32"/>
  <c r="U38" i="32"/>
  <c r="V45" i="32"/>
  <c r="Z136" i="32"/>
  <c r="V148" i="32"/>
  <c r="T188" i="32"/>
  <c r="T217" i="32"/>
  <c r="T228" i="32"/>
  <c r="T232" i="32"/>
  <c r="V236" i="32"/>
  <c r="U236" i="32"/>
  <c r="V15" i="32"/>
  <c r="V31" i="32"/>
  <c r="V38" i="32"/>
  <c r="V49" i="32"/>
  <c r="V129" i="32"/>
  <c r="V188" i="32"/>
  <c r="V217" i="32"/>
  <c r="U232" i="32"/>
  <c r="Z15" i="32"/>
  <c r="S31" i="32"/>
  <c r="T43" i="32"/>
  <c r="U158" i="32"/>
  <c r="X198" i="32"/>
  <c r="S198" i="32" s="1"/>
  <c r="T197" i="32"/>
  <c r="S197" i="32"/>
  <c r="Z197" i="32"/>
  <c r="V216" i="32"/>
  <c r="U138" i="32"/>
  <c r="X229" i="32"/>
  <c r="X230" i="32" s="1"/>
  <c r="X231" i="32" s="1"/>
  <c r="Z231" i="32" s="1"/>
  <c r="U228" i="32"/>
  <c r="T235" i="32"/>
  <c r="U239" i="32"/>
  <c r="T216" i="32"/>
  <c r="V228" i="32"/>
  <c r="U235" i="32"/>
  <c r="U216" i="32"/>
  <c r="Z177" i="32"/>
  <c r="V177" i="32"/>
  <c r="U177" i="32"/>
  <c r="T177" i="32"/>
  <c r="S177" i="32"/>
  <c r="S225" i="32"/>
  <c r="T225" i="32"/>
  <c r="U213" i="32"/>
  <c r="X67" i="32"/>
  <c r="X68" i="32" s="1"/>
  <c r="X69" i="32" s="1"/>
  <c r="X70" i="32" s="1"/>
  <c r="X71" i="32" s="1"/>
  <c r="T71" i="32" s="1"/>
  <c r="U66" i="32"/>
  <c r="V26" i="32"/>
  <c r="S26" i="32"/>
  <c r="Z132" i="32"/>
  <c r="V132" i="32"/>
  <c r="S132" i="32"/>
  <c r="X133" i="32"/>
  <c r="V133" i="32" s="1"/>
  <c r="Z100" i="32"/>
  <c r="S100" i="32"/>
  <c r="X101" i="32"/>
  <c r="V54" i="32"/>
  <c r="T54" i="32"/>
  <c r="Z7" i="32"/>
  <c r="U7" i="32"/>
  <c r="V7" i="32"/>
  <c r="S7" i="32"/>
  <c r="T59" i="32"/>
  <c r="S59" i="32"/>
  <c r="X60" i="32"/>
  <c r="T60" i="32" s="1"/>
  <c r="Z59" i="32"/>
  <c r="U59" i="32"/>
  <c r="V59" i="32"/>
  <c r="V30" i="32"/>
  <c r="U30" i="32"/>
  <c r="T30" i="32"/>
  <c r="S30" i="32"/>
  <c r="U288" i="32"/>
  <c r="X175" i="32"/>
  <c r="Z175" i="32" s="1"/>
  <c r="Z174" i="32"/>
  <c r="V130" i="32"/>
  <c r="T83" i="32"/>
  <c r="S83" i="32"/>
  <c r="T135" i="32"/>
  <c r="S135" i="32"/>
  <c r="X121" i="32"/>
  <c r="Z120" i="32"/>
  <c r="V120" i="32"/>
  <c r="U120" i="32"/>
  <c r="S120" i="32"/>
  <c r="X63" i="32"/>
  <c r="V63" i="32" s="1"/>
  <c r="V62" i="32"/>
  <c r="Z42" i="32"/>
  <c r="V42" i="32"/>
  <c r="U42" i="32"/>
  <c r="T42" i="32"/>
  <c r="U14" i="32"/>
  <c r="V14" i="32"/>
  <c r="S87" i="32"/>
  <c r="T87" i="32"/>
  <c r="X127" i="32"/>
  <c r="T126" i="32"/>
  <c r="V50" i="32"/>
  <c r="U50" i="32"/>
  <c r="T50" i="32"/>
  <c r="Z32" i="32"/>
  <c r="T32" i="32"/>
  <c r="V18" i="32"/>
  <c r="U18" i="32"/>
  <c r="T18" i="32"/>
  <c r="S18" i="32"/>
  <c r="S226" i="32"/>
  <c r="X178" i="32"/>
  <c r="V233" i="32"/>
  <c r="V134" i="32"/>
  <c r="U146" i="32"/>
  <c r="U54" i="32"/>
  <c r="T66" i="32"/>
  <c r="V106" i="32"/>
  <c r="T130" i="32"/>
  <c r="V66" i="32"/>
  <c r="T106" i="32"/>
  <c r="U130" i="32"/>
  <c r="T142" i="32"/>
  <c r="V288" i="32"/>
  <c r="T288" i="32"/>
  <c r="T174" i="32"/>
  <c r="S174" i="32"/>
  <c r="V174" i="32"/>
  <c r="U139" i="32"/>
  <c r="V83" i="32"/>
  <c r="U83" i="32"/>
  <c r="U76" i="32"/>
  <c r="V193" i="32"/>
  <c r="V209" i="32"/>
  <c r="V213" i="32"/>
  <c r="U197" i="32"/>
  <c r="T201" i="32"/>
  <c r="S193" i="32"/>
  <c r="V197" i="32"/>
  <c r="S213" i="32"/>
  <c r="T245" i="32"/>
  <c r="V147" i="32"/>
  <c r="Z147" i="32"/>
  <c r="U147" i="32"/>
  <c r="T147" i="32"/>
  <c r="V97" i="32"/>
  <c r="Z97" i="32"/>
  <c r="S3" i="32"/>
  <c r="T10" i="32"/>
  <c r="T15" i="32"/>
  <c r="U19" i="32"/>
  <c r="T26" i="32"/>
  <c r="S34" i="32"/>
  <c r="S35" i="32"/>
  <c r="T46" i="32"/>
  <c r="U58" i="32"/>
  <c r="V58" i="32"/>
  <c r="V92" i="32"/>
  <c r="Z92" i="32"/>
  <c r="V103" i="32"/>
  <c r="U103" i="32"/>
  <c r="S103" i="32"/>
  <c r="V119" i="32"/>
  <c r="T119" i="32"/>
  <c r="T138" i="32"/>
  <c r="V138" i="32"/>
  <c r="S10" i="32"/>
  <c r="T3" i="32"/>
  <c r="U10" i="32"/>
  <c r="U15" i="32"/>
  <c r="V19" i="32"/>
  <c r="Z20" i="32"/>
  <c r="S22" i="32"/>
  <c r="Z23" i="32"/>
  <c r="U26" i="32"/>
  <c r="S32" i="32"/>
  <c r="T34" i="32"/>
  <c r="T35" i="32"/>
  <c r="S38" i="32"/>
  <c r="S39" i="32"/>
  <c r="S42" i="32"/>
  <c r="S43" i="32"/>
  <c r="U46" i="32"/>
  <c r="S51" i="32"/>
  <c r="V52" i="32"/>
  <c r="S52" i="32"/>
  <c r="Z53" i="32"/>
  <c r="Z55" i="32"/>
  <c r="V131" i="32"/>
  <c r="U131" i="32"/>
  <c r="S131" i="32"/>
  <c r="S171" i="32"/>
  <c r="Z171" i="32"/>
  <c r="V171" i="32"/>
  <c r="T171" i="32"/>
  <c r="S40" i="32"/>
  <c r="U41" i="32"/>
  <c r="T51" i="32"/>
  <c r="V57" i="32"/>
  <c r="U82" i="32"/>
  <c r="V82" i="32"/>
  <c r="V88" i="32"/>
  <c r="Z88" i="32"/>
  <c r="U88" i="32"/>
  <c r="T219" i="32"/>
  <c r="S219" i="32"/>
  <c r="V219" i="32"/>
  <c r="U219" i="32"/>
  <c r="V3" i="32"/>
  <c r="U22" i="32"/>
  <c r="S23" i="32"/>
  <c r="V32" i="32"/>
  <c r="V34" i="32"/>
  <c r="V35" i="32"/>
  <c r="T36" i="32"/>
  <c r="T40" i="32"/>
  <c r="V51" i="32"/>
  <c r="S55" i="32"/>
  <c r="V76" i="32"/>
  <c r="S76" i="32"/>
  <c r="V144" i="32"/>
  <c r="Z144" i="32"/>
  <c r="U144" i="32"/>
  <c r="Z163" i="32"/>
  <c r="V163" i="32"/>
  <c r="U163" i="32"/>
  <c r="T163" i="32"/>
  <c r="S163" i="32"/>
  <c r="T23" i="32"/>
  <c r="T55" i="32"/>
  <c r="V87" i="32"/>
  <c r="U87" i="32"/>
  <c r="V111" i="32"/>
  <c r="U173" i="32"/>
  <c r="T173" i="32"/>
  <c r="S173" i="32"/>
  <c r="Z173" i="32"/>
  <c r="V173" i="32"/>
  <c r="T7" i="32"/>
  <c r="Z12" i="32"/>
  <c r="S14" i="32"/>
  <c r="U23" i="32"/>
  <c r="U55" i="32"/>
  <c r="S75" i="32"/>
  <c r="Z75" i="32"/>
  <c r="AB75" i="32" s="1"/>
  <c r="V75" i="32"/>
  <c r="Z76" i="32"/>
  <c r="V100" i="32"/>
  <c r="U100" i="32"/>
  <c r="V135" i="32"/>
  <c r="U135" i="32"/>
  <c r="Z200" i="32"/>
  <c r="T200" i="32"/>
  <c r="S200" i="32"/>
  <c r="V200" i="32"/>
  <c r="U200" i="32"/>
  <c r="Z19" i="32"/>
  <c r="T14" i="32"/>
  <c r="Z28" i="32"/>
  <c r="Z51" i="32"/>
  <c r="V99" i="32"/>
  <c r="T99" i="32"/>
  <c r="T110" i="32"/>
  <c r="S119" i="32"/>
  <c r="V128" i="32"/>
  <c r="Z128" i="32"/>
  <c r="S128" i="32"/>
  <c r="T134" i="32"/>
  <c r="S147" i="32"/>
  <c r="V139" i="32"/>
  <c r="S139" i="32"/>
  <c r="Z146" i="32"/>
  <c r="S189" i="32"/>
  <c r="Z189" i="32"/>
  <c r="U189" i="32"/>
  <c r="T189" i="32"/>
  <c r="Z196" i="32"/>
  <c r="T196" i="32"/>
  <c r="S107" i="32"/>
  <c r="V126" i="32"/>
  <c r="U126" i="32"/>
  <c r="V149" i="32"/>
  <c r="Z155" i="32"/>
  <c r="T155" i="32"/>
  <c r="T164" i="32"/>
  <c r="S164" i="32"/>
  <c r="T240" i="32"/>
  <c r="S240" i="32"/>
  <c r="S286" i="32"/>
  <c r="V286" i="32"/>
  <c r="T286" i="32"/>
  <c r="V104" i="32"/>
  <c r="T139" i="32"/>
  <c r="U140" i="32"/>
  <c r="V143" i="32"/>
  <c r="T146" i="32"/>
  <c r="Z149" i="32"/>
  <c r="U152" i="32"/>
  <c r="T152" i="32"/>
  <c r="Z164" i="32"/>
  <c r="U196" i="32"/>
  <c r="AC249" i="32"/>
  <c r="AB249" i="32"/>
  <c r="V237" i="32"/>
  <c r="T237" i="32"/>
  <c r="S237" i="32"/>
  <c r="T243" i="32"/>
  <c r="V243" i="32"/>
  <c r="V269" i="32"/>
  <c r="S269" i="32"/>
  <c r="T269" i="32"/>
  <c r="V287" i="32"/>
  <c r="T287" i="32"/>
  <c r="S212" i="32"/>
  <c r="T220" i="32"/>
  <c r="V225" i="32"/>
  <c r="T239" i="32"/>
  <c r="S201" i="32"/>
  <c r="Z201" i="32"/>
  <c r="U201" i="32"/>
  <c r="S209" i="32"/>
  <c r="U209" i="32"/>
  <c r="T213" i="32"/>
  <c r="T253" i="32"/>
  <c r="V205" i="32"/>
  <c r="U205" i="32"/>
  <c r="T205" i="32"/>
  <c r="S218" i="32"/>
  <c r="V218" i="32"/>
  <c r="S220" i="32"/>
  <c r="U220" i="32"/>
  <c r="T244" i="32"/>
  <c r="S244" i="32"/>
  <c r="V244" i="32"/>
  <c r="T212" i="32"/>
  <c r="V241" i="32"/>
  <c r="S216" i="32"/>
  <c r="S224" i="32"/>
  <c r="S228" i="32"/>
  <c r="AB246" i="32"/>
  <c r="V192" i="32"/>
  <c r="W192" i="32" s="1"/>
  <c r="U217" i="32"/>
  <c r="S248" i="32"/>
  <c r="T268" i="32"/>
  <c r="AC171" i="32"/>
  <c r="U188" i="32"/>
  <c r="S233" i="32"/>
  <c r="AB238" i="32"/>
  <c r="S245" i="32"/>
  <c r="S249" i="32"/>
  <c r="AB252" i="32"/>
  <c r="U4" i="32"/>
  <c r="S5" i="32"/>
  <c r="Z6" i="32"/>
  <c r="U8" i="32"/>
  <c r="S9" i="32"/>
  <c r="Z10" i="32"/>
  <c r="U12" i="32"/>
  <c r="S13" i="32"/>
  <c r="Z14" i="32"/>
  <c r="U16" i="32"/>
  <c r="S17" i="32"/>
  <c r="Z18" i="32"/>
  <c r="U20" i="32"/>
  <c r="S21" i="32"/>
  <c r="Z22" i="32"/>
  <c r="U24" i="32"/>
  <c r="S25" i="32"/>
  <c r="Z26" i="32"/>
  <c r="U28" i="32"/>
  <c r="S29" i="32"/>
  <c r="Z30" i="32"/>
  <c r="V36" i="32"/>
  <c r="U36" i="32"/>
  <c r="V40" i="32"/>
  <c r="U40" i="32"/>
  <c r="Z44" i="32"/>
  <c r="U45" i="32"/>
  <c r="T58" i="32"/>
  <c r="T80" i="32"/>
  <c r="U80" i="32"/>
  <c r="S80" i="32"/>
  <c r="V80" i="32"/>
  <c r="T82" i="32"/>
  <c r="T86" i="32"/>
  <c r="Z90" i="32"/>
  <c r="S90" i="32"/>
  <c r="T90" i="32"/>
  <c r="T109" i="32"/>
  <c r="S109" i="32"/>
  <c r="U109" i="32"/>
  <c r="V4" i="32"/>
  <c r="T5" i="32"/>
  <c r="V8" i="32"/>
  <c r="T9" i="32"/>
  <c r="V12" i="32"/>
  <c r="T13" i="32"/>
  <c r="V16" i="32"/>
  <c r="T17" i="32"/>
  <c r="V20" i="32"/>
  <c r="T21" i="32"/>
  <c r="V24" i="32"/>
  <c r="T25" i="32"/>
  <c r="V28" i="32"/>
  <c r="T29" i="32"/>
  <c r="T53" i="32"/>
  <c r="S53" i="32"/>
  <c r="U53" i="32"/>
  <c r="Z62" i="32"/>
  <c r="S62" i="32"/>
  <c r="S81" i="32"/>
  <c r="U81" i="32"/>
  <c r="T81" i="32"/>
  <c r="V81" i="32"/>
  <c r="T85" i="32"/>
  <c r="S85" i="32"/>
  <c r="U85" i="32"/>
  <c r="V85" i="32"/>
  <c r="U5" i="32"/>
  <c r="U9" i="32"/>
  <c r="U13" i="32"/>
  <c r="U17" i="32"/>
  <c r="U21" i="32"/>
  <c r="U25" i="32"/>
  <c r="U29" i="32"/>
  <c r="T45" i="32"/>
  <c r="S45" i="32"/>
  <c r="V5" i="32"/>
  <c r="V9" i="32"/>
  <c r="V13" i="32"/>
  <c r="V17" i="32"/>
  <c r="V21" i="32"/>
  <c r="V25" i="32"/>
  <c r="V29" i="32"/>
  <c r="T49" i="32"/>
  <c r="S49" i="32"/>
  <c r="U49" i="32"/>
  <c r="Z58" i="32"/>
  <c r="S58" i="32"/>
  <c r="AC65" i="32"/>
  <c r="AF65" i="32" s="1"/>
  <c r="L65" i="33" s="1"/>
  <c r="T65" i="32"/>
  <c r="S65" i="32"/>
  <c r="U65" i="32"/>
  <c r="Z82" i="32"/>
  <c r="S82" i="32"/>
  <c r="Z86" i="32"/>
  <c r="S86" i="32"/>
  <c r="Z98" i="32"/>
  <c r="S98" i="32"/>
  <c r="U98" i="32"/>
  <c r="T98" i="32"/>
  <c r="V98" i="32"/>
  <c r="T33" i="32"/>
  <c r="S33" i="32"/>
  <c r="T37" i="32"/>
  <c r="S37" i="32"/>
  <c r="T41" i="32"/>
  <c r="S41" i="32"/>
  <c r="Z49" i="32"/>
  <c r="Z54" i="32"/>
  <c r="S54" i="32"/>
  <c r="T61" i="32"/>
  <c r="S61" i="32"/>
  <c r="U61" i="32"/>
  <c r="Z65" i="32"/>
  <c r="S4" i="32"/>
  <c r="S8" i="32"/>
  <c r="S12" i="32"/>
  <c r="S16" i="32"/>
  <c r="S20" i="32"/>
  <c r="S24" i="32"/>
  <c r="S28" i="32"/>
  <c r="V44" i="32"/>
  <c r="U44" i="32"/>
  <c r="T44" i="32"/>
  <c r="T62" i="32"/>
  <c r="T4" i="32"/>
  <c r="T8" i="32"/>
  <c r="T12" i="32"/>
  <c r="T16" i="32"/>
  <c r="T20" i="32"/>
  <c r="T24" i="32"/>
  <c r="T28" i="32"/>
  <c r="U32" i="32"/>
  <c r="Z33" i="32"/>
  <c r="Z37" i="32"/>
  <c r="Z41" i="32"/>
  <c r="Z50" i="32"/>
  <c r="S50" i="32"/>
  <c r="T57" i="32"/>
  <c r="S57" i="32"/>
  <c r="U57" i="32"/>
  <c r="Z61" i="32"/>
  <c r="U62" i="32"/>
  <c r="Z66" i="32"/>
  <c r="S66" i="32"/>
  <c r="T89" i="32"/>
  <c r="S89" i="32"/>
  <c r="U89" i="32"/>
  <c r="T137" i="32"/>
  <c r="S137" i="32"/>
  <c r="U137" i="32"/>
  <c r="T129" i="32"/>
  <c r="S129" i="32"/>
  <c r="U129" i="32"/>
  <c r="Z142" i="32"/>
  <c r="V142" i="32"/>
  <c r="S142" i="32"/>
  <c r="T125" i="32"/>
  <c r="S125" i="32"/>
  <c r="U125" i="32"/>
  <c r="Z137" i="32"/>
  <c r="T48" i="32"/>
  <c r="T52" i="32"/>
  <c r="T56" i="32"/>
  <c r="T77" i="32"/>
  <c r="Z129" i="32"/>
  <c r="Z134" i="32"/>
  <c r="S134" i="32"/>
  <c r="Z138" i="32"/>
  <c r="S138" i="32"/>
  <c r="U48" i="32"/>
  <c r="U52" i="32"/>
  <c r="U56" i="32"/>
  <c r="U77" i="32"/>
  <c r="T97" i="32"/>
  <c r="S97" i="32"/>
  <c r="U97" i="32"/>
  <c r="Z106" i="32"/>
  <c r="S106" i="32"/>
  <c r="Z125" i="32"/>
  <c r="Z130" i="32"/>
  <c r="S130" i="32"/>
  <c r="T145" i="32"/>
  <c r="S145" i="32"/>
  <c r="Z145" i="32"/>
  <c r="U145" i="32"/>
  <c r="T76" i="32"/>
  <c r="V89" i="32"/>
  <c r="Z126" i="32"/>
  <c r="S126" i="32"/>
  <c r="Z83" i="32"/>
  <c r="Z87" i="32"/>
  <c r="Z91" i="32"/>
  <c r="Z99" i="32"/>
  <c r="Z103" i="32"/>
  <c r="Z107" i="32"/>
  <c r="Z119" i="32"/>
  <c r="Z131" i="32"/>
  <c r="Z135" i="32"/>
  <c r="Z139" i="32"/>
  <c r="Z143" i="32"/>
  <c r="S146" i="32"/>
  <c r="Z154" i="32"/>
  <c r="S154" i="32"/>
  <c r="Z162" i="32"/>
  <c r="S162" i="32"/>
  <c r="U194" i="32"/>
  <c r="T194" i="32"/>
  <c r="S194" i="32"/>
  <c r="V194" i="32"/>
  <c r="T157" i="32"/>
  <c r="S157" i="32"/>
  <c r="U157" i="32"/>
  <c r="T165" i="32"/>
  <c r="U165" i="32"/>
  <c r="V146" i="32"/>
  <c r="S153" i="32"/>
  <c r="U153" i="32"/>
  <c r="Z157" i="32"/>
  <c r="S191" i="32"/>
  <c r="Z191" i="32"/>
  <c r="T191" i="32"/>
  <c r="U191" i="32"/>
  <c r="Z158" i="32"/>
  <c r="S158" i="32"/>
  <c r="Z172" i="32"/>
  <c r="U172" i="32"/>
  <c r="T172" i="32"/>
  <c r="S172" i="32"/>
  <c r="V172" i="32"/>
  <c r="T84" i="32"/>
  <c r="T88" i="32"/>
  <c r="T92" i="32"/>
  <c r="T100" i="32"/>
  <c r="T104" i="32"/>
  <c r="T120" i="32"/>
  <c r="T128" i="32"/>
  <c r="T132" i="32"/>
  <c r="T136" i="32"/>
  <c r="T140" i="32"/>
  <c r="T144" i="32"/>
  <c r="T148" i="32"/>
  <c r="Z153" i="32"/>
  <c r="T162" i="32"/>
  <c r="U92" i="32"/>
  <c r="U132" i="32"/>
  <c r="U148" i="32"/>
  <c r="S149" i="32"/>
  <c r="U149" i="32"/>
  <c r="U154" i="32"/>
  <c r="U162" i="32"/>
  <c r="AD171" i="32"/>
  <c r="V154" i="32"/>
  <c r="V162" i="32"/>
  <c r="U186" i="32"/>
  <c r="T186" i="32"/>
  <c r="V186" i="32"/>
  <c r="Z186" i="32"/>
  <c r="S199" i="32"/>
  <c r="Z199" i="32"/>
  <c r="T199" i="32"/>
  <c r="S211" i="32"/>
  <c r="T211" i="32"/>
  <c r="U214" i="32"/>
  <c r="T214" i="32"/>
  <c r="S214" i="32"/>
  <c r="V214" i="32"/>
  <c r="U215" i="32"/>
  <c r="U206" i="32"/>
  <c r="T206" i="32"/>
  <c r="S206" i="32"/>
  <c r="V206" i="32"/>
  <c r="S215" i="32"/>
  <c r="T215" i="32"/>
  <c r="U187" i="32"/>
  <c r="S195" i="32"/>
  <c r="Z195" i="32"/>
  <c r="T195" i="32"/>
  <c r="U164" i="32"/>
  <c r="U171" i="32"/>
  <c r="V176" i="32"/>
  <c r="U199" i="32"/>
  <c r="U210" i="32"/>
  <c r="T210" i="32"/>
  <c r="S210" i="32"/>
  <c r="V210" i="32"/>
  <c r="U174" i="32"/>
  <c r="S187" i="32"/>
  <c r="Z187" i="32"/>
  <c r="T187" i="32"/>
  <c r="U190" i="32"/>
  <c r="T190" i="32"/>
  <c r="S190" i="32"/>
  <c r="V190" i="32"/>
  <c r="V199" i="32"/>
  <c r="U211" i="32"/>
  <c r="AC246" i="32"/>
  <c r="T246" i="32"/>
  <c r="S246" i="32"/>
  <c r="AD246" i="32"/>
  <c r="U246" i="32"/>
  <c r="AB250" i="32"/>
  <c r="T251" i="32"/>
  <c r="S251" i="32"/>
  <c r="U251" i="32"/>
  <c r="AC252" i="32"/>
  <c r="T252" i="32"/>
  <c r="S252" i="32"/>
  <c r="AD252" i="32"/>
  <c r="U252" i="32"/>
  <c r="AC242" i="32"/>
  <c r="T242" i="32"/>
  <c r="S242" i="32"/>
  <c r="AD242" i="32"/>
  <c r="U242" i="32"/>
  <c r="T247" i="32"/>
  <c r="AC238" i="32"/>
  <c r="T238" i="32"/>
  <c r="S238" i="32"/>
  <c r="AD238" i="32"/>
  <c r="U238" i="32"/>
  <c r="U247" i="32"/>
  <c r="S267" i="32"/>
  <c r="T267" i="32"/>
  <c r="AC234" i="32"/>
  <c r="T234" i="32"/>
  <c r="S234" i="32"/>
  <c r="AD234" i="32"/>
  <c r="U234" i="32"/>
  <c r="AB242" i="32"/>
  <c r="S247" i="32"/>
  <c r="V253" i="32"/>
  <c r="AB253" i="32"/>
  <c r="AC253" i="32"/>
  <c r="S253" i="32"/>
  <c r="AB234" i="32"/>
  <c r="S243" i="32"/>
  <c r="T254" i="32"/>
  <c r="S254" i="32"/>
  <c r="U254" i="32"/>
  <c r="T218" i="32"/>
  <c r="S239" i="32"/>
  <c r="AC250" i="32"/>
  <c r="T250" i="32"/>
  <c r="U250" i="32"/>
  <c r="AD250" i="32"/>
  <c r="S250" i="32"/>
  <c r="V250" i="32"/>
  <c r="AD253" i="32"/>
  <c r="T255" i="32"/>
  <c r="AD255" i="32"/>
  <c r="S255" i="32"/>
  <c r="AC255" i="32"/>
  <c r="U255" i="32"/>
  <c r="S235" i="32"/>
  <c r="V246" i="32"/>
  <c r="V251" i="32"/>
  <c r="V252" i="32"/>
  <c r="U225" i="32"/>
  <c r="U233" i="32"/>
  <c r="U237" i="32"/>
  <c r="U241" i="32"/>
  <c r="U245" i="32"/>
  <c r="U249" i="32"/>
  <c r="S288" i="32"/>
  <c r="U269" i="32"/>
  <c r="U287" i="32"/>
  <c r="S287" i="32"/>
  <c r="U286" i="32"/>
  <c r="D270" i="16"/>
  <c r="D304" i="16"/>
  <c r="D305" i="16"/>
  <c r="D249" i="16"/>
  <c r="D265" i="16"/>
  <c r="D269" i="16"/>
  <c r="G49" i="32"/>
  <c r="I49" i="33" s="1"/>
  <c r="H260" i="32"/>
  <c r="J260" i="33" s="1"/>
  <c r="G259" i="32"/>
  <c r="I259" i="33" s="1"/>
  <c r="H246" i="32"/>
  <c r="J246" i="33" s="1"/>
  <c r="G245" i="32"/>
  <c r="I245" i="33" s="1"/>
  <c r="H237" i="32"/>
  <c r="J237" i="33" s="1"/>
  <c r="G236" i="32"/>
  <c r="I236" i="33" s="1"/>
  <c r="N236" i="33" s="1"/>
  <c r="J187" i="33"/>
  <c r="G186" i="32"/>
  <c r="I186" i="33" s="1"/>
  <c r="J94" i="33"/>
  <c r="G93" i="32"/>
  <c r="I93" i="33" s="1"/>
  <c r="N93" i="33" s="1"/>
  <c r="H48" i="32"/>
  <c r="G47" i="32"/>
  <c r="I47" i="33" s="1"/>
  <c r="H36" i="32"/>
  <c r="G35" i="32"/>
  <c r="I35" i="33" s="1"/>
  <c r="G248" i="32"/>
  <c r="I248" i="33" s="1"/>
  <c r="G216" i="32"/>
  <c r="I216" i="33" s="1"/>
  <c r="G210" i="32"/>
  <c r="I210" i="33" s="1"/>
  <c r="H215" i="32"/>
  <c r="G214" i="32"/>
  <c r="I214" i="33" s="1"/>
  <c r="H200" i="32"/>
  <c r="J200" i="33" s="1"/>
  <c r="G199" i="32"/>
  <c r="I199" i="33" s="1"/>
  <c r="J177" i="33"/>
  <c r="G176" i="32"/>
  <c r="I176" i="33" s="1"/>
  <c r="H103" i="32"/>
  <c r="G102" i="32"/>
  <c r="I102" i="33" s="1"/>
  <c r="G90" i="32"/>
  <c r="I90" i="33" s="1"/>
  <c r="H58" i="32"/>
  <c r="J58" i="33" s="1"/>
  <c r="G57" i="32"/>
  <c r="I57" i="33" s="1"/>
  <c r="H46" i="32"/>
  <c r="G45" i="32"/>
  <c r="I45" i="33" s="1"/>
  <c r="G305" i="32"/>
  <c r="I305" i="33" s="1"/>
  <c r="G241" i="32"/>
  <c r="I241" i="33" s="1"/>
  <c r="G33" i="32"/>
  <c r="I33" i="33" s="1"/>
  <c r="G111" i="32"/>
  <c r="I111" i="33" s="1"/>
  <c r="G270" i="32"/>
  <c r="I270" i="33" s="1"/>
  <c r="G142" i="32"/>
  <c r="I142" i="33" s="1"/>
  <c r="G110" i="32"/>
  <c r="I110" i="33" s="1"/>
  <c r="H3" i="32"/>
  <c r="G2" i="32"/>
  <c r="I2" i="33" s="1"/>
  <c r="H252" i="32"/>
  <c r="J252" i="33" s="1"/>
  <c r="G251" i="32"/>
  <c r="I251" i="33" s="1"/>
  <c r="H221" i="32"/>
  <c r="G220" i="32"/>
  <c r="I220" i="33" s="1"/>
  <c r="H213" i="32"/>
  <c r="J213" i="33" s="1"/>
  <c r="G212" i="32"/>
  <c r="H198" i="32"/>
  <c r="G197" i="32"/>
  <c r="I197" i="33" s="1"/>
  <c r="N197" i="33" s="1"/>
  <c r="H167" i="32"/>
  <c r="J167" i="33" s="1"/>
  <c r="G166" i="32"/>
  <c r="I166" i="33" s="1"/>
  <c r="H139" i="32"/>
  <c r="G138" i="32"/>
  <c r="I138" i="33" s="1"/>
  <c r="H109" i="32"/>
  <c r="G108" i="32"/>
  <c r="I108" i="33" s="1"/>
  <c r="N108" i="33" s="1"/>
  <c r="H101" i="32"/>
  <c r="G100" i="32"/>
  <c r="I100" i="33" s="1"/>
  <c r="J85" i="33"/>
  <c r="G84" i="32"/>
  <c r="I84" i="33" s="1"/>
  <c r="H56" i="32"/>
  <c r="G55" i="32"/>
  <c r="I55" i="33" s="1"/>
  <c r="H40" i="32"/>
  <c r="J40" i="33" s="1"/>
  <c r="G39" i="32"/>
  <c r="I39" i="33" s="1"/>
  <c r="H26" i="32"/>
  <c r="J26" i="33" s="1"/>
  <c r="G25" i="32"/>
  <c r="I25" i="33" s="1"/>
  <c r="H20" i="32"/>
  <c r="G19" i="32"/>
  <c r="I19" i="33" s="1"/>
  <c r="G232" i="32"/>
  <c r="I232" i="33" s="1"/>
  <c r="G104" i="32"/>
  <c r="I104" i="33" s="1"/>
  <c r="G65" i="32"/>
  <c r="I65" i="33" s="1"/>
  <c r="G98" i="32"/>
  <c r="I98" i="33" s="1"/>
  <c r="H250" i="32"/>
  <c r="H219" i="32"/>
  <c r="G218" i="32"/>
  <c r="I218" i="33" s="1"/>
  <c r="G195" i="32"/>
  <c r="I195" i="33" s="1"/>
  <c r="J189" i="33"/>
  <c r="G188" i="32"/>
  <c r="I188" i="33" s="1"/>
  <c r="H165" i="32"/>
  <c r="G164" i="32"/>
  <c r="I164" i="33" s="1"/>
  <c r="H135" i="32"/>
  <c r="G134" i="32"/>
  <c r="I134" i="33" s="1"/>
  <c r="H107" i="32"/>
  <c r="G106" i="32"/>
  <c r="I106" i="33" s="1"/>
  <c r="J81" i="33"/>
  <c r="G80" i="32"/>
  <c r="I80" i="33" s="1"/>
  <c r="H38" i="32"/>
  <c r="J38" i="33" s="1"/>
  <c r="G37" i="32"/>
  <c r="I37" i="33" s="1"/>
  <c r="N37" i="33" s="1"/>
  <c r="H14" i="32"/>
  <c r="G13" i="32"/>
  <c r="I13" i="33" s="1"/>
  <c r="N13" i="33" s="1"/>
  <c r="G257" i="32"/>
  <c r="I257" i="33" s="1"/>
  <c r="G97" i="32"/>
  <c r="I97" i="33" s="1"/>
  <c r="G50" i="32"/>
  <c r="I50" i="33" s="1"/>
  <c r="T2" i="32"/>
  <c r="V2" i="32"/>
  <c r="S2" i="32"/>
  <c r="F111" i="32"/>
  <c r="F112" i="32" s="1"/>
  <c r="F113" i="32" s="1"/>
  <c r="F114" i="32" s="1"/>
  <c r="F115" i="32" s="1"/>
  <c r="I115" i="32" s="1"/>
  <c r="H115" i="33" s="1"/>
  <c r="I37" i="32"/>
  <c r="H37" i="33" s="1"/>
  <c r="I17" i="32"/>
  <c r="H17" i="33" s="1"/>
  <c r="I97" i="32"/>
  <c r="H97" i="33" s="1"/>
  <c r="I15" i="32"/>
  <c r="H15" i="33" s="1"/>
  <c r="I14" i="32"/>
  <c r="H14" i="33" s="1"/>
  <c r="I13" i="32"/>
  <c r="H13" i="33" s="1"/>
  <c r="I53" i="32"/>
  <c r="H53" i="33" s="1"/>
  <c r="I49" i="32"/>
  <c r="H49" i="33" s="1"/>
  <c r="I73" i="32"/>
  <c r="H73" i="33" s="1"/>
  <c r="I65" i="32"/>
  <c r="H65" i="33" s="1"/>
  <c r="I57" i="32"/>
  <c r="H57" i="33" s="1"/>
  <c r="I41" i="32"/>
  <c r="H41" i="33" s="1"/>
  <c r="I33" i="32"/>
  <c r="H33" i="33" s="1"/>
  <c r="I25" i="32"/>
  <c r="H25" i="33" s="1"/>
  <c r="I104" i="32"/>
  <c r="H104" i="33" s="1"/>
  <c r="H80" i="33"/>
  <c r="I72" i="32"/>
  <c r="H72" i="33" s="1"/>
  <c r="I40" i="32"/>
  <c r="H40" i="33" s="1"/>
  <c r="I16" i="32"/>
  <c r="H16" i="33" s="1"/>
  <c r="I2" i="32"/>
  <c r="H2" i="33" s="1"/>
  <c r="I71" i="32"/>
  <c r="H71" i="33" s="1"/>
  <c r="I63" i="32"/>
  <c r="H63" i="33" s="1"/>
  <c r="I55" i="32"/>
  <c r="H55" i="33" s="1"/>
  <c r="I47" i="32"/>
  <c r="H47" i="33" s="1"/>
  <c r="I39" i="32"/>
  <c r="H39" i="33" s="1"/>
  <c r="I31" i="32"/>
  <c r="H31" i="33" s="1"/>
  <c r="I102" i="32"/>
  <c r="H102" i="33" s="1"/>
  <c r="I70" i="32"/>
  <c r="H70" i="33" s="1"/>
  <c r="I62" i="32"/>
  <c r="H62" i="33" s="1"/>
  <c r="I30" i="32"/>
  <c r="H30" i="33" s="1"/>
  <c r="H93" i="33"/>
  <c r="H77" i="33"/>
  <c r="I69" i="32"/>
  <c r="H69" i="33" s="1"/>
  <c r="I61" i="32"/>
  <c r="H61" i="33" s="1"/>
  <c r="I45" i="32"/>
  <c r="H45" i="33" s="1"/>
  <c r="I29" i="32"/>
  <c r="H29" i="33" s="1"/>
  <c r="I108" i="32"/>
  <c r="H108" i="33" s="1"/>
  <c r="I100" i="32"/>
  <c r="H100" i="33" s="1"/>
  <c r="H84" i="33"/>
  <c r="I76" i="32"/>
  <c r="H76" i="33" s="1"/>
  <c r="I68" i="32"/>
  <c r="H68" i="33" s="1"/>
  <c r="I60" i="32"/>
  <c r="H60" i="33" s="1"/>
  <c r="I52" i="32"/>
  <c r="H52" i="33" s="1"/>
  <c r="I28" i="32"/>
  <c r="H28" i="33" s="1"/>
  <c r="I20" i="32"/>
  <c r="H20" i="33" s="1"/>
  <c r="I75" i="32"/>
  <c r="H75" i="33" s="1"/>
  <c r="I67" i="32"/>
  <c r="H67" i="33" s="1"/>
  <c r="I59" i="32"/>
  <c r="H59" i="33" s="1"/>
  <c r="I51" i="32"/>
  <c r="H51" i="33" s="1"/>
  <c r="I43" i="32"/>
  <c r="H43" i="33" s="1"/>
  <c r="I35" i="32"/>
  <c r="H35" i="33" s="1"/>
  <c r="I27" i="32"/>
  <c r="H27" i="33" s="1"/>
  <c r="I19" i="32"/>
  <c r="H19" i="33" s="1"/>
  <c r="I106" i="32"/>
  <c r="H106" i="33" s="1"/>
  <c r="I98" i="32"/>
  <c r="H98" i="33" s="1"/>
  <c r="H90" i="33"/>
  <c r="I74" i="32"/>
  <c r="H74" i="33" s="1"/>
  <c r="I66" i="32"/>
  <c r="H66" i="33" s="1"/>
  <c r="I58" i="32"/>
  <c r="H58" i="33" s="1"/>
  <c r="I50" i="32"/>
  <c r="H50" i="33" s="1"/>
  <c r="I42" i="32"/>
  <c r="H42" i="33" s="1"/>
  <c r="I26" i="32"/>
  <c r="H26" i="33" s="1"/>
  <c r="I295" i="32"/>
  <c r="H295" i="33" s="1"/>
  <c r="I279" i="32"/>
  <c r="H279" i="33" s="1"/>
  <c r="I214" i="32"/>
  <c r="H214" i="33" s="1"/>
  <c r="I160" i="32"/>
  <c r="H160" i="33" s="1"/>
  <c r="I120" i="32"/>
  <c r="H120" i="33" s="1"/>
  <c r="I294" i="32"/>
  <c r="H294" i="33" s="1"/>
  <c r="I278" i="32"/>
  <c r="H278" i="33" s="1"/>
  <c r="I257" i="32"/>
  <c r="H257" i="33" s="1"/>
  <c r="I238" i="32"/>
  <c r="H238" i="33" s="1"/>
  <c r="I136" i="32"/>
  <c r="H136" i="33" s="1"/>
  <c r="I119" i="32"/>
  <c r="H119" i="33" s="1"/>
  <c r="I311" i="32"/>
  <c r="H311" i="33" s="1"/>
  <c r="I289" i="32"/>
  <c r="H289" i="33" s="1"/>
  <c r="I273" i="32"/>
  <c r="H273" i="33" s="1"/>
  <c r="I249" i="32"/>
  <c r="H249" i="33" s="1"/>
  <c r="I233" i="32"/>
  <c r="H233" i="33" s="1"/>
  <c r="I158" i="32"/>
  <c r="H158" i="33" s="1"/>
  <c r="I135" i="32"/>
  <c r="H135" i="33" s="1"/>
  <c r="I118" i="32"/>
  <c r="H118" i="33" s="1"/>
  <c r="I310" i="32"/>
  <c r="H310" i="33" s="1"/>
  <c r="I288" i="32"/>
  <c r="H288" i="33" s="1"/>
  <c r="I272" i="32"/>
  <c r="H272" i="33" s="1"/>
  <c r="I248" i="32"/>
  <c r="H248" i="33" s="1"/>
  <c r="I232" i="32"/>
  <c r="H232" i="33" s="1"/>
  <c r="I201" i="32"/>
  <c r="H201" i="33" s="1"/>
  <c r="I129" i="32"/>
  <c r="H129" i="33" s="1"/>
  <c r="I305" i="32"/>
  <c r="H305" i="33" s="1"/>
  <c r="I287" i="32"/>
  <c r="H287" i="33" s="1"/>
  <c r="I271" i="32"/>
  <c r="H271" i="33" s="1"/>
  <c r="I225" i="32"/>
  <c r="H225" i="33" s="1"/>
  <c r="I200" i="32"/>
  <c r="H200" i="33" s="1"/>
  <c r="I128" i="32"/>
  <c r="H128" i="33" s="1"/>
  <c r="I286" i="32"/>
  <c r="H286" i="33" s="1"/>
  <c r="I270" i="32"/>
  <c r="H270" i="33" s="1"/>
  <c r="I246" i="32"/>
  <c r="H246" i="33" s="1"/>
  <c r="I199" i="32"/>
  <c r="H199" i="33" s="1"/>
  <c r="H176" i="33"/>
  <c r="I144" i="32"/>
  <c r="H144" i="33" s="1"/>
  <c r="I297" i="32"/>
  <c r="H297" i="33" s="1"/>
  <c r="I281" i="32"/>
  <c r="H281" i="33" s="1"/>
  <c r="I241" i="32"/>
  <c r="H241" i="33" s="1"/>
  <c r="I216" i="32"/>
  <c r="H216" i="33" s="1"/>
  <c r="I169" i="32"/>
  <c r="H169" i="33" s="1"/>
  <c r="I126" i="32"/>
  <c r="H126" i="33" s="1"/>
  <c r="I296" i="32"/>
  <c r="H296" i="33" s="1"/>
  <c r="I280" i="32"/>
  <c r="H280" i="33" s="1"/>
  <c r="I142" i="32"/>
  <c r="H142" i="33" s="1"/>
  <c r="I254" i="32"/>
  <c r="H254" i="33" s="1"/>
  <c r="I166" i="32"/>
  <c r="H166" i="33" s="1"/>
  <c r="I150" i="32"/>
  <c r="H150" i="33" s="1"/>
  <c r="I134" i="32"/>
  <c r="H134" i="33" s="1"/>
  <c r="I309" i="32"/>
  <c r="H309" i="33" s="1"/>
  <c r="I293" i="32"/>
  <c r="H293" i="33" s="1"/>
  <c r="I285" i="32"/>
  <c r="H285" i="33" s="1"/>
  <c r="I277" i="32"/>
  <c r="H277" i="33" s="1"/>
  <c r="I261" i="32"/>
  <c r="H261" i="33" s="1"/>
  <c r="I253" i="32"/>
  <c r="H253" i="33" s="1"/>
  <c r="I245" i="32"/>
  <c r="H245" i="33" s="1"/>
  <c r="I237" i="32"/>
  <c r="H237" i="33" s="1"/>
  <c r="I229" i="32"/>
  <c r="H229" i="33" s="1"/>
  <c r="I221" i="32"/>
  <c r="H221" i="33" s="1"/>
  <c r="H197" i="33"/>
  <c r="I125" i="32"/>
  <c r="H125" i="33" s="1"/>
  <c r="I117" i="32"/>
  <c r="H117" i="33" s="1"/>
  <c r="I224" i="32"/>
  <c r="H224" i="33" s="1"/>
  <c r="I168" i="32"/>
  <c r="H168" i="33" s="1"/>
  <c r="I152" i="32"/>
  <c r="H152" i="33" s="1"/>
  <c r="I230" i="32"/>
  <c r="H230" i="33" s="1"/>
  <c r="I222" i="32"/>
  <c r="H222" i="33" s="1"/>
  <c r="I308" i="32"/>
  <c r="H308" i="33" s="1"/>
  <c r="I300" i="32"/>
  <c r="H300" i="33" s="1"/>
  <c r="I292" i="32"/>
  <c r="H292" i="33" s="1"/>
  <c r="I284" i="32"/>
  <c r="H284" i="33" s="1"/>
  <c r="I276" i="32"/>
  <c r="H276" i="33" s="1"/>
  <c r="I260" i="32"/>
  <c r="H260" i="33" s="1"/>
  <c r="I252" i="32"/>
  <c r="H252" i="33" s="1"/>
  <c r="I236" i="32"/>
  <c r="H236" i="33" s="1"/>
  <c r="I228" i="32"/>
  <c r="H228" i="33" s="1"/>
  <c r="I220" i="32"/>
  <c r="H220" i="33" s="1"/>
  <c r="I212" i="32"/>
  <c r="H212" i="33" s="1"/>
  <c r="H172" i="33"/>
  <c r="I164" i="32"/>
  <c r="H164" i="33" s="1"/>
  <c r="I156" i="32"/>
  <c r="H156" i="33" s="1"/>
  <c r="I148" i="32"/>
  <c r="H148" i="33" s="1"/>
  <c r="I140" i="32"/>
  <c r="H140" i="33" s="1"/>
  <c r="I132" i="32"/>
  <c r="H132" i="33" s="1"/>
  <c r="I124" i="32"/>
  <c r="H124" i="33" s="1"/>
  <c r="I116" i="32"/>
  <c r="H116" i="33" s="1"/>
  <c r="I255" i="32"/>
  <c r="H255" i="33" s="1"/>
  <c r="I223" i="32"/>
  <c r="H223" i="33" s="1"/>
  <c r="I167" i="32"/>
  <c r="H167" i="33" s="1"/>
  <c r="I307" i="32"/>
  <c r="H307" i="33" s="1"/>
  <c r="I299" i="32"/>
  <c r="H299" i="33" s="1"/>
  <c r="I291" i="32"/>
  <c r="H291" i="33" s="1"/>
  <c r="I283" i="32"/>
  <c r="H283" i="33" s="1"/>
  <c r="I275" i="32"/>
  <c r="H275" i="33" s="1"/>
  <c r="I259" i="32"/>
  <c r="H259" i="33" s="1"/>
  <c r="I251" i="32"/>
  <c r="H251" i="33" s="1"/>
  <c r="I227" i="32"/>
  <c r="H227" i="33" s="1"/>
  <c r="I203" i="32"/>
  <c r="H203" i="33" s="1"/>
  <c r="H195" i="33"/>
  <c r="I171" i="32"/>
  <c r="H171" i="33" s="1"/>
  <c r="I139" i="32"/>
  <c r="H139" i="33" s="1"/>
  <c r="I131" i="32"/>
  <c r="H131" i="33" s="1"/>
  <c r="I123" i="32"/>
  <c r="H123" i="33" s="1"/>
  <c r="I306" i="32"/>
  <c r="H306" i="33" s="1"/>
  <c r="I298" i="32"/>
  <c r="H298" i="33" s="1"/>
  <c r="I290" i="32"/>
  <c r="H290" i="33" s="1"/>
  <c r="I282" i="32"/>
  <c r="H282" i="33" s="1"/>
  <c r="I274" i="32"/>
  <c r="H274" i="33" s="1"/>
  <c r="I242" i="32"/>
  <c r="H242" i="33" s="1"/>
  <c r="I234" i="32"/>
  <c r="H234" i="33" s="1"/>
  <c r="I226" i="32"/>
  <c r="H226" i="33" s="1"/>
  <c r="I218" i="32"/>
  <c r="H218" i="33" s="1"/>
  <c r="I210" i="32"/>
  <c r="H210" i="33" s="1"/>
  <c r="I202" i="32"/>
  <c r="H202" i="33" s="1"/>
  <c r="H186" i="33"/>
  <c r="I170" i="32"/>
  <c r="H170" i="33" s="1"/>
  <c r="I162" i="32"/>
  <c r="H162" i="33" s="1"/>
  <c r="I154" i="32"/>
  <c r="H154" i="33" s="1"/>
  <c r="I146" i="32"/>
  <c r="H146" i="33" s="1"/>
  <c r="I138" i="32"/>
  <c r="H138" i="33" s="1"/>
  <c r="I130" i="32"/>
  <c r="H130" i="33" s="1"/>
  <c r="I122" i="32"/>
  <c r="H122" i="33" s="1"/>
  <c r="R2" i="32"/>
  <c r="Q3" i="33"/>
  <c r="R3" i="33"/>
  <c r="Q4" i="33"/>
  <c r="R4" i="33"/>
  <c r="Q5" i="33"/>
  <c r="R5" i="33"/>
  <c r="Q6" i="33"/>
  <c r="R6" i="33"/>
  <c r="Q7" i="33"/>
  <c r="R7" i="33"/>
  <c r="Q8" i="33"/>
  <c r="R8" i="33"/>
  <c r="Q9" i="33"/>
  <c r="R9" i="33"/>
  <c r="Q10" i="33"/>
  <c r="R10" i="33"/>
  <c r="Q11" i="33"/>
  <c r="R11" i="33"/>
  <c r="Q12" i="33"/>
  <c r="R12" i="33"/>
  <c r="Q13" i="33"/>
  <c r="R13" i="33"/>
  <c r="Q14" i="33"/>
  <c r="R14" i="33"/>
  <c r="Q15" i="33"/>
  <c r="R15" i="33"/>
  <c r="Q16" i="33"/>
  <c r="R16" i="33"/>
  <c r="Q17" i="33"/>
  <c r="R17" i="33"/>
  <c r="Q18" i="33"/>
  <c r="R18" i="33"/>
  <c r="Q19" i="33"/>
  <c r="R19" i="33"/>
  <c r="Q20" i="33"/>
  <c r="R20" i="33"/>
  <c r="Q21" i="33"/>
  <c r="R21" i="33"/>
  <c r="Q22" i="33"/>
  <c r="R22" i="33"/>
  <c r="Q23" i="33"/>
  <c r="R23" i="33"/>
  <c r="Q24" i="33"/>
  <c r="R24" i="33"/>
  <c r="Q25" i="33"/>
  <c r="R25" i="33"/>
  <c r="Q26" i="33"/>
  <c r="R26" i="33"/>
  <c r="Q27" i="33"/>
  <c r="R27" i="33"/>
  <c r="Q28" i="33"/>
  <c r="R28" i="33"/>
  <c r="Q29" i="33"/>
  <c r="R29" i="33"/>
  <c r="Q30" i="33"/>
  <c r="R30" i="33"/>
  <c r="Q31" i="33"/>
  <c r="R31" i="33"/>
  <c r="Q32" i="33"/>
  <c r="R32" i="33"/>
  <c r="Q33" i="33"/>
  <c r="R33" i="33"/>
  <c r="Q34" i="33"/>
  <c r="R34" i="33"/>
  <c r="Q35" i="33"/>
  <c r="R35" i="33"/>
  <c r="Q36" i="33"/>
  <c r="R36" i="33"/>
  <c r="Q37" i="33"/>
  <c r="R37" i="33"/>
  <c r="Q38" i="33"/>
  <c r="R38" i="33"/>
  <c r="Q39" i="33"/>
  <c r="R39" i="33"/>
  <c r="Q40" i="33"/>
  <c r="R40" i="33"/>
  <c r="Q41" i="33"/>
  <c r="R41" i="33"/>
  <c r="Q42" i="33"/>
  <c r="R42" i="33"/>
  <c r="Q43" i="33"/>
  <c r="R43" i="33"/>
  <c r="Q44" i="33"/>
  <c r="R44" i="33"/>
  <c r="Q45" i="33"/>
  <c r="R45" i="33"/>
  <c r="Q46" i="33"/>
  <c r="R46" i="33"/>
  <c r="Q47" i="33"/>
  <c r="R47" i="33"/>
  <c r="Q48" i="33"/>
  <c r="R48" i="33"/>
  <c r="Q49" i="33"/>
  <c r="R49" i="33"/>
  <c r="Q50" i="33"/>
  <c r="R50" i="33"/>
  <c r="Q51" i="33"/>
  <c r="R51" i="33"/>
  <c r="Q52" i="33"/>
  <c r="R52" i="33"/>
  <c r="Q53" i="33"/>
  <c r="R53" i="33"/>
  <c r="Q54" i="33"/>
  <c r="R54" i="33"/>
  <c r="Q55" i="33"/>
  <c r="R55" i="33"/>
  <c r="Q56" i="33"/>
  <c r="R56" i="33"/>
  <c r="Q57" i="33"/>
  <c r="R57" i="33"/>
  <c r="Q58" i="33"/>
  <c r="R58" i="33"/>
  <c r="Q59" i="33"/>
  <c r="R59" i="33"/>
  <c r="Q60" i="33"/>
  <c r="R60" i="33"/>
  <c r="Q61" i="33"/>
  <c r="R61" i="33"/>
  <c r="Q62" i="33"/>
  <c r="R62" i="33"/>
  <c r="Q63" i="33"/>
  <c r="R63" i="33"/>
  <c r="Q64" i="33"/>
  <c r="R64" i="33"/>
  <c r="Q65" i="33"/>
  <c r="R65" i="33"/>
  <c r="Q66" i="33"/>
  <c r="R66" i="33"/>
  <c r="Q67" i="33"/>
  <c r="R67" i="33"/>
  <c r="Q68" i="33"/>
  <c r="R68" i="33"/>
  <c r="Q69" i="33"/>
  <c r="R69" i="33"/>
  <c r="Q70" i="33"/>
  <c r="R70" i="33"/>
  <c r="Q71" i="33"/>
  <c r="R71" i="33"/>
  <c r="Q72" i="33"/>
  <c r="R72" i="33"/>
  <c r="Q73" i="33"/>
  <c r="R73" i="33"/>
  <c r="Q74" i="33"/>
  <c r="R74" i="33"/>
  <c r="Q75" i="33"/>
  <c r="R75" i="33"/>
  <c r="Q76" i="33"/>
  <c r="R76" i="33"/>
  <c r="Q77" i="33"/>
  <c r="R77" i="33"/>
  <c r="Q78" i="33"/>
  <c r="R78" i="33"/>
  <c r="Q79" i="33"/>
  <c r="R79" i="33"/>
  <c r="Q80" i="33"/>
  <c r="R80" i="33"/>
  <c r="Q81" i="33"/>
  <c r="R81" i="33"/>
  <c r="Q82" i="33"/>
  <c r="R82" i="33"/>
  <c r="Q83" i="33"/>
  <c r="R83" i="33"/>
  <c r="Q84" i="33"/>
  <c r="R84" i="33"/>
  <c r="Q85" i="33"/>
  <c r="R85" i="33"/>
  <c r="Q86" i="33"/>
  <c r="R86" i="33"/>
  <c r="Q87" i="33"/>
  <c r="R87" i="33"/>
  <c r="Q88" i="33"/>
  <c r="R88" i="33"/>
  <c r="Q89" i="33"/>
  <c r="R89" i="33"/>
  <c r="Q90" i="33"/>
  <c r="R90" i="33"/>
  <c r="Q91" i="33"/>
  <c r="R91" i="33"/>
  <c r="Q92" i="33"/>
  <c r="R92" i="33"/>
  <c r="Q93" i="33"/>
  <c r="R93" i="33"/>
  <c r="Q94" i="33"/>
  <c r="R94" i="33"/>
  <c r="Q95" i="33"/>
  <c r="R95" i="33"/>
  <c r="Q96" i="33"/>
  <c r="R96" i="33"/>
  <c r="Q97" i="33"/>
  <c r="R97" i="33"/>
  <c r="Q98" i="33"/>
  <c r="R98" i="33"/>
  <c r="Q99" i="33"/>
  <c r="R99" i="33"/>
  <c r="Q100" i="33"/>
  <c r="R100" i="33"/>
  <c r="Q101" i="33"/>
  <c r="R101" i="33"/>
  <c r="Q102" i="33"/>
  <c r="R102" i="33"/>
  <c r="Q103" i="33"/>
  <c r="R103" i="33"/>
  <c r="Q104" i="33"/>
  <c r="R104" i="33"/>
  <c r="Q105" i="33"/>
  <c r="R105" i="33"/>
  <c r="Q106" i="33"/>
  <c r="R106" i="33"/>
  <c r="Q107" i="33"/>
  <c r="R107" i="33"/>
  <c r="Q108" i="33"/>
  <c r="R108" i="33"/>
  <c r="Q109" i="33"/>
  <c r="R109" i="33"/>
  <c r="Q110" i="33"/>
  <c r="R110" i="33"/>
  <c r="Q111" i="33"/>
  <c r="R111" i="33"/>
  <c r="Q112" i="33"/>
  <c r="R112" i="33"/>
  <c r="Q113" i="33"/>
  <c r="R113" i="33"/>
  <c r="Q114" i="33"/>
  <c r="R114" i="33"/>
  <c r="Q115" i="33"/>
  <c r="R115" i="33"/>
  <c r="Q116" i="33"/>
  <c r="R116" i="33"/>
  <c r="Q117" i="33"/>
  <c r="R117" i="33"/>
  <c r="Q118" i="33"/>
  <c r="R118" i="33"/>
  <c r="Q119" i="33"/>
  <c r="R119" i="33"/>
  <c r="Q120" i="33"/>
  <c r="R120" i="33"/>
  <c r="Q121" i="33"/>
  <c r="R121" i="33"/>
  <c r="Q122" i="33"/>
  <c r="R122" i="33"/>
  <c r="Q123" i="33"/>
  <c r="R123" i="33"/>
  <c r="Q124" i="33"/>
  <c r="R124" i="33"/>
  <c r="Q125" i="33"/>
  <c r="R125" i="33"/>
  <c r="Q126" i="33"/>
  <c r="R126" i="33"/>
  <c r="Q127" i="33"/>
  <c r="R127" i="33"/>
  <c r="Q128" i="33"/>
  <c r="R128" i="33"/>
  <c r="Q129" i="33"/>
  <c r="R129" i="33"/>
  <c r="Q130" i="33"/>
  <c r="R130" i="33"/>
  <c r="Q131" i="33"/>
  <c r="R131" i="33"/>
  <c r="Q132" i="33"/>
  <c r="R132" i="33"/>
  <c r="Q133" i="33"/>
  <c r="R133" i="33"/>
  <c r="Q134" i="33"/>
  <c r="R134" i="33"/>
  <c r="Q135" i="33"/>
  <c r="R135" i="33"/>
  <c r="Q136" i="33"/>
  <c r="R136" i="33"/>
  <c r="R137" i="33"/>
  <c r="Q138" i="33"/>
  <c r="R138" i="33"/>
  <c r="R139" i="33"/>
  <c r="Q140" i="33"/>
  <c r="R140" i="33"/>
  <c r="R141" i="33"/>
  <c r="Q142" i="33"/>
  <c r="R142" i="33"/>
  <c r="Q143" i="33"/>
  <c r="R143" i="33"/>
  <c r="Q144" i="33"/>
  <c r="R144" i="33"/>
  <c r="Q145" i="33"/>
  <c r="R145" i="33"/>
  <c r="Q146" i="33"/>
  <c r="R146" i="33"/>
  <c r="Q147" i="33"/>
  <c r="R147" i="33"/>
  <c r="Q148" i="33"/>
  <c r="R148" i="33"/>
  <c r="Q149" i="33"/>
  <c r="R149" i="33"/>
  <c r="Q150" i="33"/>
  <c r="R150" i="33"/>
  <c r="Q151" i="33"/>
  <c r="R151" i="33"/>
  <c r="Q152" i="33"/>
  <c r="R152" i="33"/>
  <c r="Q153" i="33"/>
  <c r="R153" i="33"/>
  <c r="Q154" i="33"/>
  <c r="R154" i="33"/>
  <c r="Q155" i="33"/>
  <c r="R155" i="33"/>
  <c r="Q156" i="33"/>
  <c r="R156" i="33"/>
  <c r="Q157" i="33"/>
  <c r="R157" i="33"/>
  <c r="Q158" i="33"/>
  <c r="R158" i="33"/>
  <c r="Q159" i="33"/>
  <c r="R159" i="33"/>
  <c r="Q160" i="33"/>
  <c r="R160" i="33"/>
  <c r="Q161" i="33"/>
  <c r="R161" i="33"/>
  <c r="Q162" i="33"/>
  <c r="R162" i="33"/>
  <c r="Q163" i="33"/>
  <c r="R163" i="33"/>
  <c r="Q164" i="33"/>
  <c r="R164" i="33"/>
  <c r="Q165" i="33"/>
  <c r="R165" i="33"/>
  <c r="Q166" i="33"/>
  <c r="R166" i="33"/>
  <c r="Q167" i="33"/>
  <c r="R167" i="33"/>
  <c r="Q168" i="33"/>
  <c r="R168" i="33"/>
  <c r="Q169" i="33"/>
  <c r="R169" i="33"/>
  <c r="Q170" i="33"/>
  <c r="R170" i="33"/>
  <c r="Q171" i="33"/>
  <c r="R171" i="33"/>
  <c r="Q172" i="33"/>
  <c r="R172" i="33"/>
  <c r="Q173" i="33"/>
  <c r="R173" i="33"/>
  <c r="Q174" i="33"/>
  <c r="R174" i="33"/>
  <c r="Q175" i="33"/>
  <c r="R175" i="33"/>
  <c r="Q176" i="33"/>
  <c r="R176" i="33"/>
  <c r="Q177" i="33"/>
  <c r="R177" i="33"/>
  <c r="Q178" i="33"/>
  <c r="R178" i="33"/>
  <c r="Q179" i="33"/>
  <c r="R179" i="33"/>
  <c r="Q180" i="33"/>
  <c r="R180" i="33"/>
  <c r="Q181" i="33"/>
  <c r="R181" i="33"/>
  <c r="Q182" i="33"/>
  <c r="R182" i="33"/>
  <c r="Q183" i="33"/>
  <c r="R183" i="33"/>
  <c r="Q184" i="33"/>
  <c r="R184" i="33"/>
  <c r="Q185" i="33"/>
  <c r="R185" i="33"/>
  <c r="Q186" i="33"/>
  <c r="R186" i="33"/>
  <c r="Q187" i="33"/>
  <c r="R187" i="33"/>
  <c r="Q188" i="33"/>
  <c r="R188" i="33"/>
  <c r="Q189" i="33"/>
  <c r="R189" i="33"/>
  <c r="Q190" i="33"/>
  <c r="R190" i="33"/>
  <c r="Q191" i="33"/>
  <c r="R191" i="33"/>
  <c r="Q192" i="33"/>
  <c r="R192" i="33"/>
  <c r="Q193" i="33"/>
  <c r="R193" i="33"/>
  <c r="Q194" i="33"/>
  <c r="R194" i="33"/>
  <c r="Q195" i="33"/>
  <c r="R195" i="33"/>
  <c r="Q196" i="33"/>
  <c r="R196" i="33"/>
  <c r="Q197" i="33"/>
  <c r="R197" i="33"/>
  <c r="Q198" i="33"/>
  <c r="R198" i="33"/>
  <c r="Q199" i="33"/>
  <c r="R199" i="33"/>
  <c r="Q200" i="33"/>
  <c r="R200" i="33"/>
  <c r="Q201" i="33"/>
  <c r="R201" i="33"/>
  <c r="Q202" i="33"/>
  <c r="R202" i="33"/>
  <c r="Q203" i="33"/>
  <c r="R203" i="33"/>
  <c r="Q204" i="33"/>
  <c r="R204" i="33"/>
  <c r="Q205" i="33"/>
  <c r="R205" i="33"/>
  <c r="Q206" i="33"/>
  <c r="R206" i="33"/>
  <c r="Q207" i="33"/>
  <c r="R207" i="33"/>
  <c r="Q208" i="33"/>
  <c r="R208" i="33"/>
  <c r="Q209" i="33"/>
  <c r="R209" i="33"/>
  <c r="Q210" i="33"/>
  <c r="R210" i="33"/>
  <c r="Q211" i="33"/>
  <c r="R211" i="33"/>
  <c r="Q212" i="33"/>
  <c r="R212" i="33"/>
  <c r="Q213" i="33"/>
  <c r="R213" i="33"/>
  <c r="Q214" i="33"/>
  <c r="R214" i="33"/>
  <c r="Q215" i="33"/>
  <c r="R215" i="33"/>
  <c r="Q216" i="33"/>
  <c r="R216" i="33"/>
  <c r="Q217" i="33"/>
  <c r="R217" i="33"/>
  <c r="Q218" i="33"/>
  <c r="R218" i="33"/>
  <c r="Q219" i="33"/>
  <c r="R219" i="33"/>
  <c r="Q220" i="33"/>
  <c r="R220" i="33"/>
  <c r="Q221" i="33"/>
  <c r="R221" i="33"/>
  <c r="Q222" i="33"/>
  <c r="R222" i="33"/>
  <c r="Q223" i="33"/>
  <c r="R223" i="33"/>
  <c r="Q224" i="33"/>
  <c r="R224" i="33"/>
  <c r="Q225" i="33"/>
  <c r="R225" i="33"/>
  <c r="Q226" i="33"/>
  <c r="R226" i="33"/>
  <c r="Q227" i="33"/>
  <c r="R227" i="33"/>
  <c r="Q228" i="33"/>
  <c r="R228" i="33"/>
  <c r="Q229" i="33"/>
  <c r="R229" i="33"/>
  <c r="Q230" i="33"/>
  <c r="R230" i="33"/>
  <c r="Q231" i="33"/>
  <c r="R231" i="33"/>
  <c r="Q232" i="33"/>
  <c r="R232" i="33"/>
  <c r="Q233" i="33"/>
  <c r="R233" i="33"/>
  <c r="Q234" i="33"/>
  <c r="R234" i="33"/>
  <c r="Q235" i="33"/>
  <c r="R235" i="33"/>
  <c r="Q236" i="33"/>
  <c r="R236" i="33"/>
  <c r="Q237" i="33"/>
  <c r="R237" i="33"/>
  <c r="Q238" i="33"/>
  <c r="R238" i="33"/>
  <c r="Q239" i="33"/>
  <c r="R239" i="33"/>
  <c r="Q240" i="33"/>
  <c r="R240" i="33"/>
  <c r="Q241" i="33"/>
  <c r="R241" i="33"/>
  <c r="Q242" i="33"/>
  <c r="R242" i="33"/>
  <c r="Q243" i="33"/>
  <c r="R243" i="33"/>
  <c r="Q244" i="33"/>
  <c r="R244" i="33"/>
  <c r="Q245" i="33"/>
  <c r="R245" i="33"/>
  <c r="Q246" i="33"/>
  <c r="R246" i="33"/>
  <c r="Q247" i="33"/>
  <c r="R247" i="33"/>
  <c r="Q248" i="33"/>
  <c r="R248" i="33"/>
  <c r="Q249" i="33"/>
  <c r="R249" i="33"/>
  <c r="Q250" i="33"/>
  <c r="R250" i="33"/>
  <c r="Q251" i="33"/>
  <c r="R251" i="33"/>
  <c r="Q252" i="33"/>
  <c r="R252" i="33"/>
  <c r="Q253" i="33"/>
  <c r="R253" i="33"/>
  <c r="Q254" i="33"/>
  <c r="R254" i="33"/>
  <c r="Q255" i="33"/>
  <c r="R255" i="33"/>
  <c r="Q256" i="33"/>
  <c r="R256" i="33"/>
  <c r="Q257" i="33"/>
  <c r="R257" i="33"/>
  <c r="Q258" i="33"/>
  <c r="R258" i="33"/>
  <c r="Q259" i="33"/>
  <c r="R259" i="33"/>
  <c r="Q260" i="33"/>
  <c r="R260" i="33"/>
  <c r="Q261" i="33"/>
  <c r="R261" i="33"/>
  <c r="Q262" i="33"/>
  <c r="R262" i="33"/>
  <c r="Q263" i="33"/>
  <c r="R263" i="33"/>
  <c r="Q264" i="33"/>
  <c r="R264" i="33"/>
  <c r="Q265" i="33"/>
  <c r="R265" i="33"/>
  <c r="Q266" i="33"/>
  <c r="R266" i="33"/>
  <c r="Q267" i="33"/>
  <c r="R267" i="33"/>
  <c r="Q268" i="33"/>
  <c r="R268" i="33"/>
  <c r="Q269" i="33"/>
  <c r="R269" i="33"/>
  <c r="Q270" i="33"/>
  <c r="R270" i="33"/>
  <c r="Q271" i="33"/>
  <c r="R271" i="33"/>
  <c r="Q272" i="33"/>
  <c r="R272" i="33"/>
  <c r="Q273" i="33"/>
  <c r="R273" i="33"/>
  <c r="Q274" i="33"/>
  <c r="R274" i="33"/>
  <c r="Q275" i="33"/>
  <c r="R275" i="33"/>
  <c r="Q276" i="33"/>
  <c r="R276" i="33"/>
  <c r="Q277" i="33"/>
  <c r="R277" i="33"/>
  <c r="Q278" i="33"/>
  <c r="R278" i="33"/>
  <c r="Q279" i="33"/>
  <c r="R279" i="33"/>
  <c r="Q280" i="33"/>
  <c r="R280" i="33"/>
  <c r="Q281" i="33"/>
  <c r="R281" i="33"/>
  <c r="Q282" i="33"/>
  <c r="R282" i="33"/>
  <c r="Q283" i="33"/>
  <c r="R283" i="33"/>
  <c r="Q284" i="33"/>
  <c r="R284" i="33"/>
  <c r="Q285" i="33"/>
  <c r="R285" i="33"/>
  <c r="Q286" i="33"/>
  <c r="R286" i="33"/>
  <c r="Q287" i="33"/>
  <c r="R287" i="33"/>
  <c r="Q288" i="33"/>
  <c r="R288" i="33"/>
  <c r="Q289" i="33"/>
  <c r="R289" i="33"/>
  <c r="Q290" i="33"/>
  <c r="R290" i="33"/>
  <c r="Q291" i="33"/>
  <c r="R291" i="33"/>
  <c r="Q292" i="33"/>
  <c r="R292" i="33"/>
  <c r="Q293" i="33"/>
  <c r="R293" i="33"/>
  <c r="Q294" i="33"/>
  <c r="R294" i="33"/>
  <c r="Q295" i="33"/>
  <c r="R295" i="33"/>
  <c r="Q296" i="33"/>
  <c r="R296" i="33"/>
  <c r="Q297" i="33"/>
  <c r="R297" i="33"/>
  <c r="Q298" i="33"/>
  <c r="R298" i="33"/>
  <c r="Q299" i="33"/>
  <c r="R299" i="33"/>
  <c r="Q300" i="33"/>
  <c r="R300" i="33"/>
  <c r="Q301" i="33"/>
  <c r="R301" i="33"/>
  <c r="Q302" i="33"/>
  <c r="R302" i="33"/>
  <c r="Q303" i="33"/>
  <c r="R303" i="33"/>
  <c r="Q304" i="33"/>
  <c r="R304" i="33"/>
  <c r="Q305" i="33"/>
  <c r="R305" i="33"/>
  <c r="Q306" i="33"/>
  <c r="R306" i="33"/>
  <c r="Q307" i="33"/>
  <c r="R307" i="33"/>
  <c r="Q308" i="33"/>
  <c r="R308" i="33"/>
  <c r="Q309" i="33"/>
  <c r="R309" i="33"/>
  <c r="Q310" i="33"/>
  <c r="R310" i="33"/>
  <c r="Q311" i="33"/>
  <c r="R311" i="33"/>
  <c r="Q312" i="33"/>
  <c r="R312" i="33"/>
  <c r="R2" i="33"/>
  <c r="Q2" i="33"/>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8" i="16"/>
  <c r="F62"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5" i="16"/>
  <c r="F236" i="16"/>
  <c r="F237" i="16"/>
  <c r="F238" i="16"/>
  <c r="F239" i="16"/>
  <c r="F241"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2" i="16"/>
  <c r="E2" i="16"/>
  <c r="E3" i="16"/>
  <c r="E6" i="16"/>
  <c r="E11" i="16"/>
  <c r="E13" i="16"/>
  <c r="E14" i="16"/>
  <c r="E15" i="16"/>
  <c r="E16" i="16"/>
  <c r="E17" i="16"/>
  <c r="E18" i="16"/>
  <c r="E19" i="16"/>
  <c r="E20" i="16"/>
  <c r="E21"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5" i="16"/>
  <c r="E196" i="16"/>
  <c r="E197" i="16"/>
  <c r="E198" i="16"/>
  <c r="E199" i="16"/>
  <c r="E200" i="16"/>
  <c r="E201" i="16"/>
  <c r="E202" i="16"/>
  <c r="E203" i="16"/>
  <c r="E204"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1" i="16"/>
  <c r="E242" i="16"/>
  <c r="E243" i="16"/>
  <c r="E246" i="16"/>
  <c r="E247" i="16"/>
  <c r="E257" i="16"/>
  <c r="E258" i="16"/>
  <c r="E259" i="16"/>
  <c r="E260" i="16"/>
  <c r="E261" i="16"/>
  <c r="E262" i="16"/>
  <c r="E276" i="16"/>
  <c r="E277" i="16"/>
  <c r="E278" i="16"/>
  <c r="E279" i="16"/>
  <c r="E280" i="16"/>
  <c r="E281" i="16"/>
  <c r="E282" i="16"/>
  <c r="E283" i="16"/>
  <c r="E284" i="16"/>
  <c r="E285" i="16"/>
  <c r="E287" i="16"/>
  <c r="E288" i="16"/>
  <c r="E289" i="16"/>
  <c r="E290" i="16"/>
  <c r="E291" i="16"/>
  <c r="E292" i="16"/>
  <c r="E293" i="16"/>
  <c r="E294" i="16"/>
  <c r="E295" i="16"/>
  <c r="E296" i="16"/>
  <c r="E297" i="16"/>
  <c r="E309" i="16"/>
  <c r="E310" i="16"/>
  <c r="E311" i="16"/>
  <c r="E312" i="16"/>
  <c r="A204" i="20"/>
  <c r="B204" i="20"/>
  <c r="C204" i="20"/>
  <c r="E204" i="20"/>
  <c r="F204" i="20"/>
  <c r="G204" i="20"/>
  <c r="H204" i="20"/>
  <c r="A205" i="20"/>
  <c r="B205" i="20"/>
  <c r="C205" i="20"/>
  <c r="E205" i="20"/>
  <c r="F205" i="20"/>
  <c r="G205" i="20"/>
  <c r="H205" i="20"/>
  <c r="A200" i="20"/>
  <c r="C190" i="20"/>
  <c r="H193" i="20"/>
  <c r="H192" i="20"/>
  <c r="T1" i="33"/>
  <c r="K2" i="33"/>
  <c r="S23" i="33"/>
  <c r="S2" i="33"/>
  <c r="S3" i="33"/>
  <c r="S4" i="33"/>
  <c r="S5" i="33"/>
  <c r="S6" i="33"/>
  <c r="S7" i="33"/>
  <c r="S8" i="33"/>
  <c r="S9" i="33"/>
  <c r="S10" i="33"/>
  <c r="S11" i="33"/>
  <c r="S12" i="33"/>
  <c r="S13" i="33"/>
  <c r="S14" i="33"/>
  <c r="S15" i="33"/>
  <c r="S16" i="33"/>
  <c r="S17" i="33"/>
  <c r="S18" i="33"/>
  <c r="S19" i="33"/>
  <c r="S20" i="33"/>
  <c r="S21" i="33"/>
  <c r="S22" i="33"/>
  <c r="S24" i="33"/>
  <c r="S25" i="33"/>
  <c r="S26" i="33"/>
  <c r="S27" i="33"/>
  <c r="S28" i="33"/>
  <c r="S29" i="33"/>
  <c r="S30" i="33"/>
  <c r="S31" i="33"/>
  <c r="S32" i="33"/>
  <c r="S33" i="33"/>
  <c r="S34" i="33"/>
  <c r="S35" i="33"/>
  <c r="S36" i="33"/>
  <c r="S37" i="33"/>
  <c r="S38" i="33"/>
  <c r="S39" i="33"/>
  <c r="S40" i="33"/>
  <c r="S41" i="33"/>
  <c r="S42" i="33"/>
  <c r="S43" i="33"/>
  <c r="S44" i="33"/>
  <c r="S45" i="33"/>
  <c r="S46" i="33"/>
  <c r="S47" i="33"/>
  <c r="S48" i="33"/>
  <c r="S49" i="33"/>
  <c r="S50" i="33"/>
  <c r="S51" i="33"/>
  <c r="S52" i="33"/>
  <c r="S53" i="33"/>
  <c r="S54" i="33"/>
  <c r="S55" i="33"/>
  <c r="S56" i="33"/>
  <c r="S57" i="33"/>
  <c r="S58" i="33"/>
  <c r="S59" i="33"/>
  <c r="S60" i="33"/>
  <c r="S62" i="33"/>
  <c r="S63" i="33"/>
  <c r="S64" i="33"/>
  <c r="S65" i="33"/>
  <c r="S66" i="33"/>
  <c r="S67" i="33"/>
  <c r="S68" i="33"/>
  <c r="S69" i="33"/>
  <c r="S70" i="33"/>
  <c r="S71" i="33"/>
  <c r="S72" i="33"/>
  <c r="S73" i="33"/>
  <c r="S74" i="33"/>
  <c r="S75" i="33"/>
  <c r="S76" i="33"/>
  <c r="S77" i="33"/>
  <c r="S78" i="33"/>
  <c r="S79" i="33"/>
  <c r="S80" i="33"/>
  <c r="S81" i="33"/>
  <c r="S82" i="33"/>
  <c r="S83" i="33"/>
  <c r="S84" i="33"/>
  <c r="S85" i="33"/>
  <c r="S86" i="33"/>
  <c r="S87" i="33"/>
  <c r="S88" i="33"/>
  <c r="S89" i="33"/>
  <c r="S90" i="33"/>
  <c r="S91" i="33"/>
  <c r="S92" i="33"/>
  <c r="S93" i="33"/>
  <c r="S94" i="33"/>
  <c r="S95" i="33"/>
  <c r="S96" i="33"/>
  <c r="S97" i="33"/>
  <c r="S98" i="33"/>
  <c r="S99" i="33"/>
  <c r="S100" i="33"/>
  <c r="S101" i="33"/>
  <c r="S102" i="33"/>
  <c r="S103" i="33"/>
  <c r="S104" i="33"/>
  <c r="S105" i="33"/>
  <c r="S106" i="33"/>
  <c r="S107" i="33"/>
  <c r="S108" i="33"/>
  <c r="S109" i="33"/>
  <c r="S110" i="33"/>
  <c r="S111" i="33"/>
  <c r="S112" i="33"/>
  <c r="S113" i="33"/>
  <c r="S114" i="33"/>
  <c r="S115" i="33"/>
  <c r="S116" i="33"/>
  <c r="S117" i="33"/>
  <c r="S118" i="33"/>
  <c r="S119" i="33"/>
  <c r="S120" i="33"/>
  <c r="S121" i="33"/>
  <c r="S122" i="33"/>
  <c r="S123" i="33"/>
  <c r="S124" i="33"/>
  <c r="S125" i="33"/>
  <c r="S126" i="33"/>
  <c r="S127" i="33"/>
  <c r="S128" i="33"/>
  <c r="S129" i="33"/>
  <c r="S130" i="33"/>
  <c r="S131" i="33"/>
  <c r="S132" i="33"/>
  <c r="S133" i="33"/>
  <c r="S134" i="33"/>
  <c r="S135" i="33"/>
  <c r="S136" i="33"/>
  <c r="S137" i="33"/>
  <c r="S138" i="33"/>
  <c r="S139" i="33"/>
  <c r="S140" i="33"/>
  <c r="S141" i="33"/>
  <c r="S142" i="33"/>
  <c r="S143" i="33"/>
  <c r="S144" i="33"/>
  <c r="S145" i="33"/>
  <c r="S146" i="33"/>
  <c r="S147" i="33"/>
  <c r="S148" i="33"/>
  <c r="S149" i="33"/>
  <c r="S150" i="33"/>
  <c r="S151" i="33"/>
  <c r="S152" i="33"/>
  <c r="S153" i="33"/>
  <c r="S154" i="33"/>
  <c r="S155" i="33"/>
  <c r="S156" i="33"/>
  <c r="S157" i="33"/>
  <c r="S158" i="33"/>
  <c r="S159" i="33"/>
  <c r="S160" i="33"/>
  <c r="S161" i="33"/>
  <c r="S162" i="33"/>
  <c r="S163" i="33"/>
  <c r="S164" i="33"/>
  <c r="S165" i="33"/>
  <c r="S166" i="33"/>
  <c r="S167" i="33"/>
  <c r="S168" i="33"/>
  <c r="S169" i="33"/>
  <c r="S170" i="33"/>
  <c r="S171" i="33"/>
  <c r="S172" i="33"/>
  <c r="S173" i="33"/>
  <c r="S174" i="33"/>
  <c r="S175" i="33"/>
  <c r="S176" i="33"/>
  <c r="S177" i="33"/>
  <c r="S178" i="33"/>
  <c r="S179" i="33"/>
  <c r="S180" i="33"/>
  <c r="S181" i="33"/>
  <c r="S182" i="33"/>
  <c r="S183" i="33"/>
  <c r="S184" i="33"/>
  <c r="S185" i="33"/>
  <c r="S186" i="33"/>
  <c r="S187" i="33"/>
  <c r="S188" i="33"/>
  <c r="S189" i="33"/>
  <c r="S190" i="33"/>
  <c r="S191" i="33"/>
  <c r="S192" i="33"/>
  <c r="S193" i="33"/>
  <c r="S194" i="33"/>
  <c r="S195" i="33"/>
  <c r="S196" i="33"/>
  <c r="S197" i="33"/>
  <c r="S198" i="33"/>
  <c r="S199" i="33"/>
  <c r="S200" i="33"/>
  <c r="S201" i="33"/>
  <c r="S202" i="33"/>
  <c r="S203" i="33"/>
  <c r="S204" i="33"/>
  <c r="S205" i="33"/>
  <c r="S206" i="33"/>
  <c r="S207" i="33"/>
  <c r="S208" i="33"/>
  <c r="S209" i="33"/>
  <c r="S210" i="33"/>
  <c r="S211" i="33"/>
  <c r="S212" i="33"/>
  <c r="S213" i="33"/>
  <c r="S214" i="33"/>
  <c r="S215" i="33"/>
  <c r="S216" i="33"/>
  <c r="S217" i="33"/>
  <c r="S218" i="33"/>
  <c r="S219" i="33"/>
  <c r="S220" i="33"/>
  <c r="S221" i="33"/>
  <c r="S222" i="33"/>
  <c r="S223" i="33"/>
  <c r="S224" i="33"/>
  <c r="S225" i="33"/>
  <c r="S226" i="33"/>
  <c r="S227" i="33"/>
  <c r="S228" i="33"/>
  <c r="S229" i="33"/>
  <c r="S230" i="33"/>
  <c r="S231" i="33"/>
  <c r="S232" i="33"/>
  <c r="S233" i="33"/>
  <c r="S234" i="33"/>
  <c r="S235" i="33"/>
  <c r="S236" i="33"/>
  <c r="S237" i="33"/>
  <c r="S238" i="33"/>
  <c r="S239" i="33"/>
  <c r="S240" i="33"/>
  <c r="S241" i="33"/>
  <c r="S242" i="33"/>
  <c r="S243" i="33"/>
  <c r="S244" i="33"/>
  <c r="S245" i="33"/>
  <c r="S246" i="33"/>
  <c r="S247" i="33"/>
  <c r="S248" i="33"/>
  <c r="S249" i="33"/>
  <c r="S250" i="33"/>
  <c r="S251" i="33"/>
  <c r="S252" i="33"/>
  <c r="S253" i="33"/>
  <c r="S254" i="33"/>
  <c r="S255" i="33"/>
  <c r="S256" i="33"/>
  <c r="S257" i="33"/>
  <c r="S258" i="33"/>
  <c r="S259" i="33"/>
  <c r="S260" i="33"/>
  <c r="S261" i="33"/>
  <c r="S262" i="33"/>
  <c r="S263" i="33"/>
  <c r="S264" i="33"/>
  <c r="S265" i="33"/>
  <c r="S266" i="33"/>
  <c r="S267" i="33"/>
  <c r="S268" i="33"/>
  <c r="S269" i="33"/>
  <c r="S270" i="33"/>
  <c r="S271" i="33"/>
  <c r="S272" i="33"/>
  <c r="S273" i="33"/>
  <c r="S274" i="33"/>
  <c r="S275" i="33"/>
  <c r="S276" i="33"/>
  <c r="S277" i="33"/>
  <c r="S278" i="33"/>
  <c r="S279" i="33"/>
  <c r="S280" i="33"/>
  <c r="S281" i="33"/>
  <c r="S282" i="33"/>
  <c r="S283" i="33"/>
  <c r="S284" i="33"/>
  <c r="S285" i="33"/>
  <c r="S286" i="33"/>
  <c r="S287" i="33"/>
  <c r="S288" i="33"/>
  <c r="S289" i="33"/>
  <c r="S290" i="33"/>
  <c r="S291" i="33"/>
  <c r="S292" i="33"/>
  <c r="S293" i="33"/>
  <c r="S294" i="33"/>
  <c r="S295" i="33"/>
  <c r="S296" i="33"/>
  <c r="S297" i="33"/>
  <c r="S298" i="33"/>
  <c r="S299" i="33"/>
  <c r="S300" i="33"/>
  <c r="S301" i="33"/>
  <c r="S302" i="33"/>
  <c r="S303" i="33"/>
  <c r="S304" i="33"/>
  <c r="S305" i="33"/>
  <c r="S306" i="33"/>
  <c r="S307" i="33"/>
  <c r="S308" i="33"/>
  <c r="S309" i="33"/>
  <c r="S310" i="33"/>
  <c r="S311" i="33"/>
  <c r="S312" i="33"/>
  <c r="T2" i="33"/>
  <c r="T3" i="33"/>
  <c r="T4" i="33"/>
  <c r="T5" i="33"/>
  <c r="T6" i="33"/>
  <c r="T7" i="33"/>
  <c r="T8" i="33"/>
  <c r="T9" i="33"/>
  <c r="T10" i="33"/>
  <c r="T11" i="33"/>
  <c r="T12" i="33"/>
  <c r="T13" i="33"/>
  <c r="T14" i="33"/>
  <c r="T15" i="33"/>
  <c r="T16" i="33"/>
  <c r="T17" i="33"/>
  <c r="T18" i="33"/>
  <c r="T19" i="33"/>
  <c r="T20" i="33"/>
  <c r="T21" i="33"/>
  <c r="T22" i="33"/>
  <c r="T23" i="33"/>
  <c r="T24" i="33"/>
  <c r="T25" i="33"/>
  <c r="T26" i="33"/>
  <c r="T27" i="33"/>
  <c r="T28" i="33"/>
  <c r="T29" i="33"/>
  <c r="T30" i="33"/>
  <c r="T31" i="33"/>
  <c r="T32" i="33"/>
  <c r="T33" i="33"/>
  <c r="T34" i="33"/>
  <c r="T35" i="33"/>
  <c r="T36" i="33"/>
  <c r="T37" i="33"/>
  <c r="T38" i="33"/>
  <c r="T39" i="33"/>
  <c r="T40" i="33"/>
  <c r="T41" i="33"/>
  <c r="T42" i="33"/>
  <c r="T43" i="33"/>
  <c r="T44" i="33"/>
  <c r="T45" i="33"/>
  <c r="T46" i="33"/>
  <c r="T47" i="33"/>
  <c r="T48" i="33"/>
  <c r="T49" i="33"/>
  <c r="T50" i="33"/>
  <c r="T51" i="33"/>
  <c r="T52" i="33"/>
  <c r="T53" i="33"/>
  <c r="T54" i="33"/>
  <c r="T55" i="33"/>
  <c r="T56" i="33"/>
  <c r="T57" i="33"/>
  <c r="T58" i="33"/>
  <c r="T59" i="33"/>
  <c r="T60" i="33"/>
  <c r="T61" i="33"/>
  <c r="T62" i="33"/>
  <c r="T63" i="33"/>
  <c r="T64" i="33"/>
  <c r="T65" i="33"/>
  <c r="T66" i="33"/>
  <c r="T67" i="33"/>
  <c r="T68" i="33"/>
  <c r="T69" i="33"/>
  <c r="T70" i="33"/>
  <c r="T71" i="33"/>
  <c r="T72" i="33"/>
  <c r="T73" i="33"/>
  <c r="T74" i="33"/>
  <c r="T75" i="33"/>
  <c r="T76" i="33"/>
  <c r="T77" i="33"/>
  <c r="T78" i="33"/>
  <c r="T79" i="33"/>
  <c r="T80" i="33"/>
  <c r="T81" i="33"/>
  <c r="T82" i="33"/>
  <c r="T83" i="33"/>
  <c r="T84" i="33"/>
  <c r="T85" i="33"/>
  <c r="T86" i="33"/>
  <c r="T87" i="33"/>
  <c r="T88" i="33"/>
  <c r="T89" i="33"/>
  <c r="T90" i="33"/>
  <c r="T91" i="33"/>
  <c r="T92" i="33"/>
  <c r="T93" i="33"/>
  <c r="T94" i="33"/>
  <c r="T95" i="33"/>
  <c r="T96" i="33"/>
  <c r="T97" i="33"/>
  <c r="T98" i="33"/>
  <c r="T99" i="33"/>
  <c r="T100" i="33"/>
  <c r="T101" i="33"/>
  <c r="T102" i="33"/>
  <c r="T103" i="33"/>
  <c r="T104" i="33"/>
  <c r="T105" i="33"/>
  <c r="T106" i="33"/>
  <c r="T107" i="33"/>
  <c r="T108" i="33"/>
  <c r="T109" i="33"/>
  <c r="T110" i="33"/>
  <c r="T111" i="33"/>
  <c r="T112" i="33"/>
  <c r="T113" i="33"/>
  <c r="T114" i="33"/>
  <c r="T115" i="33"/>
  <c r="T116" i="33"/>
  <c r="T117" i="33"/>
  <c r="T118" i="33"/>
  <c r="T119" i="33"/>
  <c r="T120" i="33"/>
  <c r="T121" i="33"/>
  <c r="T122" i="33"/>
  <c r="T123" i="33"/>
  <c r="T124" i="33"/>
  <c r="T125" i="33"/>
  <c r="T126" i="33"/>
  <c r="T127" i="33"/>
  <c r="T128" i="33"/>
  <c r="T129" i="33"/>
  <c r="T130" i="33"/>
  <c r="T131" i="33"/>
  <c r="T132" i="33"/>
  <c r="T133" i="33"/>
  <c r="T134" i="33"/>
  <c r="T135" i="33"/>
  <c r="T136" i="33"/>
  <c r="T137" i="33"/>
  <c r="T138" i="33"/>
  <c r="T139" i="33"/>
  <c r="T140" i="33"/>
  <c r="T141" i="33"/>
  <c r="T142" i="33"/>
  <c r="T143" i="33"/>
  <c r="T144" i="33"/>
  <c r="T145" i="33"/>
  <c r="T146" i="33"/>
  <c r="T147" i="33"/>
  <c r="T148" i="33"/>
  <c r="T149" i="33"/>
  <c r="T150" i="33"/>
  <c r="T151" i="33"/>
  <c r="T152" i="33"/>
  <c r="T153" i="33"/>
  <c r="T154" i="33"/>
  <c r="T155" i="33"/>
  <c r="T156" i="33"/>
  <c r="T157" i="33"/>
  <c r="T158" i="33"/>
  <c r="T159" i="33"/>
  <c r="T160" i="33"/>
  <c r="T161" i="33"/>
  <c r="T162" i="33"/>
  <c r="T163" i="33"/>
  <c r="T164" i="33"/>
  <c r="T165" i="33"/>
  <c r="T166" i="33"/>
  <c r="T167" i="33"/>
  <c r="T168" i="33"/>
  <c r="T169" i="33"/>
  <c r="T170" i="33"/>
  <c r="T171" i="33"/>
  <c r="T172" i="33"/>
  <c r="T173" i="33"/>
  <c r="T174" i="33"/>
  <c r="T175" i="33"/>
  <c r="T176" i="33"/>
  <c r="T177" i="33"/>
  <c r="T178" i="33"/>
  <c r="T179" i="33"/>
  <c r="T180" i="33"/>
  <c r="T181" i="33"/>
  <c r="T182" i="33"/>
  <c r="T183" i="33"/>
  <c r="T184" i="33"/>
  <c r="T185" i="33"/>
  <c r="T186" i="33"/>
  <c r="T187" i="33"/>
  <c r="T188" i="33"/>
  <c r="T189" i="33"/>
  <c r="T190" i="33"/>
  <c r="T191" i="33"/>
  <c r="T192" i="33"/>
  <c r="T193" i="33"/>
  <c r="T194" i="33"/>
  <c r="T195" i="33"/>
  <c r="T196" i="33"/>
  <c r="T197" i="33"/>
  <c r="T198" i="33"/>
  <c r="T199" i="33"/>
  <c r="T200" i="33"/>
  <c r="T201" i="33"/>
  <c r="T202" i="33"/>
  <c r="T203" i="33"/>
  <c r="T204" i="33"/>
  <c r="T205" i="33"/>
  <c r="T206" i="33"/>
  <c r="T207" i="33"/>
  <c r="T208" i="33"/>
  <c r="T209" i="33"/>
  <c r="T210" i="33"/>
  <c r="T211" i="33"/>
  <c r="T212" i="33"/>
  <c r="T213" i="33"/>
  <c r="T214" i="33"/>
  <c r="T215" i="33"/>
  <c r="T216" i="33"/>
  <c r="T217" i="33"/>
  <c r="T218" i="33"/>
  <c r="T219" i="33"/>
  <c r="T220" i="33"/>
  <c r="T221" i="33"/>
  <c r="T222" i="33"/>
  <c r="T223" i="33"/>
  <c r="T224" i="33"/>
  <c r="T225" i="33"/>
  <c r="T226" i="33"/>
  <c r="T227" i="33"/>
  <c r="T228" i="33"/>
  <c r="T229" i="33"/>
  <c r="T230" i="33"/>
  <c r="T231" i="33"/>
  <c r="T232" i="33"/>
  <c r="T233" i="33"/>
  <c r="T234" i="33"/>
  <c r="T235" i="33"/>
  <c r="T236" i="33"/>
  <c r="T237" i="33"/>
  <c r="T238" i="33"/>
  <c r="T239" i="33"/>
  <c r="T240" i="33"/>
  <c r="T241" i="33"/>
  <c r="T242" i="33"/>
  <c r="T243" i="33"/>
  <c r="T244" i="33"/>
  <c r="T245" i="33"/>
  <c r="T246" i="33"/>
  <c r="T247" i="33"/>
  <c r="T248" i="33"/>
  <c r="T249" i="33"/>
  <c r="T250" i="33"/>
  <c r="T251" i="33"/>
  <c r="T252" i="33"/>
  <c r="T253" i="33"/>
  <c r="T254" i="33"/>
  <c r="T255" i="33"/>
  <c r="T256" i="33"/>
  <c r="T257" i="33"/>
  <c r="T258" i="33"/>
  <c r="T259" i="33"/>
  <c r="T260" i="33"/>
  <c r="T261" i="33"/>
  <c r="T262" i="33"/>
  <c r="T263" i="33"/>
  <c r="T264" i="33"/>
  <c r="T265" i="33"/>
  <c r="T266" i="33"/>
  <c r="T267" i="33"/>
  <c r="T268" i="33"/>
  <c r="T269" i="33"/>
  <c r="T270" i="33"/>
  <c r="T271" i="33"/>
  <c r="T272" i="33"/>
  <c r="T273" i="33"/>
  <c r="T274" i="33"/>
  <c r="T275" i="33"/>
  <c r="T276" i="33"/>
  <c r="T277" i="33"/>
  <c r="T278" i="33"/>
  <c r="T279" i="33"/>
  <c r="T280" i="33"/>
  <c r="T281" i="33"/>
  <c r="T282" i="33"/>
  <c r="T283" i="33"/>
  <c r="T284" i="33"/>
  <c r="T285" i="33"/>
  <c r="T286" i="33"/>
  <c r="T287" i="33"/>
  <c r="T288" i="33"/>
  <c r="T289" i="33"/>
  <c r="T290" i="33"/>
  <c r="T291" i="33"/>
  <c r="T292" i="33"/>
  <c r="T293" i="33"/>
  <c r="T294" i="33"/>
  <c r="T295" i="33"/>
  <c r="T296" i="33"/>
  <c r="T297" i="33"/>
  <c r="T298" i="33"/>
  <c r="T299" i="33"/>
  <c r="T300" i="33"/>
  <c r="T301" i="33"/>
  <c r="T302" i="33"/>
  <c r="T303" i="33"/>
  <c r="T304" i="33"/>
  <c r="T305" i="33"/>
  <c r="T306" i="33"/>
  <c r="T307" i="33"/>
  <c r="T308" i="33"/>
  <c r="T309" i="33"/>
  <c r="T310" i="33"/>
  <c r="T311" i="33"/>
  <c r="T312" i="33"/>
  <c r="U2" i="33"/>
  <c r="V2" i="33"/>
  <c r="W2" i="33"/>
  <c r="X2" i="33"/>
  <c r="Y2" i="33"/>
  <c r="BA2" i="32" s="1"/>
  <c r="U3" i="33"/>
  <c r="V3" i="33"/>
  <c r="W3" i="33"/>
  <c r="X3" i="33"/>
  <c r="Y3" i="33"/>
  <c r="BA3" i="32" s="1"/>
  <c r="U4" i="33"/>
  <c r="V4" i="33"/>
  <c r="W4" i="33"/>
  <c r="X4" i="33"/>
  <c r="Y4" i="33"/>
  <c r="BA4" i="32" s="1"/>
  <c r="U5" i="33"/>
  <c r="V5" i="33"/>
  <c r="W5" i="33"/>
  <c r="X5" i="33"/>
  <c r="Y5" i="33"/>
  <c r="BA5" i="32" s="1"/>
  <c r="U6" i="33"/>
  <c r="V6" i="33"/>
  <c r="W6" i="33"/>
  <c r="X6" i="33"/>
  <c r="Y6" i="33"/>
  <c r="BA6" i="32" s="1"/>
  <c r="U7" i="33"/>
  <c r="V7" i="33"/>
  <c r="W7" i="33"/>
  <c r="X7" i="33"/>
  <c r="Y7" i="33"/>
  <c r="BA7" i="32" s="1"/>
  <c r="U8" i="33"/>
  <c r="V8" i="33"/>
  <c r="W8" i="33"/>
  <c r="X8" i="33"/>
  <c r="Y8" i="33"/>
  <c r="BA8" i="32" s="1"/>
  <c r="U9" i="33"/>
  <c r="V9" i="33"/>
  <c r="W9" i="33"/>
  <c r="X9" i="33"/>
  <c r="Y9" i="33"/>
  <c r="BA9" i="32" s="1"/>
  <c r="U10" i="33"/>
  <c r="V10" i="33"/>
  <c r="W10" i="33"/>
  <c r="X10" i="33"/>
  <c r="Y10" i="33"/>
  <c r="BA10" i="32" s="1"/>
  <c r="U11" i="33"/>
  <c r="V11" i="33"/>
  <c r="W11" i="33"/>
  <c r="X11" i="33"/>
  <c r="Y11" i="33"/>
  <c r="BA11" i="32" s="1"/>
  <c r="U12" i="33"/>
  <c r="V12" i="33"/>
  <c r="W12" i="33"/>
  <c r="X12" i="33"/>
  <c r="Y12" i="33"/>
  <c r="BA12" i="32" s="1"/>
  <c r="U13" i="33"/>
  <c r="V13" i="33"/>
  <c r="W13" i="33"/>
  <c r="X13" i="33"/>
  <c r="Y13" i="33"/>
  <c r="BA13" i="32" s="1"/>
  <c r="U14" i="33"/>
  <c r="V14" i="33"/>
  <c r="W14" i="33"/>
  <c r="X14" i="33"/>
  <c r="Y14" i="33"/>
  <c r="BA14" i="32" s="1"/>
  <c r="U15" i="33"/>
  <c r="V15" i="33"/>
  <c r="W15" i="33"/>
  <c r="X15" i="33"/>
  <c r="Y15" i="33"/>
  <c r="BA15" i="32" s="1"/>
  <c r="U16" i="33"/>
  <c r="V16" i="33"/>
  <c r="W16" i="33"/>
  <c r="X16" i="33"/>
  <c r="Y16" i="33"/>
  <c r="BA16" i="32" s="1"/>
  <c r="U17" i="33"/>
  <c r="V17" i="33"/>
  <c r="W17" i="33"/>
  <c r="X17" i="33"/>
  <c r="Y17" i="33"/>
  <c r="BA17" i="32" s="1"/>
  <c r="U18" i="33"/>
  <c r="V18" i="33"/>
  <c r="W18" i="33"/>
  <c r="X18" i="33"/>
  <c r="Y18" i="33"/>
  <c r="BA18" i="32" s="1"/>
  <c r="U19" i="33"/>
  <c r="V19" i="33"/>
  <c r="W19" i="33"/>
  <c r="X19" i="33"/>
  <c r="Y19" i="33"/>
  <c r="BA19" i="32" s="1"/>
  <c r="U20" i="33"/>
  <c r="V20" i="33"/>
  <c r="W20" i="33"/>
  <c r="X20" i="33"/>
  <c r="Y20" i="33"/>
  <c r="BA20" i="32" s="1"/>
  <c r="U21" i="33"/>
  <c r="V21" i="33"/>
  <c r="W21" i="33"/>
  <c r="X21" i="33"/>
  <c r="Y21" i="33"/>
  <c r="BA21" i="32" s="1"/>
  <c r="U22" i="33"/>
  <c r="V22" i="33"/>
  <c r="W22" i="33"/>
  <c r="X22" i="33"/>
  <c r="Y22" i="33"/>
  <c r="BA22" i="32" s="1"/>
  <c r="U23" i="33"/>
  <c r="V23" i="33"/>
  <c r="W23" i="33"/>
  <c r="X23" i="33"/>
  <c r="Y23" i="33"/>
  <c r="BA23" i="32" s="1"/>
  <c r="U24" i="33"/>
  <c r="V24" i="33"/>
  <c r="W24" i="33"/>
  <c r="X24" i="33"/>
  <c r="Y24" i="33"/>
  <c r="BA24" i="32" s="1"/>
  <c r="U25" i="33"/>
  <c r="V25" i="33"/>
  <c r="W25" i="33"/>
  <c r="X25" i="33"/>
  <c r="Y25" i="33"/>
  <c r="BA25" i="32" s="1"/>
  <c r="U26" i="33"/>
  <c r="V26" i="33"/>
  <c r="W26" i="33"/>
  <c r="X26" i="33"/>
  <c r="Y26" i="33"/>
  <c r="BA26" i="32" s="1"/>
  <c r="U27" i="33"/>
  <c r="V27" i="33"/>
  <c r="W27" i="33"/>
  <c r="X27" i="33"/>
  <c r="Y27" i="33"/>
  <c r="BA27" i="32" s="1"/>
  <c r="U28" i="33"/>
  <c r="V28" i="33"/>
  <c r="W28" i="33"/>
  <c r="X28" i="33"/>
  <c r="Y28" i="33"/>
  <c r="BA28" i="32" s="1"/>
  <c r="U29" i="33"/>
  <c r="V29" i="33"/>
  <c r="W29" i="33"/>
  <c r="X29" i="33"/>
  <c r="Y29" i="33"/>
  <c r="BA29" i="32" s="1"/>
  <c r="U30" i="33"/>
  <c r="V30" i="33"/>
  <c r="W30" i="33"/>
  <c r="X30" i="33"/>
  <c r="Y30" i="33"/>
  <c r="BA30" i="32" s="1"/>
  <c r="U31" i="33"/>
  <c r="V31" i="33"/>
  <c r="W31" i="33"/>
  <c r="X31" i="33"/>
  <c r="Y31" i="33"/>
  <c r="BA31" i="32" s="1"/>
  <c r="U32" i="33"/>
  <c r="V32" i="33"/>
  <c r="W32" i="33"/>
  <c r="X32" i="33"/>
  <c r="Y32" i="33"/>
  <c r="BA32" i="32" s="1"/>
  <c r="U33" i="33"/>
  <c r="V33" i="33"/>
  <c r="W33" i="33"/>
  <c r="X33" i="33"/>
  <c r="Y33" i="33"/>
  <c r="BA33" i="32" s="1"/>
  <c r="U34" i="33"/>
  <c r="V34" i="33"/>
  <c r="W34" i="33"/>
  <c r="X34" i="33"/>
  <c r="Y34" i="33"/>
  <c r="BA34" i="32" s="1"/>
  <c r="U35" i="33"/>
  <c r="V35" i="33"/>
  <c r="W35" i="33"/>
  <c r="X35" i="33"/>
  <c r="Y35" i="33"/>
  <c r="BA35" i="32" s="1"/>
  <c r="U36" i="33"/>
  <c r="V36" i="33"/>
  <c r="W36" i="33"/>
  <c r="X36" i="33"/>
  <c r="Y36" i="33"/>
  <c r="BA36" i="32" s="1"/>
  <c r="U37" i="33"/>
  <c r="V37" i="33"/>
  <c r="W37" i="33"/>
  <c r="X37" i="33"/>
  <c r="Y37" i="33"/>
  <c r="BA37" i="32" s="1"/>
  <c r="U38" i="33"/>
  <c r="V38" i="33"/>
  <c r="W38" i="33"/>
  <c r="X38" i="33"/>
  <c r="Y38" i="33"/>
  <c r="BA38" i="32" s="1"/>
  <c r="U39" i="33"/>
  <c r="W39" i="33"/>
  <c r="X39" i="33"/>
  <c r="U40" i="33"/>
  <c r="W40" i="33"/>
  <c r="X40" i="33"/>
  <c r="U41" i="33"/>
  <c r="W41" i="33"/>
  <c r="X41" i="33"/>
  <c r="U42" i="33"/>
  <c r="W42" i="33"/>
  <c r="X42" i="33"/>
  <c r="U43" i="33"/>
  <c r="W43" i="33"/>
  <c r="X43" i="33"/>
  <c r="U44" i="33"/>
  <c r="W44" i="33"/>
  <c r="X44" i="33"/>
  <c r="U45" i="33"/>
  <c r="V45" i="33"/>
  <c r="W45" i="33"/>
  <c r="X45" i="33"/>
  <c r="Y45" i="33"/>
  <c r="BA45" i="32" s="1"/>
  <c r="U46" i="33"/>
  <c r="V46" i="33"/>
  <c r="W46" i="33"/>
  <c r="X46" i="33"/>
  <c r="Y46" i="33"/>
  <c r="BA46" i="32" s="1"/>
  <c r="U47" i="33"/>
  <c r="V47" i="33"/>
  <c r="W47" i="33"/>
  <c r="X47" i="33"/>
  <c r="Y47" i="33"/>
  <c r="BA47" i="32" s="1"/>
  <c r="U48" i="33"/>
  <c r="V48" i="33"/>
  <c r="W48" i="33"/>
  <c r="X48" i="33"/>
  <c r="Y48" i="33"/>
  <c r="BA48" i="32" s="1"/>
  <c r="U49" i="33"/>
  <c r="V49" i="33"/>
  <c r="W49" i="33"/>
  <c r="X49" i="33"/>
  <c r="U50" i="33"/>
  <c r="V50" i="33"/>
  <c r="W50" i="33"/>
  <c r="X50" i="33"/>
  <c r="U51" i="33"/>
  <c r="V51" i="33"/>
  <c r="W51" i="33"/>
  <c r="X51" i="33"/>
  <c r="U52" i="33"/>
  <c r="V52" i="33"/>
  <c r="W52" i="33"/>
  <c r="X52" i="33"/>
  <c r="U53" i="33"/>
  <c r="V53" i="33"/>
  <c r="W53" i="33"/>
  <c r="X53" i="33"/>
  <c r="U54" i="33"/>
  <c r="V54" i="33"/>
  <c r="W54" i="33"/>
  <c r="X54" i="33"/>
  <c r="U55" i="33"/>
  <c r="V55" i="33"/>
  <c r="W55" i="33"/>
  <c r="X55" i="33"/>
  <c r="Y55" i="33"/>
  <c r="BA55" i="32" s="1"/>
  <c r="U56" i="33"/>
  <c r="V56" i="33"/>
  <c r="W56" i="33"/>
  <c r="X56" i="33"/>
  <c r="Y56" i="33"/>
  <c r="BA56" i="32" s="1"/>
  <c r="U57" i="33"/>
  <c r="W57" i="33"/>
  <c r="X57" i="33"/>
  <c r="U58" i="33"/>
  <c r="V58" i="33"/>
  <c r="W58" i="33"/>
  <c r="X58" i="33"/>
  <c r="Y58" i="33"/>
  <c r="BA58" i="32" s="1"/>
  <c r="U59" i="33"/>
  <c r="V59" i="33"/>
  <c r="W59" i="33"/>
  <c r="X59" i="33"/>
  <c r="Y59" i="33"/>
  <c r="BA59" i="32" s="1"/>
  <c r="U60" i="33"/>
  <c r="V60" i="33"/>
  <c r="W60" i="33"/>
  <c r="X60" i="33"/>
  <c r="Y60" i="33"/>
  <c r="BA60" i="32" s="1"/>
  <c r="U61" i="33"/>
  <c r="W61" i="33"/>
  <c r="X61" i="33"/>
  <c r="Y61" i="33"/>
  <c r="BA61" i="32" s="1"/>
  <c r="U62" i="33"/>
  <c r="V62" i="33"/>
  <c r="W62" i="33"/>
  <c r="X62" i="33"/>
  <c r="Y62" i="33"/>
  <c r="BA62" i="32" s="1"/>
  <c r="U63" i="33"/>
  <c r="V63" i="33"/>
  <c r="W63" i="33"/>
  <c r="X63" i="33"/>
  <c r="Y63" i="33"/>
  <c r="BA63" i="32" s="1"/>
  <c r="U64" i="33"/>
  <c r="V64" i="33"/>
  <c r="W64" i="33"/>
  <c r="X64" i="33"/>
  <c r="Y64" i="33"/>
  <c r="BA64" i="32" s="1"/>
  <c r="U65" i="33"/>
  <c r="V65" i="33"/>
  <c r="W65" i="33"/>
  <c r="X65" i="33"/>
  <c r="Y65" i="33"/>
  <c r="BA65" i="32" s="1"/>
  <c r="U66" i="33"/>
  <c r="V66" i="33"/>
  <c r="W66" i="33"/>
  <c r="X66" i="33"/>
  <c r="Y66" i="33"/>
  <c r="BA66" i="32" s="1"/>
  <c r="U67" i="33"/>
  <c r="V67" i="33"/>
  <c r="W67" i="33"/>
  <c r="X67" i="33"/>
  <c r="Y67" i="33"/>
  <c r="BA67" i="32" s="1"/>
  <c r="U68" i="33"/>
  <c r="V68" i="33"/>
  <c r="W68" i="33"/>
  <c r="X68" i="33"/>
  <c r="Y68" i="33"/>
  <c r="BA68" i="32" s="1"/>
  <c r="U69" i="33"/>
  <c r="V69" i="33"/>
  <c r="W69" i="33"/>
  <c r="X69" i="33"/>
  <c r="Y69" i="33"/>
  <c r="BA69" i="32" s="1"/>
  <c r="U70" i="33"/>
  <c r="V70" i="33"/>
  <c r="W70" i="33"/>
  <c r="X70" i="33"/>
  <c r="Y70" i="33"/>
  <c r="BA70" i="32" s="1"/>
  <c r="U71" i="33"/>
  <c r="V71" i="33"/>
  <c r="W71" i="33"/>
  <c r="X71" i="33"/>
  <c r="Y71" i="33"/>
  <c r="BA71" i="32" s="1"/>
  <c r="U72" i="33"/>
  <c r="V72" i="33"/>
  <c r="W72" i="33"/>
  <c r="X72" i="33"/>
  <c r="Y72" i="33"/>
  <c r="BA72" i="32" s="1"/>
  <c r="U73" i="33"/>
  <c r="V73" i="33"/>
  <c r="W73" i="33"/>
  <c r="X73" i="33"/>
  <c r="Y73" i="33"/>
  <c r="BA73" i="32" s="1"/>
  <c r="U74" i="33"/>
  <c r="V74" i="33"/>
  <c r="W74" i="33"/>
  <c r="X74" i="33"/>
  <c r="Y74" i="33"/>
  <c r="BA74" i="32" s="1"/>
  <c r="U75" i="33"/>
  <c r="V75" i="33"/>
  <c r="W75" i="33"/>
  <c r="X75" i="33"/>
  <c r="Y75" i="33"/>
  <c r="BA75" i="32" s="1"/>
  <c r="U76" i="33"/>
  <c r="V76" i="33"/>
  <c r="W76" i="33"/>
  <c r="X76" i="33"/>
  <c r="Y76" i="33"/>
  <c r="BA76" i="32" s="1"/>
  <c r="U77" i="33"/>
  <c r="V77" i="33"/>
  <c r="W77" i="33"/>
  <c r="X77" i="33"/>
  <c r="Y77" i="33"/>
  <c r="BA77" i="32" s="1"/>
  <c r="U78" i="33"/>
  <c r="V78" i="33"/>
  <c r="W78" i="33"/>
  <c r="X78" i="33"/>
  <c r="Y78" i="33"/>
  <c r="BA78" i="32" s="1"/>
  <c r="U79" i="33"/>
  <c r="V79" i="33"/>
  <c r="W79" i="33"/>
  <c r="X79" i="33"/>
  <c r="Y79" i="33"/>
  <c r="BA79" i="32" s="1"/>
  <c r="U80" i="33"/>
  <c r="V80" i="33"/>
  <c r="W80" i="33"/>
  <c r="X80" i="33"/>
  <c r="Y80" i="33"/>
  <c r="BA80" i="32" s="1"/>
  <c r="U81" i="33"/>
  <c r="V81" i="33"/>
  <c r="W81" i="33"/>
  <c r="X81" i="33"/>
  <c r="Y81" i="33"/>
  <c r="BA81" i="32" s="1"/>
  <c r="U82" i="33"/>
  <c r="V82" i="33"/>
  <c r="W82" i="33"/>
  <c r="X82" i="33"/>
  <c r="Y82" i="33"/>
  <c r="BA82" i="32" s="1"/>
  <c r="U83" i="33"/>
  <c r="V83" i="33"/>
  <c r="W83" i="33"/>
  <c r="X83" i="33"/>
  <c r="Y83" i="33"/>
  <c r="BA83" i="32" s="1"/>
  <c r="U84" i="33"/>
  <c r="V84" i="33"/>
  <c r="W84" i="33"/>
  <c r="X84" i="33"/>
  <c r="Y84" i="33"/>
  <c r="BA84" i="32" s="1"/>
  <c r="U85" i="33"/>
  <c r="V85" i="33"/>
  <c r="W85" i="33"/>
  <c r="X85" i="33"/>
  <c r="Y85" i="33"/>
  <c r="BA85" i="32" s="1"/>
  <c r="U86" i="33"/>
  <c r="V86" i="33"/>
  <c r="W86" i="33"/>
  <c r="X86" i="33"/>
  <c r="Y86" i="33"/>
  <c r="BA86" i="32" s="1"/>
  <c r="U87" i="33"/>
  <c r="V87" i="33"/>
  <c r="W87" i="33"/>
  <c r="X87" i="33"/>
  <c r="Y87" i="33"/>
  <c r="BA87" i="32" s="1"/>
  <c r="U88" i="33"/>
  <c r="V88" i="33"/>
  <c r="W88" i="33"/>
  <c r="X88" i="33"/>
  <c r="Y88" i="33"/>
  <c r="BA88" i="32" s="1"/>
  <c r="U89" i="33"/>
  <c r="V89" i="33"/>
  <c r="W89" i="33"/>
  <c r="X89" i="33"/>
  <c r="Y89" i="33"/>
  <c r="BA89" i="32" s="1"/>
  <c r="V90" i="33"/>
  <c r="W90" i="33"/>
  <c r="Y90" i="33"/>
  <c r="BA90" i="32" s="1"/>
  <c r="V91" i="33"/>
  <c r="W91" i="33"/>
  <c r="Y91" i="33"/>
  <c r="BA91" i="32" s="1"/>
  <c r="V92" i="33"/>
  <c r="W92" i="33"/>
  <c r="Y92" i="33"/>
  <c r="BA92" i="32" s="1"/>
  <c r="U93" i="33"/>
  <c r="V93" i="33"/>
  <c r="W93" i="33"/>
  <c r="X93" i="33"/>
  <c r="Y93" i="33"/>
  <c r="BA93" i="32" s="1"/>
  <c r="U94" i="33"/>
  <c r="V94" i="33"/>
  <c r="W94" i="33"/>
  <c r="X94" i="33"/>
  <c r="Y94" i="33"/>
  <c r="BA94" i="32" s="1"/>
  <c r="U95" i="33"/>
  <c r="V95" i="33"/>
  <c r="W95" i="33"/>
  <c r="X95" i="33"/>
  <c r="Y95" i="33"/>
  <c r="BA95" i="32" s="1"/>
  <c r="U96" i="33"/>
  <c r="V96" i="33"/>
  <c r="W96" i="33"/>
  <c r="X96" i="33"/>
  <c r="Y96" i="33"/>
  <c r="BA96" i="32" s="1"/>
  <c r="U97" i="33"/>
  <c r="V97" i="33"/>
  <c r="W97" i="33"/>
  <c r="X97" i="33"/>
  <c r="Y97" i="33"/>
  <c r="BA97" i="32" s="1"/>
  <c r="U98" i="33"/>
  <c r="V98" i="33"/>
  <c r="W98" i="33"/>
  <c r="X98" i="33"/>
  <c r="Y98" i="33"/>
  <c r="BA98" i="32" s="1"/>
  <c r="U99" i="33"/>
  <c r="V99" i="33"/>
  <c r="W99" i="33"/>
  <c r="X99" i="33"/>
  <c r="Y99" i="33"/>
  <c r="BA99" i="32" s="1"/>
  <c r="U100" i="33"/>
  <c r="V100" i="33"/>
  <c r="W100" i="33"/>
  <c r="X100" i="33"/>
  <c r="Y100" i="33"/>
  <c r="BA100" i="32" s="1"/>
  <c r="U101" i="33"/>
  <c r="V101" i="33"/>
  <c r="W101" i="33"/>
  <c r="X101" i="33"/>
  <c r="Y101" i="33"/>
  <c r="BA101" i="32" s="1"/>
  <c r="U102" i="33"/>
  <c r="V102" i="33"/>
  <c r="W102" i="33"/>
  <c r="X102" i="33"/>
  <c r="Y102" i="33"/>
  <c r="BA102" i="32" s="1"/>
  <c r="U103" i="33"/>
  <c r="V103" i="33"/>
  <c r="W103" i="33"/>
  <c r="X103" i="33"/>
  <c r="Y103" i="33"/>
  <c r="BA103" i="32" s="1"/>
  <c r="U104" i="33"/>
  <c r="W104" i="33"/>
  <c r="X104" i="33"/>
  <c r="U105" i="33"/>
  <c r="W105" i="33"/>
  <c r="X105" i="33"/>
  <c r="U106" i="33"/>
  <c r="W106" i="33"/>
  <c r="X106" i="33"/>
  <c r="U107" i="33"/>
  <c r="W107" i="33"/>
  <c r="X107" i="33"/>
  <c r="U108" i="33"/>
  <c r="V108" i="33"/>
  <c r="W108" i="33"/>
  <c r="X108" i="33"/>
  <c r="Y108" i="33"/>
  <c r="BA108" i="32" s="1"/>
  <c r="U109" i="33"/>
  <c r="V109" i="33"/>
  <c r="W109" i="33"/>
  <c r="X109" i="33"/>
  <c r="Y109" i="33"/>
  <c r="BA109" i="32" s="1"/>
  <c r="U110" i="33"/>
  <c r="V110" i="33"/>
  <c r="W110" i="33"/>
  <c r="X110" i="33"/>
  <c r="Y110" i="33"/>
  <c r="BA110" i="32" s="1"/>
  <c r="U111" i="33"/>
  <c r="V111" i="33"/>
  <c r="W111" i="33"/>
  <c r="X111" i="33"/>
  <c r="Y111" i="33"/>
  <c r="BA111" i="32" s="1"/>
  <c r="U112" i="33"/>
  <c r="V112" i="33"/>
  <c r="W112" i="33"/>
  <c r="X112" i="33"/>
  <c r="Y112" i="33"/>
  <c r="BA112" i="32" s="1"/>
  <c r="U113" i="33"/>
  <c r="V113" i="33"/>
  <c r="W113" i="33"/>
  <c r="X113" i="33"/>
  <c r="Y113" i="33"/>
  <c r="BA113" i="32" s="1"/>
  <c r="U114" i="33"/>
  <c r="V114" i="33"/>
  <c r="W114" i="33"/>
  <c r="X114" i="33"/>
  <c r="Y114" i="33"/>
  <c r="BA114" i="32" s="1"/>
  <c r="U115" i="33"/>
  <c r="V115" i="33"/>
  <c r="W115" i="33"/>
  <c r="X115" i="33"/>
  <c r="Y115" i="33"/>
  <c r="BA115" i="32" s="1"/>
  <c r="U116" i="33"/>
  <c r="V116" i="33"/>
  <c r="W116" i="33"/>
  <c r="X116" i="33"/>
  <c r="Y116" i="33"/>
  <c r="BA116" i="32" s="1"/>
  <c r="U117" i="33"/>
  <c r="V117" i="33"/>
  <c r="W117" i="33"/>
  <c r="X117" i="33"/>
  <c r="Y117" i="33"/>
  <c r="BA117" i="32" s="1"/>
  <c r="U118" i="33"/>
  <c r="V118" i="33"/>
  <c r="W118" i="33"/>
  <c r="X118" i="33"/>
  <c r="Y118" i="33"/>
  <c r="BA118" i="32" s="1"/>
  <c r="U119" i="33"/>
  <c r="V119" i="33"/>
  <c r="W119" i="33"/>
  <c r="X119" i="33"/>
  <c r="Y119" i="33"/>
  <c r="BA119" i="32" s="1"/>
  <c r="U120" i="33"/>
  <c r="V120" i="33"/>
  <c r="W120" i="33"/>
  <c r="X120" i="33"/>
  <c r="Y120" i="33"/>
  <c r="BA120" i="32" s="1"/>
  <c r="U121" i="33"/>
  <c r="V121" i="33"/>
  <c r="W121" i="33"/>
  <c r="X121" i="33"/>
  <c r="Y121" i="33"/>
  <c r="BA121" i="32" s="1"/>
  <c r="U122" i="33"/>
  <c r="V122" i="33"/>
  <c r="W122" i="33"/>
  <c r="X122" i="33"/>
  <c r="Y122" i="33"/>
  <c r="BA122" i="32" s="1"/>
  <c r="U123" i="33"/>
  <c r="V123" i="33"/>
  <c r="W123" i="33"/>
  <c r="X123" i="33"/>
  <c r="Y123" i="33"/>
  <c r="BA123" i="32" s="1"/>
  <c r="U124" i="33"/>
  <c r="V124" i="33"/>
  <c r="W124" i="33"/>
  <c r="X124" i="33"/>
  <c r="Y124" i="33"/>
  <c r="BA124" i="32" s="1"/>
  <c r="U125" i="33"/>
  <c r="V125" i="33"/>
  <c r="W125" i="33"/>
  <c r="X125" i="33"/>
  <c r="Y125" i="33"/>
  <c r="BA125" i="32" s="1"/>
  <c r="U126" i="33"/>
  <c r="V126" i="33"/>
  <c r="W126" i="33"/>
  <c r="X126" i="33"/>
  <c r="Y126" i="33"/>
  <c r="BA126" i="32" s="1"/>
  <c r="U127" i="33"/>
  <c r="V127" i="33"/>
  <c r="W127" i="33"/>
  <c r="X127" i="33"/>
  <c r="Y127" i="33"/>
  <c r="BA127" i="32" s="1"/>
  <c r="U128" i="33"/>
  <c r="V128" i="33"/>
  <c r="W128" i="33"/>
  <c r="X128" i="33"/>
  <c r="Y128" i="33"/>
  <c r="BA128" i="32" s="1"/>
  <c r="U129" i="33"/>
  <c r="V129" i="33"/>
  <c r="W129" i="33"/>
  <c r="X129" i="33"/>
  <c r="Y129" i="33"/>
  <c r="BA129" i="32" s="1"/>
  <c r="U130" i="33"/>
  <c r="V130" i="33"/>
  <c r="W130" i="33"/>
  <c r="X130" i="33"/>
  <c r="Y130" i="33"/>
  <c r="BA130" i="32" s="1"/>
  <c r="U131" i="33"/>
  <c r="V131" i="33"/>
  <c r="W131" i="33"/>
  <c r="X131" i="33"/>
  <c r="Y131" i="33"/>
  <c r="BA131" i="32" s="1"/>
  <c r="U132" i="33"/>
  <c r="V132" i="33"/>
  <c r="W132" i="33"/>
  <c r="X132" i="33"/>
  <c r="Y132" i="33"/>
  <c r="BA132" i="32" s="1"/>
  <c r="U133" i="33"/>
  <c r="V133" i="33"/>
  <c r="W133" i="33"/>
  <c r="X133" i="33"/>
  <c r="Y133" i="33"/>
  <c r="BA133" i="32" s="1"/>
  <c r="U134" i="33"/>
  <c r="V134" i="33"/>
  <c r="W134" i="33"/>
  <c r="X134" i="33"/>
  <c r="Y134" i="33"/>
  <c r="BA134" i="32" s="1"/>
  <c r="U135" i="33"/>
  <c r="V135" i="33"/>
  <c r="W135" i="33"/>
  <c r="X135" i="33"/>
  <c r="Y135" i="33"/>
  <c r="BA135" i="32" s="1"/>
  <c r="U136" i="33"/>
  <c r="V136" i="33"/>
  <c r="W136" i="33"/>
  <c r="X136" i="33"/>
  <c r="Y136" i="33"/>
  <c r="BA136" i="32" s="1"/>
  <c r="U137" i="33"/>
  <c r="V137" i="33"/>
  <c r="W137" i="33"/>
  <c r="X137" i="33"/>
  <c r="Y137" i="33"/>
  <c r="BA137" i="32" s="1"/>
  <c r="U138" i="33"/>
  <c r="V138" i="33"/>
  <c r="W138" i="33"/>
  <c r="X138" i="33"/>
  <c r="Y138" i="33"/>
  <c r="BA138" i="32" s="1"/>
  <c r="U139" i="33"/>
  <c r="V139" i="33"/>
  <c r="W139" i="33"/>
  <c r="X139" i="33"/>
  <c r="Y139" i="33"/>
  <c r="BA139" i="32" s="1"/>
  <c r="U140" i="33"/>
  <c r="V140" i="33"/>
  <c r="W140" i="33"/>
  <c r="X140" i="33"/>
  <c r="Y140" i="33"/>
  <c r="BA140" i="32" s="1"/>
  <c r="U141" i="33"/>
  <c r="V141" i="33"/>
  <c r="W141" i="33"/>
  <c r="X141" i="33"/>
  <c r="Y141" i="33"/>
  <c r="BA141" i="32" s="1"/>
  <c r="U142" i="33"/>
  <c r="V142" i="33"/>
  <c r="W142" i="33"/>
  <c r="X142" i="33"/>
  <c r="Y142" i="33"/>
  <c r="BA142" i="32" s="1"/>
  <c r="U143" i="33"/>
  <c r="V143" i="33"/>
  <c r="W143" i="33"/>
  <c r="X143" i="33"/>
  <c r="Y143" i="33"/>
  <c r="BA143" i="32" s="1"/>
  <c r="U144" i="33"/>
  <c r="V144" i="33"/>
  <c r="W144" i="33"/>
  <c r="X144" i="33"/>
  <c r="Y144" i="33"/>
  <c r="BA144" i="32" s="1"/>
  <c r="U145" i="33"/>
  <c r="V145" i="33"/>
  <c r="W145" i="33"/>
  <c r="X145" i="33"/>
  <c r="Y145" i="33"/>
  <c r="BA145" i="32" s="1"/>
  <c r="U146" i="33"/>
  <c r="V146" i="33"/>
  <c r="W146" i="33"/>
  <c r="X146" i="33"/>
  <c r="Y146" i="33"/>
  <c r="BA146" i="32" s="1"/>
  <c r="U147" i="33"/>
  <c r="V147" i="33"/>
  <c r="W147" i="33"/>
  <c r="X147" i="33"/>
  <c r="Y147" i="33"/>
  <c r="BA147" i="32" s="1"/>
  <c r="U148" i="33"/>
  <c r="V148" i="33"/>
  <c r="W148" i="33"/>
  <c r="X148" i="33"/>
  <c r="Y148" i="33"/>
  <c r="BA148" i="32" s="1"/>
  <c r="U149" i="33"/>
  <c r="V149" i="33"/>
  <c r="W149" i="33"/>
  <c r="X149" i="33"/>
  <c r="Y149" i="33"/>
  <c r="BA149" i="32" s="1"/>
  <c r="U150" i="33"/>
  <c r="V150" i="33"/>
  <c r="W150" i="33"/>
  <c r="X150" i="33"/>
  <c r="Y150" i="33"/>
  <c r="BA150" i="32" s="1"/>
  <c r="U151" i="33"/>
  <c r="V151" i="33"/>
  <c r="W151" i="33"/>
  <c r="X151" i="33"/>
  <c r="Y151" i="33"/>
  <c r="BA151" i="32" s="1"/>
  <c r="U152" i="33"/>
  <c r="V152" i="33"/>
  <c r="W152" i="33"/>
  <c r="X152" i="33"/>
  <c r="Y152" i="33"/>
  <c r="BA152" i="32" s="1"/>
  <c r="U153" i="33"/>
  <c r="V153" i="33"/>
  <c r="W153" i="33"/>
  <c r="X153" i="33"/>
  <c r="Y153" i="33"/>
  <c r="BA153" i="32" s="1"/>
  <c r="U154" i="33"/>
  <c r="V154" i="33"/>
  <c r="W154" i="33"/>
  <c r="X154" i="33"/>
  <c r="Y154" i="33"/>
  <c r="BA154" i="32" s="1"/>
  <c r="U155" i="33"/>
  <c r="V155" i="33"/>
  <c r="W155" i="33"/>
  <c r="X155" i="33"/>
  <c r="Y155" i="33"/>
  <c r="BA155" i="32" s="1"/>
  <c r="U156" i="33"/>
  <c r="V156" i="33"/>
  <c r="W156" i="33"/>
  <c r="X156" i="33"/>
  <c r="Y156" i="33"/>
  <c r="BA156" i="32" s="1"/>
  <c r="U157" i="33"/>
  <c r="V157" i="33"/>
  <c r="W157" i="33"/>
  <c r="X157" i="33"/>
  <c r="Y157" i="33"/>
  <c r="BA157" i="32" s="1"/>
  <c r="U158" i="33"/>
  <c r="V158" i="33"/>
  <c r="W158" i="33"/>
  <c r="X158" i="33"/>
  <c r="Y158" i="33"/>
  <c r="BA158" i="32" s="1"/>
  <c r="U159" i="33"/>
  <c r="V159" i="33"/>
  <c r="W159" i="33"/>
  <c r="X159" i="33"/>
  <c r="Y159" i="33"/>
  <c r="BA159" i="32" s="1"/>
  <c r="U160" i="33"/>
  <c r="V160" i="33"/>
  <c r="W160" i="33"/>
  <c r="X160" i="33"/>
  <c r="Y160" i="33"/>
  <c r="BA160" i="32" s="1"/>
  <c r="U161" i="33"/>
  <c r="V161" i="33"/>
  <c r="W161" i="33"/>
  <c r="X161" i="33"/>
  <c r="Y161" i="33"/>
  <c r="BA161" i="32" s="1"/>
  <c r="U162" i="33"/>
  <c r="V162" i="33"/>
  <c r="W162" i="33"/>
  <c r="X162" i="33"/>
  <c r="Y162" i="33"/>
  <c r="BA162" i="32" s="1"/>
  <c r="U163" i="33"/>
  <c r="V163" i="33"/>
  <c r="W163" i="33"/>
  <c r="X163" i="33"/>
  <c r="Y163" i="33"/>
  <c r="BA163" i="32" s="1"/>
  <c r="U164" i="33"/>
  <c r="V164" i="33"/>
  <c r="W164" i="33"/>
  <c r="X164" i="33"/>
  <c r="Y164" i="33"/>
  <c r="BA164" i="32" s="1"/>
  <c r="U165" i="33"/>
  <c r="V165" i="33"/>
  <c r="W165" i="33"/>
  <c r="X165" i="33"/>
  <c r="Y165" i="33"/>
  <c r="BA165" i="32" s="1"/>
  <c r="U166" i="33"/>
  <c r="V166" i="33"/>
  <c r="W166" i="33"/>
  <c r="X166" i="33"/>
  <c r="Y166" i="33"/>
  <c r="BA166" i="32" s="1"/>
  <c r="U167" i="33"/>
  <c r="V167" i="33"/>
  <c r="W167" i="33"/>
  <c r="X167" i="33"/>
  <c r="Y167" i="33"/>
  <c r="BA167" i="32" s="1"/>
  <c r="U168" i="33"/>
  <c r="V168" i="33"/>
  <c r="W168" i="33"/>
  <c r="X168" i="33"/>
  <c r="Y168" i="33"/>
  <c r="BA168" i="32" s="1"/>
  <c r="U169" i="33"/>
  <c r="V169" i="33"/>
  <c r="W169" i="33"/>
  <c r="X169" i="33"/>
  <c r="Y169" i="33"/>
  <c r="BA169" i="32" s="1"/>
  <c r="U170" i="33"/>
  <c r="V170" i="33"/>
  <c r="W170" i="33"/>
  <c r="X170" i="33"/>
  <c r="Y170" i="33"/>
  <c r="BA170" i="32" s="1"/>
  <c r="U171" i="33"/>
  <c r="V171" i="33"/>
  <c r="W171" i="33"/>
  <c r="X171" i="33"/>
  <c r="Y171" i="33"/>
  <c r="BA171" i="32" s="1"/>
  <c r="U172" i="33"/>
  <c r="V172" i="33"/>
  <c r="W172" i="33"/>
  <c r="X172" i="33"/>
  <c r="Y172" i="33"/>
  <c r="BA172" i="32" s="1"/>
  <c r="U173" i="33"/>
  <c r="V173" i="33"/>
  <c r="W173" i="33"/>
  <c r="X173" i="33"/>
  <c r="Y173" i="33"/>
  <c r="BA173" i="32" s="1"/>
  <c r="U174" i="33"/>
  <c r="V174" i="33"/>
  <c r="W174" i="33"/>
  <c r="X174" i="33"/>
  <c r="Y174" i="33"/>
  <c r="BA174" i="32" s="1"/>
  <c r="U175" i="33"/>
  <c r="V175" i="33"/>
  <c r="W175" i="33"/>
  <c r="X175" i="33"/>
  <c r="Y175" i="33"/>
  <c r="BA175" i="32" s="1"/>
  <c r="U176" i="33"/>
  <c r="V176" i="33"/>
  <c r="W176" i="33"/>
  <c r="X176" i="33"/>
  <c r="Y176" i="33"/>
  <c r="BA176" i="32" s="1"/>
  <c r="U177" i="33"/>
  <c r="V177" i="33"/>
  <c r="W177" i="33"/>
  <c r="X177" i="33"/>
  <c r="Y177" i="33"/>
  <c r="BA177" i="32" s="1"/>
  <c r="U178" i="33"/>
  <c r="V178" i="33"/>
  <c r="W178" i="33"/>
  <c r="X178" i="33"/>
  <c r="Y178" i="33"/>
  <c r="BA178" i="32" s="1"/>
  <c r="U179" i="33"/>
  <c r="V179" i="33"/>
  <c r="W179" i="33"/>
  <c r="X179" i="33"/>
  <c r="Y179" i="33"/>
  <c r="BA179" i="32" s="1"/>
  <c r="U180" i="33"/>
  <c r="V180" i="33"/>
  <c r="W180" i="33"/>
  <c r="X180" i="33"/>
  <c r="Y180" i="33"/>
  <c r="BA180" i="32" s="1"/>
  <c r="U181" i="33"/>
  <c r="V181" i="33"/>
  <c r="W181" i="33"/>
  <c r="X181" i="33"/>
  <c r="Y181" i="33"/>
  <c r="BA181" i="32" s="1"/>
  <c r="U182" i="33"/>
  <c r="V182" i="33"/>
  <c r="W182" i="33"/>
  <c r="X182" i="33"/>
  <c r="Y182" i="33"/>
  <c r="BA182" i="32" s="1"/>
  <c r="U183" i="33"/>
  <c r="V183" i="33"/>
  <c r="W183" i="33"/>
  <c r="X183" i="33"/>
  <c r="Y183" i="33"/>
  <c r="BA183" i="32" s="1"/>
  <c r="U184" i="33"/>
  <c r="V184" i="33"/>
  <c r="W184" i="33"/>
  <c r="X184" i="33"/>
  <c r="Y184" i="33"/>
  <c r="BA184" i="32" s="1"/>
  <c r="U185" i="33"/>
  <c r="V185" i="33"/>
  <c r="W185" i="33"/>
  <c r="X185" i="33"/>
  <c r="Y185" i="33"/>
  <c r="BA185" i="32" s="1"/>
  <c r="U186" i="33"/>
  <c r="V186" i="33"/>
  <c r="W186" i="33"/>
  <c r="X186" i="33"/>
  <c r="Y186" i="33"/>
  <c r="BA186" i="32" s="1"/>
  <c r="U187" i="33"/>
  <c r="V187" i="33"/>
  <c r="W187" i="33"/>
  <c r="X187" i="33"/>
  <c r="Y187" i="33"/>
  <c r="BA187" i="32" s="1"/>
  <c r="U188" i="33"/>
  <c r="V188" i="33"/>
  <c r="W188" i="33"/>
  <c r="X188" i="33"/>
  <c r="Y188" i="33"/>
  <c r="BA188" i="32" s="1"/>
  <c r="U189" i="33"/>
  <c r="V189" i="33"/>
  <c r="W189" i="33"/>
  <c r="X189" i="33"/>
  <c r="Y189" i="33"/>
  <c r="BA189" i="32" s="1"/>
  <c r="U190" i="33"/>
  <c r="V190" i="33"/>
  <c r="W190" i="33"/>
  <c r="X190" i="33"/>
  <c r="Y190" i="33"/>
  <c r="BA190" i="32" s="1"/>
  <c r="U191" i="33"/>
  <c r="V191" i="33"/>
  <c r="W191" i="33"/>
  <c r="X191" i="33"/>
  <c r="Y191" i="33"/>
  <c r="BA191" i="32" s="1"/>
  <c r="U192" i="33"/>
  <c r="V192" i="33"/>
  <c r="W192" i="33"/>
  <c r="X192" i="33"/>
  <c r="Y192" i="33"/>
  <c r="BA192" i="32" s="1"/>
  <c r="U193" i="33"/>
  <c r="V193" i="33"/>
  <c r="W193" i="33"/>
  <c r="X193" i="33"/>
  <c r="Y193" i="33"/>
  <c r="BA193" i="32" s="1"/>
  <c r="U194" i="33"/>
  <c r="V194" i="33"/>
  <c r="W194" i="33"/>
  <c r="X194" i="33"/>
  <c r="Y194" i="33"/>
  <c r="BA194" i="32" s="1"/>
  <c r="U195" i="33"/>
  <c r="V195" i="33"/>
  <c r="W195" i="33"/>
  <c r="X195" i="33"/>
  <c r="Y195" i="33"/>
  <c r="BA195" i="32" s="1"/>
  <c r="U196" i="33"/>
  <c r="V196" i="33"/>
  <c r="W196" i="33"/>
  <c r="X196" i="33"/>
  <c r="Y196" i="33"/>
  <c r="BA196" i="32" s="1"/>
  <c r="U197" i="33"/>
  <c r="V197" i="33"/>
  <c r="W197" i="33"/>
  <c r="X197" i="33"/>
  <c r="Y197" i="33"/>
  <c r="BA197" i="32" s="1"/>
  <c r="U198" i="33"/>
  <c r="V198" i="33"/>
  <c r="W198" i="33"/>
  <c r="X198" i="33"/>
  <c r="Y198" i="33"/>
  <c r="BA198" i="32" s="1"/>
  <c r="U199" i="33"/>
  <c r="V199" i="33"/>
  <c r="W199" i="33"/>
  <c r="X199" i="33"/>
  <c r="Y199" i="33"/>
  <c r="BA199" i="32" s="1"/>
  <c r="U200" i="33"/>
  <c r="V200" i="33"/>
  <c r="W200" i="33"/>
  <c r="X200" i="33"/>
  <c r="Y200" i="33"/>
  <c r="BA200" i="32" s="1"/>
  <c r="U201" i="33"/>
  <c r="V201" i="33"/>
  <c r="W201" i="33"/>
  <c r="X201" i="33"/>
  <c r="Y201" i="33"/>
  <c r="BA201" i="32" s="1"/>
  <c r="U202" i="33"/>
  <c r="V202" i="33"/>
  <c r="W202" i="33"/>
  <c r="X202" i="33"/>
  <c r="Y202" i="33"/>
  <c r="BA202" i="32" s="1"/>
  <c r="U203" i="33"/>
  <c r="V203" i="33"/>
  <c r="W203" i="33"/>
  <c r="X203" i="33"/>
  <c r="Y203" i="33"/>
  <c r="BA203" i="32" s="1"/>
  <c r="U204" i="33"/>
  <c r="V204" i="33"/>
  <c r="W204" i="33"/>
  <c r="X204" i="33"/>
  <c r="Y204" i="33"/>
  <c r="BA204" i="32" s="1"/>
  <c r="U205" i="33"/>
  <c r="V205" i="33"/>
  <c r="W205" i="33"/>
  <c r="X205" i="33"/>
  <c r="Y205" i="33"/>
  <c r="BA205" i="32" s="1"/>
  <c r="U206" i="33"/>
  <c r="V206" i="33"/>
  <c r="W206" i="33"/>
  <c r="X206" i="33"/>
  <c r="Y206" i="33"/>
  <c r="BA206" i="32" s="1"/>
  <c r="U207" i="33"/>
  <c r="V207" i="33"/>
  <c r="W207" i="33"/>
  <c r="X207" i="33"/>
  <c r="Y207" i="33"/>
  <c r="BA207" i="32" s="1"/>
  <c r="U208" i="33"/>
  <c r="V208" i="33"/>
  <c r="W208" i="33"/>
  <c r="X208" i="33"/>
  <c r="Y208" i="33"/>
  <c r="BA208" i="32" s="1"/>
  <c r="U209" i="33"/>
  <c r="V209" i="33"/>
  <c r="W209" i="33"/>
  <c r="X209" i="33"/>
  <c r="Y209" i="33"/>
  <c r="BA209" i="32" s="1"/>
  <c r="U210" i="33"/>
  <c r="V210" i="33"/>
  <c r="W210" i="33"/>
  <c r="X210" i="33"/>
  <c r="Y210" i="33"/>
  <c r="BA210" i="32" s="1"/>
  <c r="U211" i="33"/>
  <c r="V211" i="33"/>
  <c r="W211" i="33"/>
  <c r="X211" i="33"/>
  <c r="Y211" i="33"/>
  <c r="BA211" i="32" s="1"/>
  <c r="U212" i="33"/>
  <c r="V212" i="33"/>
  <c r="W212" i="33"/>
  <c r="X212" i="33"/>
  <c r="Y212" i="33"/>
  <c r="BA212" i="32" s="1"/>
  <c r="U213" i="33"/>
  <c r="V213" i="33"/>
  <c r="W213" i="33"/>
  <c r="X213" i="33"/>
  <c r="Y213" i="33"/>
  <c r="BA213" i="32" s="1"/>
  <c r="U214" i="33"/>
  <c r="V214" i="33"/>
  <c r="W214" i="33"/>
  <c r="X214" i="33"/>
  <c r="Y214" i="33"/>
  <c r="BA214" i="32" s="1"/>
  <c r="U215" i="33"/>
  <c r="V215" i="33"/>
  <c r="W215" i="33"/>
  <c r="X215" i="33"/>
  <c r="Y215" i="33"/>
  <c r="BA215" i="32" s="1"/>
  <c r="U216" i="33"/>
  <c r="V216" i="33"/>
  <c r="W216" i="33"/>
  <c r="X216" i="33"/>
  <c r="Y216" i="33"/>
  <c r="BA216" i="32" s="1"/>
  <c r="U217" i="33"/>
  <c r="V217" i="33"/>
  <c r="W217" i="33"/>
  <c r="X217" i="33"/>
  <c r="Y217" i="33"/>
  <c r="BA217" i="32" s="1"/>
  <c r="U218" i="33"/>
  <c r="V218" i="33"/>
  <c r="W218" i="33"/>
  <c r="X218" i="33"/>
  <c r="Y218" i="33"/>
  <c r="BA218" i="32" s="1"/>
  <c r="U219" i="33"/>
  <c r="V219" i="33"/>
  <c r="W219" i="33"/>
  <c r="X219" i="33"/>
  <c r="Y219" i="33"/>
  <c r="BA219" i="32" s="1"/>
  <c r="U220" i="33"/>
  <c r="V220" i="33"/>
  <c r="W220" i="33"/>
  <c r="X220" i="33"/>
  <c r="Y220" i="33"/>
  <c r="BA220" i="32" s="1"/>
  <c r="U221" i="33"/>
  <c r="V221" i="33"/>
  <c r="W221" i="33"/>
  <c r="X221" i="33"/>
  <c r="Y221" i="33"/>
  <c r="BA221" i="32" s="1"/>
  <c r="U222" i="33"/>
  <c r="V222" i="33"/>
  <c r="W222" i="33"/>
  <c r="X222" i="33"/>
  <c r="Y222" i="33"/>
  <c r="BA222" i="32" s="1"/>
  <c r="U223" i="33"/>
  <c r="V223" i="33"/>
  <c r="W223" i="33"/>
  <c r="X223" i="33"/>
  <c r="Y223" i="33"/>
  <c r="BA223" i="32" s="1"/>
  <c r="U224" i="33"/>
  <c r="V224" i="33"/>
  <c r="W224" i="33"/>
  <c r="X224" i="33"/>
  <c r="Y224" i="33"/>
  <c r="BA224" i="32" s="1"/>
  <c r="U225" i="33"/>
  <c r="V225" i="33"/>
  <c r="W225" i="33"/>
  <c r="X225" i="33"/>
  <c r="Y225" i="33"/>
  <c r="BA225" i="32" s="1"/>
  <c r="U226" i="33"/>
  <c r="V226" i="33"/>
  <c r="W226" i="33"/>
  <c r="X226" i="33"/>
  <c r="Y226" i="33"/>
  <c r="BA226" i="32" s="1"/>
  <c r="U227" i="33"/>
  <c r="V227" i="33"/>
  <c r="W227" i="33"/>
  <c r="X227" i="33"/>
  <c r="Y227" i="33"/>
  <c r="BA227" i="32" s="1"/>
  <c r="U228" i="33"/>
  <c r="V228" i="33"/>
  <c r="W228" i="33"/>
  <c r="X228" i="33"/>
  <c r="Y228" i="33"/>
  <c r="BA228" i="32" s="1"/>
  <c r="U229" i="33"/>
  <c r="V229" i="33"/>
  <c r="W229" i="33"/>
  <c r="X229" i="33"/>
  <c r="Y229" i="33"/>
  <c r="BA229" i="32" s="1"/>
  <c r="U230" i="33"/>
  <c r="V230" i="33"/>
  <c r="W230" i="33"/>
  <c r="X230" i="33"/>
  <c r="Y230" i="33"/>
  <c r="BA230" i="32" s="1"/>
  <c r="U231" i="33"/>
  <c r="V231" i="33"/>
  <c r="W231" i="33"/>
  <c r="X231" i="33"/>
  <c r="Y231" i="33"/>
  <c r="BA231" i="32" s="1"/>
  <c r="U232" i="33"/>
  <c r="V232" i="33"/>
  <c r="W232" i="33"/>
  <c r="X232" i="33"/>
  <c r="Y232" i="33"/>
  <c r="BA232" i="32" s="1"/>
  <c r="U233" i="33"/>
  <c r="V233" i="33"/>
  <c r="W233" i="33"/>
  <c r="X233" i="33"/>
  <c r="Y233" i="33"/>
  <c r="BA233" i="32" s="1"/>
  <c r="U234" i="33"/>
  <c r="V234" i="33"/>
  <c r="W234" i="33"/>
  <c r="X234" i="33"/>
  <c r="Y234" i="33"/>
  <c r="BA234" i="32" s="1"/>
  <c r="U235" i="33"/>
  <c r="V235" i="33"/>
  <c r="W235" i="33"/>
  <c r="X235" i="33"/>
  <c r="Y235" i="33"/>
  <c r="BA235" i="32" s="1"/>
  <c r="U236" i="33"/>
  <c r="V236" i="33"/>
  <c r="W236" i="33"/>
  <c r="X236" i="33"/>
  <c r="Y236" i="33"/>
  <c r="BA236" i="32" s="1"/>
  <c r="U237" i="33"/>
  <c r="V237" i="33"/>
  <c r="W237" i="33"/>
  <c r="X237" i="33"/>
  <c r="Y237" i="33"/>
  <c r="BA237" i="32" s="1"/>
  <c r="U238" i="33"/>
  <c r="V238" i="33"/>
  <c r="W238" i="33"/>
  <c r="X238" i="33"/>
  <c r="Y238" i="33"/>
  <c r="BA238" i="32" s="1"/>
  <c r="U239" i="33"/>
  <c r="V239" i="33"/>
  <c r="W239" i="33"/>
  <c r="X239" i="33"/>
  <c r="Y239" i="33"/>
  <c r="BA239" i="32" s="1"/>
  <c r="U240" i="33"/>
  <c r="W240" i="33"/>
  <c r="X240" i="33"/>
  <c r="Y240" i="33"/>
  <c r="BA240" i="32" s="1"/>
  <c r="U241" i="33"/>
  <c r="W241" i="33"/>
  <c r="X241" i="33"/>
  <c r="Y241" i="33"/>
  <c r="BA241" i="32" s="1"/>
  <c r="U242" i="33"/>
  <c r="W242" i="33"/>
  <c r="X242" i="33"/>
  <c r="Y242" i="33"/>
  <c r="BA242" i="32" s="1"/>
  <c r="U243" i="33"/>
  <c r="W243" i="33"/>
  <c r="X243" i="33"/>
  <c r="Y243" i="33"/>
  <c r="BA243" i="32" s="1"/>
  <c r="U244" i="33"/>
  <c r="W244" i="33"/>
  <c r="X244" i="33"/>
  <c r="Y244" i="33"/>
  <c r="BA244" i="32" s="1"/>
  <c r="U245" i="33"/>
  <c r="W245" i="33"/>
  <c r="X245" i="33"/>
  <c r="Y245" i="33"/>
  <c r="BA245" i="32" s="1"/>
  <c r="U246" i="33"/>
  <c r="W246" i="33"/>
  <c r="X246" i="33"/>
  <c r="Y246" i="33"/>
  <c r="BA246" i="32" s="1"/>
  <c r="U247" i="33"/>
  <c r="W247" i="33"/>
  <c r="X247" i="33"/>
  <c r="Y247" i="33"/>
  <c r="BA247" i="32" s="1"/>
  <c r="U248" i="33"/>
  <c r="V248" i="33"/>
  <c r="W248" i="33"/>
  <c r="X248" i="33"/>
  <c r="Y248" i="33"/>
  <c r="BA248" i="32" s="1"/>
  <c r="U249" i="33"/>
  <c r="V249" i="33"/>
  <c r="W249" i="33"/>
  <c r="X249" i="33"/>
  <c r="Y249" i="33"/>
  <c r="BA249" i="32" s="1"/>
  <c r="U250" i="33"/>
  <c r="V250" i="33"/>
  <c r="W250" i="33"/>
  <c r="X250" i="33"/>
  <c r="Y250" i="33"/>
  <c r="BA250" i="32" s="1"/>
  <c r="U251" i="33"/>
  <c r="V251" i="33"/>
  <c r="W251" i="33"/>
  <c r="X251" i="33"/>
  <c r="Y251" i="33"/>
  <c r="BA251" i="32" s="1"/>
  <c r="U252" i="33"/>
  <c r="V252" i="33"/>
  <c r="W252" i="33"/>
  <c r="X252" i="33"/>
  <c r="Y252" i="33"/>
  <c r="BA252" i="32" s="1"/>
  <c r="U253" i="33"/>
  <c r="V253" i="33"/>
  <c r="W253" i="33"/>
  <c r="X253" i="33"/>
  <c r="Y253" i="33"/>
  <c r="BA253" i="32" s="1"/>
  <c r="U254" i="33"/>
  <c r="V254" i="33"/>
  <c r="W254" i="33"/>
  <c r="X254" i="33"/>
  <c r="Y254" i="33"/>
  <c r="BA254" i="32" s="1"/>
  <c r="U255" i="33"/>
  <c r="V255" i="33"/>
  <c r="W255" i="33"/>
  <c r="X255" i="33"/>
  <c r="Y255" i="33"/>
  <c r="BA255" i="32" s="1"/>
  <c r="U256" i="33"/>
  <c r="V256" i="33"/>
  <c r="W256" i="33"/>
  <c r="X256" i="33"/>
  <c r="Y256" i="33"/>
  <c r="BA256" i="32" s="1"/>
  <c r="U257" i="33"/>
  <c r="V257" i="33"/>
  <c r="W257" i="33"/>
  <c r="X257" i="33"/>
  <c r="Y257" i="33"/>
  <c r="BA257" i="32" s="1"/>
  <c r="U258" i="33"/>
  <c r="V258" i="33"/>
  <c r="W258" i="33"/>
  <c r="X258" i="33"/>
  <c r="Y258" i="33"/>
  <c r="BA258" i="32" s="1"/>
  <c r="U259" i="33"/>
  <c r="V259" i="33"/>
  <c r="W259" i="33"/>
  <c r="X259" i="33"/>
  <c r="Y259" i="33"/>
  <c r="BA259" i="32" s="1"/>
  <c r="U260" i="33"/>
  <c r="V260" i="33"/>
  <c r="W260" i="33"/>
  <c r="X260" i="33"/>
  <c r="Y260" i="33"/>
  <c r="BA260" i="32" s="1"/>
  <c r="U261" i="33"/>
  <c r="V261" i="33"/>
  <c r="W261" i="33"/>
  <c r="X261" i="33"/>
  <c r="Y261" i="33"/>
  <c r="BA261" i="32" s="1"/>
  <c r="U262" i="33"/>
  <c r="V262" i="33"/>
  <c r="W262" i="33"/>
  <c r="X262" i="33"/>
  <c r="Y262" i="33"/>
  <c r="BA262" i="32" s="1"/>
  <c r="U263" i="33"/>
  <c r="V263" i="33"/>
  <c r="W263" i="33"/>
  <c r="X263" i="33"/>
  <c r="Y263" i="33"/>
  <c r="BA263" i="32" s="1"/>
  <c r="U264" i="33"/>
  <c r="V264" i="33"/>
  <c r="W264" i="33"/>
  <c r="X264" i="33"/>
  <c r="Y264" i="33"/>
  <c r="BA264" i="32" s="1"/>
  <c r="U265" i="33"/>
  <c r="V265" i="33"/>
  <c r="W265" i="33"/>
  <c r="X265" i="33"/>
  <c r="Y265" i="33"/>
  <c r="BA265" i="32" s="1"/>
  <c r="U266" i="33"/>
  <c r="V266" i="33"/>
  <c r="W266" i="33"/>
  <c r="X266" i="33"/>
  <c r="Y266" i="33"/>
  <c r="BA266" i="32" s="1"/>
  <c r="U267" i="33"/>
  <c r="V267" i="33"/>
  <c r="W267" i="33"/>
  <c r="X267" i="33"/>
  <c r="Y267" i="33"/>
  <c r="BA267" i="32" s="1"/>
  <c r="U268" i="33"/>
  <c r="V268" i="33"/>
  <c r="W268" i="33"/>
  <c r="X268" i="33"/>
  <c r="Y268" i="33"/>
  <c r="BA268" i="32" s="1"/>
  <c r="U269" i="33"/>
  <c r="V269" i="33"/>
  <c r="W269" i="33"/>
  <c r="X269" i="33"/>
  <c r="Y269" i="33"/>
  <c r="BA269" i="32" s="1"/>
  <c r="U270" i="33"/>
  <c r="V270" i="33"/>
  <c r="W270" i="33"/>
  <c r="X270" i="33"/>
  <c r="Y270" i="33"/>
  <c r="BA270" i="32" s="1"/>
  <c r="U271" i="33"/>
  <c r="V271" i="33"/>
  <c r="W271" i="33"/>
  <c r="X271" i="33"/>
  <c r="Y271" i="33"/>
  <c r="BA271" i="32" s="1"/>
  <c r="U272" i="33"/>
  <c r="V272" i="33"/>
  <c r="W272" i="33"/>
  <c r="X272" i="33"/>
  <c r="Y272" i="33"/>
  <c r="BA272" i="32" s="1"/>
  <c r="U273" i="33"/>
  <c r="V273" i="33"/>
  <c r="W273" i="33"/>
  <c r="X273" i="33"/>
  <c r="Y273" i="33"/>
  <c r="BA273" i="32" s="1"/>
  <c r="U274" i="33"/>
  <c r="V274" i="33"/>
  <c r="W274" i="33"/>
  <c r="X274" i="33"/>
  <c r="Y274" i="33"/>
  <c r="BA274" i="32" s="1"/>
  <c r="U275" i="33"/>
  <c r="V275" i="33"/>
  <c r="W275" i="33"/>
  <c r="X275" i="33"/>
  <c r="Y275" i="33"/>
  <c r="BA275" i="32" s="1"/>
  <c r="U276" i="33"/>
  <c r="V276" i="33"/>
  <c r="W276" i="33"/>
  <c r="X276" i="33"/>
  <c r="Y276" i="33"/>
  <c r="BA276" i="32" s="1"/>
  <c r="U277" i="33"/>
  <c r="V277" i="33"/>
  <c r="W277" i="33"/>
  <c r="X277" i="33"/>
  <c r="Y277" i="33"/>
  <c r="BA277" i="32" s="1"/>
  <c r="U278" i="33"/>
  <c r="V278" i="33"/>
  <c r="W278" i="33"/>
  <c r="X278" i="33"/>
  <c r="Y278" i="33"/>
  <c r="BA278" i="32" s="1"/>
  <c r="U279" i="33"/>
  <c r="V279" i="33"/>
  <c r="W279" i="33"/>
  <c r="X279" i="33"/>
  <c r="Y279" i="33"/>
  <c r="BA279" i="32" s="1"/>
  <c r="U280" i="33"/>
  <c r="V280" i="33"/>
  <c r="W280" i="33"/>
  <c r="X280" i="33"/>
  <c r="Y280" i="33"/>
  <c r="BA280" i="32" s="1"/>
  <c r="U281" i="33"/>
  <c r="V281" i="33"/>
  <c r="W281" i="33"/>
  <c r="X281" i="33"/>
  <c r="Y281" i="33"/>
  <c r="BA281" i="32" s="1"/>
  <c r="U282" i="33"/>
  <c r="V282" i="33"/>
  <c r="W282" i="33"/>
  <c r="X282" i="33"/>
  <c r="Y282" i="33"/>
  <c r="BA282" i="32" s="1"/>
  <c r="U283" i="33"/>
  <c r="V283" i="33"/>
  <c r="W283" i="33"/>
  <c r="X283" i="33"/>
  <c r="Y283" i="33"/>
  <c r="BA283" i="32" s="1"/>
  <c r="U284" i="33"/>
  <c r="V284" i="33"/>
  <c r="W284" i="33"/>
  <c r="X284" i="33"/>
  <c r="Y284" i="33"/>
  <c r="BA284" i="32" s="1"/>
  <c r="U285" i="33"/>
  <c r="V285" i="33"/>
  <c r="W285" i="33"/>
  <c r="X285" i="33"/>
  <c r="Y285" i="33"/>
  <c r="BA285" i="32" s="1"/>
  <c r="U286" i="33"/>
  <c r="V286" i="33"/>
  <c r="W286" i="33"/>
  <c r="X286" i="33"/>
  <c r="Y286" i="33"/>
  <c r="BA286" i="32" s="1"/>
  <c r="U287" i="33"/>
  <c r="V287" i="33"/>
  <c r="W287" i="33"/>
  <c r="X287" i="33"/>
  <c r="Y287" i="33"/>
  <c r="BA287" i="32" s="1"/>
  <c r="U288" i="33"/>
  <c r="V288" i="33"/>
  <c r="W288" i="33"/>
  <c r="X288" i="33"/>
  <c r="Y288" i="33"/>
  <c r="BA288" i="32" s="1"/>
  <c r="U289" i="33"/>
  <c r="V289" i="33"/>
  <c r="W289" i="33"/>
  <c r="X289" i="33"/>
  <c r="Y289" i="33"/>
  <c r="BA289" i="32" s="1"/>
  <c r="U290" i="33"/>
  <c r="V290" i="33"/>
  <c r="W290" i="33"/>
  <c r="X290" i="33"/>
  <c r="Y290" i="33"/>
  <c r="BA290" i="32" s="1"/>
  <c r="U291" i="33"/>
  <c r="V291" i="33"/>
  <c r="W291" i="33"/>
  <c r="X291" i="33"/>
  <c r="Y291" i="33"/>
  <c r="BA291" i="32" s="1"/>
  <c r="U292" i="33"/>
  <c r="V292" i="33"/>
  <c r="W292" i="33"/>
  <c r="X292" i="33"/>
  <c r="Y292" i="33"/>
  <c r="BA292" i="32" s="1"/>
  <c r="U293" i="33"/>
  <c r="V293" i="33"/>
  <c r="W293" i="33"/>
  <c r="X293" i="33"/>
  <c r="Y293" i="33"/>
  <c r="BA293" i="32" s="1"/>
  <c r="U294" i="33"/>
  <c r="V294" i="33"/>
  <c r="W294" i="33"/>
  <c r="X294" i="33"/>
  <c r="Y294" i="33"/>
  <c r="BA294" i="32" s="1"/>
  <c r="U295" i="33"/>
  <c r="V295" i="33"/>
  <c r="W295" i="33"/>
  <c r="X295" i="33"/>
  <c r="Y295" i="33"/>
  <c r="BA295" i="32" s="1"/>
  <c r="U296" i="33"/>
  <c r="V296" i="33"/>
  <c r="W296" i="33"/>
  <c r="X296" i="33"/>
  <c r="Y296" i="33"/>
  <c r="BA296" i="32" s="1"/>
  <c r="U297" i="33"/>
  <c r="V297" i="33"/>
  <c r="W297" i="33"/>
  <c r="X297" i="33"/>
  <c r="Y297" i="33"/>
  <c r="BA297" i="32" s="1"/>
  <c r="U298" i="33"/>
  <c r="V298" i="33"/>
  <c r="W298" i="33"/>
  <c r="X298" i="33"/>
  <c r="Y298" i="33"/>
  <c r="BA298" i="32" s="1"/>
  <c r="U299" i="33"/>
  <c r="V299" i="33"/>
  <c r="W299" i="33"/>
  <c r="X299" i="33"/>
  <c r="Y299" i="33"/>
  <c r="BA299" i="32" s="1"/>
  <c r="U300" i="33"/>
  <c r="V300" i="33"/>
  <c r="W300" i="33"/>
  <c r="X300" i="33"/>
  <c r="Y300" i="33"/>
  <c r="BA300" i="32" s="1"/>
  <c r="U301" i="33"/>
  <c r="V301" i="33"/>
  <c r="W301" i="33"/>
  <c r="X301" i="33"/>
  <c r="Y301" i="33"/>
  <c r="BA301" i="32" s="1"/>
  <c r="U302" i="33"/>
  <c r="V302" i="33"/>
  <c r="W302" i="33"/>
  <c r="X302" i="33"/>
  <c r="Y302" i="33"/>
  <c r="BA302" i="32" s="1"/>
  <c r="U303" i="33"/>
  <c r="V303" i="33"/>
  <c r="W303" i="33"/>
  <c r="X303" i="33"/>
  <c r="Y303" i="33"/>
  <c r="BA303" i="32" s="1"/>
  <c r="U304" i="33"/>
  <c r="V304" i="33"/>
  <c r="W304" i="33"/>
  <c r="X304" i="33"/>
  <c r="Y304" i="33"/>
  <c r="BA304" i="32" s="1"/>
  <c r="U305" i="33"/>
  <c r="V305" i="33"/>
  <c r="W305" i="33"/>
  <c r="X305" i="33"/>
  <c r="Y305" i="33"/>
  <c r="BA305" i="32" s="1"/>
  <c r="U306" i="33"/>
  <c r="V306" i="33"/>
  <c r="W306" i="33"/>
  <c r="X306" i="33"/>
  <c r="Y306" i="33"/>
  <c r="BA306" i="32" s="1"/>
  <c r="U307" i="33"/>
  <c r="V307" i="33"/>
  <c r="W307" i="33"/>
  <c r="X307" i="33"/>
  <c r="Y307" i="33"/>
  <c r="BA307" i="32" s="1"/>
  <c r="U308" i="33"/>
  <c r="V308" i="33"/>
  <c r="W308" i="33"/>
  <c r="X308" i="33"/>
  <c r="Y308" i="33"/>
  <c r="BA308" i="32" s="1"/>
  <c r="U309" i="33"/>
  <c r="V309" i="33"/>
  <c r="W309" i="33"/>
  <c r="X309" i="33"/>
  <c r="Y309" i="33"/>
  <c r="BA309" i="32" s="1"/>
  <c r="U310" i="33"/>
  <c r="V310" i="33"/>
  <c r="W310" i="33"/>
  <c r="X310" i="33"/>
  <c r="Y310" i="33"/>
  <c r="BA310" i="32" s="1"/>
  <c r="U311" i="33"/>
  <c r="V311" i="33"/>
  <c r="W311" i="33"/>
  <c r="X311" i="33"/>
  <c r="Y311" i="33"/>
  <c r="BA311" i="32" s="1"/>
  <c r="U312" i="33"/>
  <c r="V312" i="33"/>
  <c r="W312" i="33"/>
  <c r="X312" i="33"/>
  <c r="Y312" i="33"/>
  <c r="BA312" i="32" s="1"/>
  <c r="Y1" i="33"/>
  <c r="U1" i="33"/>
  <c r="V1" i="33"/>
  <c r="W1" i="33"/>
  <c r="X1" i="33"/>
  <c r="O22" i="33"/>
  <c r="N45" i="33"/>
  <c r="N100" i="33"/>
  <c r="N205" i="33"/>
  <c r="N244" i="33"/>
  <c r="G2" i="33"/>
  <c r="G3" i="33" s="1"/>
  <c r="U270" i="32" l="1"/>
  <c r="S165" i="32"/>
  <c r="Z111" i="32"/>
  <c r="S105" i="32"/>
  <c r="U105" i="32"/>
  <c r="V110" i="32"/>
  <c r="V71" i="32"/>
  <c r="X72" i="32"/>
  <c r="X73" i="32" s="1"/>
  <c r="X74" i="32" s="1"/>
  <c r="S159" i="32"/>
  <c r="X112" i="32"/>
  <c r="X113" i="32" s="1"/>
  <c r="Z70" i="32"/>
  <c r="S111" i="32"/>
  <c r="W111" i="32" s="1"/>
  <c r="U70" i="32"/>
  <c r="Z71" i="32"/>
  <c r="U71" i="32"/>
  <c r="W71" i="32" s="1"/>
  <c r="T70" i="32"/>
  <c r="S71" i="32"/>
  <c r="AC70" i="32"/>
  <c r="S70" i="32"/>
  <c r="V70" i="32"/>
  <c r="U202" i="32"/>
  <c r="Z202" i="32"/>
  <c r="Z207" i="32"/>
  <c r="X208" i="32"/>
  <c r="U207" i="32"/>
  <c r="T105" i="32"/>
  <c r="U111" i="32"/>
  <c r="Z203" i="32"/>
  <c r="V165" i="32"/>
  <c r="W165" i="32" s="1"/>
  <c r="X166" i="32"/>
  <c r="T202" i="32"/>
  <c r="V121" i="32"/>
  <c r="X122" i="32"/>
  <c r="V101" i="32"/>
  <c r="X102" i="32"/>
  <c r="X204" i="32"/>
  <c r="V204" i="32" s="1"/>
  <c r="U107" i="32"/>
  <c r="X108" i="32"/>
  <c r="U203" i="32"/>
  <c r="Z270" i="32"/>
  <c r="X271" i="32"/>
  <c r="U159" i="32"/>
  <c r="X160" i="32"/>
  <c r="V203" i="32"/>
  <c r="W203" i="32" s="1"/>
  <c r="V155" i="32"/>
  <c r="X156" i="32"/>
  <c r="T203" i="32"/>
  <c r="T270" i="32"/>
  <c r="S207" i="32"/>
  <c r="V202" i="32"/>
  <c r="T154" i="32"/>
  <c r="S110" i="32"/>
  <c r="V107" i="32"/>
  <c r="T159" i="32"/>
  <c r="X116" i="32"/>
  <c r="AD70" i="32"/>
  <c r="Z212" i="32"/>
  <c r="U212" i="32"/>
  <c r="V212" i="32"/>
  <c r="W212" i="32" s="1"/>
  <c r="T149" i="32"/>
  <c r="W149" i="32" s="1"/>
  <c r="X150" i="32"/>
  <c r="S202" i="32"/>
  <c r="Z110" i="32"/>
  <c r="Z105" i="32"/>
  <c r="S155" i="32"/>
  <c r="V159" i="32"/>
  <c r="V270" i="32"/>
  <c r="U110" i="32"/>
  <c r="V207" i="32"/>
  <c r="Z255" i="32"/>
  <c r="AB255" i="32" s="1"/>
  <c r="X256" i="32"/>
  <c r="V255" i="32"/>
  <c r="W255" i="32" s="1"/>
  <c r="S92" i="32"/>
  <c r="W92" i="32" s="1"/>
  <c r="X93" i="32"/>
  <c r="G249" i="32"/>
  <c r="I249" i="33" s="1"/>
  <c r="W6" i="32"/>
  <c r="W176" i="32"/>
  <c r="W143" i="32"/>
  <c r="H112" i="32"/>
  <c r="J112" i="33" s="1"/>
  <c r="W27" i="32"/>
  <c r="I212" i="33"/>
  <c r="N212" i="33" s="1"/>
  <c r="D296" i="32"/>
  <c r="D296" i="33"/>
  <c r="D288" i="33"/>
  <c r="D288" i="32"/>
  <c r="D279" i="33"/>
  <c r="D279" i="32"/>
  <c r="D258" i="32"/>
  <c r="D258" i="33"/>
  <c r="D238" i="32"/>
  <c r="D238" i="33"/>
  <c r="D230" i="32"/>
  <c r="D230" i="33"/>
  <c r="D222" i="32"/>
  <c r="D222" i="33"/>
  <c r="D214" i="32"/>
  <c r="D214" i="33"/>
  <c r="D201" i="32"/>
  <c r="D201" i="33"/>
  <c r="D191" i="32"/>
  <c r="D191" i="33"/>
  <c r="D183" i="32"/>
  <c r="D183" i="33"/>
  <c r="D175" i="32"/>
  <c r="D175" i="33"/>
  <c r="D167" i="32"/>
  <c r="D167" i="33"/>
  <c r="D159" i="32"/>
  <c r="D159" i="33"/>
  <c r="D151" i="32"/>
  <c r="D151" i="33"/>
  <c r="D143" i="32"/>
  <c r="D143" i="33"/>
  <c r="D135" i="32"/>
  <c r="D135" i="33"/>
  <c r="D127" i="32"/>
  <c r="D127" i="33"/>
  <c r="D119" i="32"/>
  <c r="D119" i="33"/>
  <c r="D111" i="32"/>
  <c r="D111" i="33"/>
  <c r="D103" i="32"/>
  <c r="D103" i="33"/>
  <c r="D95" i="32"/>
  <c r="D95" i="33"/>
  <c r="D87" i="32"/>
  <c r="D87" i="33"/>
  <c r="D79" i="32"/>
  <c r="D79" i="33"/>
  <c r="D71" i="32"/>
  <c r="D71" i="33"/>
  <c r="D55" i="32"/>
  <c r="D55" i="33"/>
  <c r="D47" i="32"/>
  <c r="D47" i="33"/>
  <c r="D39" i="32"/>
  <c r="D39" i="33"/>
  <c r="D31" i="32"/>
  <c r="D31" i="33"/>
  <c r="D21" i="32"/>
  <c r="D21" i="33"/>
  <c r="D13" i="32"/>
  <c r="D13" i="33"/>
  <c r="E310" i="32"/>
  <c r="E310" i="33"/>
  <c r="E302" i="32"/>
  <c r="E302" i="33"/>
  <c r="E294" i="32"/>
  <c r="E294" i="33"/>
  <c r="E285" i="32"/>
  <c r="E285" i="33"/>
  <c r="E277" i="32"/>
  <c r="E277" i="33"/>
  <c r="E269" i="32"/>
  <c r="E269" i="33"/>
  <c r="E261" i="32"/>
  <c r="E261" i="33"/>
  <c r="E236" i="32"/>
  <c r="E236" i="33"/>
  <c r="E227" i="32"/>
  <c r="E227" i="33"/>
  <c r="E219" i="32"/>
  <c r="E219" i="33"/>
  <c r="E211" i="32"/>
  <c r="E211" i="33"/>
  <c r="E203" i="32"/>
  <c r="E203" i="33"/>
  <c r="E195" i="32"/>
  <c r="E195" i="33"/>
  <c r="E187" i="32"/>
  <c r="E187" i="33"/>
  <c r="E179" i="32"/>
  <c r="E179" i="33"/>
  <c r="E171" i="32"/>
  <c r="E171" i="33"/>
  <c r="E163" i="32"/>
  <c r="E163" i="33"/>
  <c r="E155" i="32"/>
  <c r="E155" i="33"/>
  <c r="E147" i="32"/>
  <c r="E147" i="33"/>
  <c r="E139" i="32"/>
  <c r="E139" i="33"/>
  <c r="E131" i="32"/>
  <c r="E131" i="33"/>
  <c r="E123" i="32"/>
  <c r="E123" i="33"/>
  <c r="E115" i="32"/>
  <c r="E115" i="33"/>
  <c r="E107" i="32"/>
  <c r="E107" i="33"/>
  <c r="E99" i="32"/>
  <c r="E99" i="33"/>
  <c r="E91" i="32"/>
  <c r="E91" i="33"/>
  <c r="E83" i="32"/>
  <c r="E83" i="33"/>
  <c r="E75" i="32"/>
  <c r="E75" i="33"/>
  <c r="E67" i="32"/>
  <c r="E67" i="33"/>
  <c r="E53" i="33"/>
  <c r="E53" i="32"/>
  <c r="E45" i="32"/>
  <c r="E45" i="33"/>
  <c r="E37" i="32"/>
  <c r="E37" i="33"/>
  <c r="E29" i="33"/>
  <c r="E29" i="32"/>
  <c r="E21" i="32"/>
  <c r="E21" i="33"/>
  <c r="E13" i="33"/>
  <c r="E13" i="32"/>
  <c r="E5" i="32"/>
  <c r="E5" i="33"/>
  <c r="C270" i="32"/>
  <c r="C270" i="33"/>
  <c r="D295" i="33"/>
  <c r="D295" i="32"/>
  <c r="D287" i="33"/>
  <c r="D287" i="32"/>
  <c r="D278" i="32"/>
  <c r="D278" i="33"/>
  <c r="D257" i="32"/>
  <c r="D257" i="33"/>
  <c r="D237" i="32"/>
  <c r="D237" i="33"/>
  <c r="D229" i="32"/>
  <c r="D229" i="33"/>
  <c r="D221" i="32"/>
  <c r="D221" i="33"/>
  <c r="D213" i="32"/>
  <c r="D213" i="33"/>
  <c r="D200" i="32"/>
  <c r="D200" i="33"/>
  <c r="D190" i="32"/>
  <c r="D190" i="33"/>
  <c r="D182" i="32"/>
  <c r="D182" i="33"/>
  <c r="D174" i="32"/>
  <c r="D174" i="33"/>
  <c r="D166" i="32"/>
  <c r="D166" i="33"/>
  <c r="D158" i="32"/>
  <c r="D158" i="33"/>
  <c r="D150" i="32"/>
  <c r="D150" i="33"/>
  <c r="D142" i="32"/>
  <c r="D142" i="33"/>
  <c r="D134" i="32"/>
  <c r="D134" i="33"/>
  <c r="D126" i="32"/>
  <c r="D126" i="33"/>
  <c r="D118" i="32"/>
  <c r="D118" i="33"/>
  <c r="D110" i="32"/>
  <c r="D110" i="33"/>
  <c r="D102" i="32"/>
  <c r="D102" i="33"/>
  <c r="D94" i="32"/>
  <c r="D94" i="33"/>
  <c r="D86" i="32"/>
  <c r="D86" i="33"/>
  <c r="D78" i="32"/>
  <c r="D78" i="33"/>
  <c r="D70" i="32"/>
  <c r="D70" i="33"/>
  <c r="D54" i="32"/>
  <c r="D54" i="33"/>
  <c r="D46" i="32"/>
  <c r="D46" i="33"/>
  <c r="D38" i="32"/>
  <c r="D38" i="33"/>
  <c r="D30" i="32"/>
  <c r="D30" i="33"/>
  <c r="D20" i="32"/>
  <c r="D20" i="33"/>
  <c r="D11" i="32"/>
  <c r="D11" i="33"/>
  <c r="E309" i="32"/>
  <c r="E309" i="33"/>
  <c r="E301" i="32"/>
  <c r="E301" i="33"/>
  <c r="E293" i="32"/>
  <c r="E293" i="33"/>
  <c r="E284" i="33"/>
  <c r="E284" i="32"/>
  <c r="E276" i="32"/>
  <c r="E276" i="33"/>
  <c r="E268" i="33"/>
  <c r="E268" i="32"/>
  <c r="E260" i="32"/>
  <c r="E260" i="33"/>
  <c r="E235" i="32"/>
  <c r="E235" i="33"/>
  <c r="E226" i="32"/>
  <c r="E226" i="33"/>
  <c r="E218" i="32"/>
  <c r="E218" i="33"/>
  <c r="E210" i="32"/>
  <c r="E210" i="33"/>
  <c r="E202" i="32"/>
  <c r="E202" i="33"/>
  <c r="E194" i="32"/>
  <c r="E194" i="33"/>
  <c r="E186" i="32"/>
  <c r="E186" i="33"/>
  <c r="E178" i="32"/>
  <c r="E178" i="33"/>
  <c r="E170" i="32"/>
  <c r="E170" i="33"/>
  <c r="E162" i="32"/>
  <c r="E162" i="33"/>
  <c r="E154" i="32"/>
  <c r="E154" i="33"/>
  <c r="E146" i="32"/>
  <c r="E146" i="33"/>
  <c r="E138" i="32"/>
  <c r="E138" i="33"/>
  <c r="E130" i="32"/>
  <c r="E130" i="33"/>
  <c r="E122" i="32"/>
  <c r="E122" i="33"/>
  <c r="E114" i="32"/>
  <c r="E114" i="33"/>
  <c r="E106" i="32"/>
  <c r="E106" i="33"/>
  <c r="E98" i="32"/>
  <c r="E98" i="33"/>
  <c r="E90" i="32"/>
  <c r="E90" i="33"/>
  <c r="E82" i="32"/>
  <c r="E82" i="33"/>
  <c r="E74" i="32"/>
  <c r="E74" i="33"/>
  <c r="E66" i="32"/>
  <c r="E66" i="33"/>
  <c r="E52" i="32"/>
  <c r="E52" i="33"/>
  <c r="E44" i="32"/>
  <c r="E44" i="33"/>
  <c r="E36" i="32"/>
  <c r="E36" i="33"/>
  <c r="E28" i="32"/>
  <c r="E28" i="33"/>
  <c r="E20" i="32"/>
  <c r="E20" i="33"/>
  <c r="E12" i="32"/>
  <c r="E12" i="33"/>
  <c r="E4" i="32"/>
  <c r="E4" i="33"/>
  <c r="D294" i="32"/>
  <c r="D294" i="33"/>
  <c r="D285" i="32"/>
  <c r="D285" i="33"/>
  <c r="D277" i="32"/>
  <c r="D277" i="33"/>
  <c r="D247" i="32"/>
  <c r="D247" i="33"/>
  <c r="D236" i="32"/>
  <c r="D236" i="33"/>
  <c r="D228" i="32"/>
  <c r="D228" i="33"/>
  <c r="D220" i="32"/>
  <c r="D220" i="33"/>
  <c r="D212" i="32"/>
  <c r="D212" i="33"/>
  <c r="D199" i="32"/>
  <c r="D199" i="33"/>
  <c r="D189" i="32"/>
  <c r="D189" i="33"/>
  <c r="D181" i="32"/>
  <c r="D181" i="33"/>
  <c r="D173" i="32"/>
  <c r="D173" i="33"/>
  <c r="D165" i="32"/>
  <c r="D165" i="33"/>
  <c r="D157" i="32"/>
  <c r="D157" i="33"/>
  <c r="D149" i="32"/>
  <c r="D149" i="33"/>
  <c r="D141" i="32"/>
  <c r="D141" i="33"/>
  <c r="D133" i="32"/>
  <c r="D133" i="33"/>
  <c r="D125" i="32"/>
  <c r="D125" i="33"/>
  <c r="D117" i="32"/>
  <c r="D117" i="33"/>
  <c r="D109" i="32"/>
  <c r="D109" i="33"/>
  <c r="D101" i="32"/>
  <c r="D101" i="33"/>
  <c r="D93" i="32"/>
  <c r="D93" i="33"/>
  <c r="D85" i="32"/>
  <c r="D85" i="33"/>
  <c r="D77" i="32"/>
  <c r="D77" i="33"/>
  <c r="D69" i="32"/>
  <c r="D69" i="33"/>
  <c r="D53" i="32"/>
  <c r="D53" i="33"/>
  <c r="D45" i="32"/>
  <c r="D45" i="33"/>
  <c r="D37" i="32"/>
  <c r="D37" i="33"/>
  <c r="D29" i="32"/>
  <c r="D29" i="33"/>
  <c r="D19" i="32"/>
  <c r="D19" i="33"/>
  <c r="D6" i="32"/>
  <c r="D6" i="33"/>
  <c r="E308" i="33"/>
  <c r="E308" i="32"/>
  <c r="E300" i="32"/>
  <c r="E300" i="33"/>
  <c r="E292" i="33"/>
  <c r="E292" i="32"/>
  <c r="E283" i="32"/>
  <c r="E283" i="33"/>
  <c r="E275" i="32"/>
  <c r="E275" i="33"/>
  <c r="E267" i="32"/>
  <c r="E267" i="33"/>
  <c r="E259" i="32"/>
  <c r="E259" i="33"/>
  <c r="E233" i="32"/>
  <c r="E233" i="33"/>
  <c r="E225" i="32"/>
  <c r="E225" i="33"/>
  <c r="E217" i="32"/>
  <c r="E217" i="33"/>
  <c r="E209" i="32"/>
  <c r="E209" i="33"/>
  <c r="E201" i="32"/>
  <c r="E201" i="33"/>
  <c r="E193" i="32"/>
  <c r="E193" i="33"/>
  <c r="E185" i="32"/>
  <c r="E185" i="33"/>
  <c r="E177" i="32"/>
  <c r="E177" i="33"/>
  <c r="E169" i="32"/>
  <c r="E169" i="33"/>
  <c r="E161" i="32"/>
  <c r="E161" i="33"/>
  <c r="E153" i="32"/>
  <c r="E153" i="33"/>
  <c r="E145" i="32"/>
  <c r="E145" i="33"/>
  <c r="E137" i="32"/>
  <c r="E137" i="33"/>
  <c r="E129" i="32"/>
  <c r="E129" i="33"/>
  <c r="E121" i="32"/>
  <c r="E121" i="33"/>
  <c r="E113" i="32"/>
  <c r="E113" i="33"/>
  <c r="E105" i="32"/>
  <c r="E105" i="33"/>
  <c r="E97" i="32"/>
  <c r="E97" i="33"/>
  <c r="E89" i="32"/>
  <c r="E89" i="33"/>
  <c r="E81" i="32"/>
  <c r="E81" i="33"/>
  <c r="E73" i="32"/>
  <c r="E73" i="33"/>
  <c r="E65" i="32"/>
  <c r="E65" i="33"/>
  <c r="E51" i="32"/>
  <c r="E51" i="33"/>
  <c r="E43" i="32"/>
  <c r="E43" i="33"/>
  <c r="E35" i="32"/>
  <c r="E35" i="33"/>
  <c r="E27" i="32"/>
  <c r="E27" i="33"/>
  <c r="E19" i="32"/>
  <c r="E19" i="33"/>
  <c r="E11" i="32"/>
  <c r="E11" i="33"/>
  <c r="E3" i="32"/>
  <c r="E3" i="33"/>
  <c r="D312" i="32"/>
  <c r="D312" i="33"/>
  <c r="D293" i="32"/>
  <c r="D293" i="33"/>
  <c r="D284" i="32"/>
  <c r="D284" i="33"/>
  <c r="D276" i="32"/>
  <c r="D276" i="33"/>
  <c r="D246" i="32"/>
  <c r="D246" i="33"/>
  <c r="D235" i="32"/>
  <c r="D235" i="33"/>
  <c r="D227" i="32"/>
  <c r="D227" i="33"/>
  <c r="D219" i="32"/>
  <c r="D219" i="33"/>
  <c r="D211" i="32"/>
  <c r="D211" i="33"/>
  <c r="D198" i="32"/>
  <c r="D198" i="33"/>
  <c r="D188" i="32"/>
  <c r="D188" i="33"/>
  <c r="D180" i="32"/>
  <c r="D180" i="33"/>
  <c r="D172" i="32"/>
  <c r="D172" i="33"/>
  <c r="D164" i="32"/>
  <c r="D164" i="33"/>
  <c r="D156" i="32"/>
  <c r="D156" i="33"/>
  <c r="D148" i="32"/>
  <c r="D148" i="33"/>
  <c r="D140" i="32"/>
  <c r="D140" i="33"/>
  <c r="D132" i="32"/>
  <c r="D132" i="33"/>
  <c r="D124" i="32"/>
  <c r="D124" i="33"/>
  <c r="D116" i="32"/>
  <c r="D116" i="33"/>
  <c r="D108" i="32"/>
  <c r="D108" i="33"/>
  <c r="D100" i="32"/>
  <c r="D100" i="33"/>
  <c r="D92" i="32"/>
  <c r="D92" i="33"/>
  <c r="D84" i="32"/>
  <c r="D84" i="33"/>
  <c r="D76" i="32"/>
  <c r="D76" i="33"/>
  <c r="D68" i="32"/>
  <c r="D68" i="33"/>
  <c r="D52" i="32"/>
  <c r="D52" i="33"/>
  <c r="D44" i="32"/>
  <c r="D44" i="33"/>
  <c r="D36" i="32"/>
  <c r="D36" i="33"/>
  <c r="D28" i="32"/>
  <c r="D28" i="33"/>
  <c r="D18" i="32"/>
  <c r="D18" i="33"/>
  <c r="D3" i="32"/>
  <c r="D3" i="33"/>
  <c r="E307" i="32"/>
  <c r="E307" i="33"/>
  <c r="E299" i="32"/>
  <c r="E299" i="33"/>
  <c r="E291" i="32"/>
  <c r="E291" i="33"/>
  <c r="E282" i="32"/>
  <c r="E282" i="33"/>
  <c r="E274" i="32"/>
  <c r="E274" i="33"/>
  <c r="E266" i="32"/>
  <c r="E266" i="33"/>
  <c r="E258" i="32"/>
  <c r="E258" i="33"/>
  <c r="E232" i="32"/>
  <c r="E232" i="33"/>
  <c r="E224" i="32"/>
  <c r="E224" i="33"/>
  <c r="E216" i="32"/>
  <c r="E216" i="33"/>
  <c r="E208" i="32"/>
  <c r="E208" i="33"/>
  <c r="E200" i="32"/>
  <c r="E200" i="33"/>
  <c r="E192" i="32"/>
  <c r="E192" i="33"/>
  <c r="E184" i="32"/>
  <c r="E184" i="33"/>
  <c r="E176" i="32"/>
  <c r="E176" i="33"/>
  <c r="E168" i="32"/>
  <c r="E168" i="33"/>
  <c r="E160" i="32"/>
  <c r="E160" i="33"/>
  <c r="E152" i="32"/>
  <c r="E152" i="33"/>
  <c r="E144" i="32"/>
  <c r="E144" i="33"/>
  <c r="E136" i="32"/>
  <c r="E136" i="33"/>
  <c r="E128" i="32"/>
  <c r="E128" i="33"/>
  <c r="E120" i="32"/>
  <c r="E120" i="33"/>
  <c r="E112" i="32"/>
  <c r="E112" i="33"/>
  <c r="E104" i="32"/>
  <c r="E104" i="33"/>
  <c r="E96" i="32"/>
  <c r="E96" i="33"/>
  <c r="E88" i="32"/>
  <c r="E88" i="33"/>
  <c r="E80" i="32"/>
  <c r="E80" i="33"/>
  <c r="E72" i="32"/>
  <c r="E72" i="33"/>
  <c r="E62" i="32"/>
  <c r="E62" i="33"/>
  <c r="E50" i="32"/>
  <c r="E50" i="33"/>
  <c r="E42" i="32"/>
  <c r="E42" i="33"/>
  <c r="E34" i="32"/>
  <c r="E34" i="33"/>
  <c r="E26" i="32"/>
  <c r="E26" i="33"/>
  <c r="E18" i="32"/>
  <c r="E18" i="33"/>
  <c r="E10" i="32"/>
  <c r="E10" i="33"/>
  <c r="C269" i="32"/>
  <c r="C269" i="33"/>
  <c r="C58" i="32"/>
  <c r="C58" i="33"/>
  <c r="D311" i="32"/>
  <c r="D311" i="33"/>
  <c r="D292" i="32"/>
  <c r="D292" i="33"/>
  <c r="D283" i="32"/>
  <c r="D283" i="33"/>
  <c r="D262" i="32"/>
  <c r="D262" i="33"/>
  <c r="D243" i="32"/>
  <c r="D243" i="33"/>
  <c r="D234" i="32"/>
  <c r="D234" i="33"/>
  <c r="D226" i="32"/>
  <c r="D226" i="33"/>
  <c r="D218" i="32"/>
  <c r="D218" i="33"/>
  <c r="D210" i="32"/>
  <c r="D210" i="33"/>
  <c r="D197" i="32"/>
  <c r="D197" i="33"/>
  <c r="D187" i="32"/>
  <c r="D187" i="33"/>
  <c r="D179" i="32"/>
  <c r="D179" i="33"/>
  <c r="D171" i="32"/>
  <c r="D171" i="33"/>
  <c r="D163" i="32"/>
  <c r="D163" i="33"/>
  <c r="D155" i="32"/>
  <c r="D155" i="33"/>
  <c r="D147" i="32"/>
  <c r="D147" i="33"/>
  <c r="D139" i="32"/>
  <c r="D139" i="33"/>
  <c r="D131" i="32"/>
  <c r="D131" i="33"/>
  <c r="D123" i="32"/>
  <c r="D123" i="33"/>
  <c r="D115" i="32"/>
  <c r="D115" i="33"/>
  <c r="D107" i="32"/>
  <c r="D107" i="33"/>
  <c r="D99" i="32"/>
  <c r="D99" i="33"/>
  <c r="D91" i="32"/>
  <c r="D91" i="33"/>
  <c r="D83" i="32"/>
  <c r="D83" i="33"/>
  <c r="D75" i="32"/>
  <c r="D75" i="33"/>
  <c r="D67" i="32"/>
  <c r="D67" i="33"/>
  <c r="D51" i="32"/>
  <c r="D51" i="33"/>
  <c r="D43" i="32"/>
  <c r="D43" i="33"/>
  <c r="D35" i="32"/>
  <c r="D35" i="33"/>
  <c r="D27" i="32"/>
  <c r="D27" i="33"/>
  <c r="D17" i="32"/>
  <c r="D17" i="33"/>
  <c r="D2" i="32"/>
  <c r="D2" i="33"/>
  <c r="E306" i="32"/>
  <c r="E306" i="33"/>
  <c r="E298" i="32"/>
  <c r="E298" i="33"/>
  <c r="E290" i="32"/>
  <c r="E290" i="33"/>
  <c r="E281" i="32"/>
  <c r="E281" i="33"/>
  <c r="E273" i="32"/>
  <c r="E273" i="33"/>
  <c r="E265" i="32"/>
  <c r="E265" i="33"/>
  <c r="E241" i="32"/>
  <c r="E241" i="33"/>
  <c r="E231" i="32"/>
  <c r="E231" i="33"/>
  <c r="E223" i="32"/>
  <c r="E223" i="33"/>
  <c r="E215" i="32"/>
  <c r="E215" i="33"/>
  <c r="E207" i="32"/>
  <c r="E207" i="33"/>
  <c r="E199" i="33"/>
  <c r="E199" i="32"/>
  <c r="E191" i="32"/>
  <c r="E191" i="33"/>
  <c r="E183" i="33"/>
  <c r="E183" i="32"/>
  <c r="E175" i="33"/>
  <c r="E175" i="32"/>
  <c r="E167" i="33"/>
  <c r="E167" i="32"/>
  <c r="E159" i="33"/>
  <c r="E159" i="32"/>
  <c r="E151" i="33"/>
  <c r="E151" i="32"/>
  <c r="E143" i="33"/>
  <c r="E143" i="32"/>
  <c r="E135" i="33"/>
  <c r="E135" i="32"/>
  <c r="E127" i="33"/>
  <c r="E127" i="32"/>
  <c r="E119" i="33"/>
  <c r="E119" i="32"/>
  <c r="E111" i="33"/>
  <c r="E111" i="32"/>
  <c r="E103" i="33"/>
  <c r="E103" i="32"/>
  <c r="E95" i="33"/>
  <c r="E95" i="32"/>
  <c r="E87" i="32"/>
  <c r="E87" i="33"/>
  <c r="E79" i="32"/>
  <c r="E79" i="33"/>
  <c r="E71" i="32"/>
  <c r="E71" i="33"/>
  <c r="E58" i="32"/>
  <c r="E58" i="33"/>
  <c r="E49" i="32"/>
  <c r="E49" i="33"/>
  <c r="E41" i="32"/>
  <c r="E41" i="33"/>
  <c r="E33" i="32"/>
  <c r="E33" i="33"/>
  <c r="E25" i="32"/>
  <c r="E25" i="33"/>
  <c r="E17" i="32"/>
  <c r="E17" i="33"/>
  <c r="E9" i="32"/>
  <c r="E9" i="33"/>
  <c r="C265" i="32"/>
  <c r="C265" i="33"/>
  <c r="D310" i="32"/>
  <c r="D310" i="33"/>
  <c r="D291" i="32"/>
  <c r="D291" i="33"/>
  <c r="D282" i="32"/>
  <c r="D282" i="33"/>
  <c r="D261" i="32"/>
  <c r="D261" i="33"/>
  <c r="D242" i="32"/>
  <c r="D242" i="33"/>
  <c r="D233" i="32"/>
  <c r="D233" i="33"/>
  <c r="D225" i="32"/>
  <c r="D225" i="33"/>
  <c r="D217" i="32"/>
  <c r="D217" i="33"/>
  <c r="D204" i="32"/>
  <c r="D204" i="33"/>
  <c r="D196" i="32"/>
  <c r="D196" i="33"/>
  <c r="D186" i="33"/>
  <c r="D186" i="32"/>
  <c r="D178" i="33"/>
  <c r="D178" i="32"/>
  <c r="D170" i="33"/>
  <c r="D170" i="32"/>
  <c r="D162" i="32"/>
  <c r="D162" i="33"/>
  <c r="D154" i="32"/>
  <c r="D154" i="33"/>
  <c r="D146" i="32"/>
  <c r="D146" i="33"/>
  <c r="D138" i="32"/>
  <c r="D138" i="33"/>
  <c r="D130" i="32"/>
  <c r="D130" i="33"/>
  <c r="D122" i="33"/>
  <c r="D122" i="32"/>
  <c r="D114" i="33"/>
  <c r="D114" i="32"/>
  <c r="D106" i="33"/>
  <c r="D106" i="32"/>
  <c r="D98" i="33"/>
  <c r="D98" i="32"/>
  <c r="D90" i="33"/>
  <c r="D90" i="32"/>
  <c r="D82" i="32"/>
  <c r="D82" i="33"/>
  <c r="D74" i="32"/>
  <c r="D74" i="33"/>
  <c r="D66" i="32"/>
  <c r="D66" i="33"/>
  <c r="D50" i="32"/>
  <c r="D50" i="33"/>
  <c r="D42" i="32"/>
  <c r="D42" i="33"/>
  <c r="D34" i="32"/>
  <c r="D34" i="33"/>
  <c r="D26" i="32"/>
  <c r="D26" i="33"/>
  <c r="D16" i="32"/>
  <c r="D16" i="33"/>
  <c r="E2" i="32"/>
  <c r="E2" i="33"/>
  <c r="E305" i="32"/>
  <c r="E305" i="33"/>
  <c r="E297" i="32"/>
  <c r="E297" i="33"/>
  <c r="E289" i="32"/>
  <c r="E289" i="33"/>
  <c r="E280" i="32"/>
  <c r="E280" i="33"/>
  <c r="E272" i="32"/>
  <c r="E272" i="33"/>
  <c r="E264" i="32"/>
  <c r="E264" i="33"/>
  <c r="E239" i="32"/>
  <c r="E239" i="33"/>
  <c r="E230" i="32"/>
  <c r="E230" i="33"/>
  <c r="E222" i="32"/>
  <c r="E222" i="33"/>
  <c r="E214" i="32"/>
  <c r="E214" i="33"/>
  <c r="E206" i="32"/>
  <c r="E206" i="33"/>
  <c r="E198" i="32"/>
  <c r="E198" i="33"/>
  <c r="E190" i="32"/>
  <c r="E190" i="33"/>
  <c r="E182" i="32"/>
  <c r="E182" i="33"/>
  <c r="E174" i="32"/>
  <c r="E174" i="33"/>
  <c r="E166" i="32"/>
  <c r="E166" i="33"/>
  <c r="E158" i="32"/>
  <c r="E158" i="33"/>
  <c r="E150" i="32"/>
  <c r="E150" i="33"/>
  <c r="E142" i="32"/>
  <c r="E142" i="33"/>
  <c r="E134" i="32"/>
  <c r="E134" i="33"/>
  <c r="E126" i="32"/>
  <c r="E126" i="33"/>
  <c r="E118" i="32"/>
  <c r="E118" i="33"/>
  <c r="E110" i="32"/>
  <c r="E110" i="33"/>
  <c r="E102" i="32"/>
  <c r="E102" i="33"/>
  <c r="E94" i="32"/>
  <c r="E94" i="33"/>
  <c r="E86" i="32"/>
  <c r="E86" i="33"/>
  <c r="E78" i="32"/>
  <c r="E78" i="33"/>
  <c r="E70" i="32"/>
  <c r="E70" i="33"/>
  <c r="E56" i="32"/>
  <c r="E56" i="33"/>
  <c r="E48" i="32"/>
  <c r="E48" i="33"/>
  <c r="E40" i="32"/>
  <c r="E40" i="33"/>
  <c r="E32" i="32"/>
  <c r="E32" i="33"/>
  <c r="E24" i="32"/>
  <c r="E24" i="33"/>
  <c r="E16" i="32"/>
  <c r="E16" i="33"/>
  <c r="E8" i="32"/>
  <c r="E8" i="33"/>
  <c r="C249" i="32"/>
  <c r="C249" i="33"/>
  <c r="D309" i="32"/>
  <c r="D309" i="33"/>
  <c r="D290" i="32"/>
  <c r="D290" i="33"/>
  <c r="D281" i="32"/>
  <c r="D281" i="33"/>
  <c r="D260" i="32"/>
  <c r="D260" i="33"/>
  <c r="D241" i="32"/>
  <c r="D241" i="33"/>
  <c r="D232" i="32"/>
  <c r="D232" i="33"/>
  <c r="D224" i="32"/>
  <c r="D224" i="33"/>
  <c r="D216" i="32"/>
  <c r="D216" i="33"/>
  <c r="D203" i="32"/>
  <c r="D203" i="33"/>
  <c r="D195" i="32"/>
  <c r="D195" i="33"/>
  <c r="D185" i="32"/>
  <c r="D185" i="33"/>
  <c r="D177" i="32"/>
  <c r="D177" i="33"/>
  <c r="D169" i="32"/>
  <c r="D169" i="33"/>
  <c r="D161" i="32"/>
  <c r="D161" i="33"/>
  <c r="D153" i="32"/>
  <c r="D153" i="33"/>
  <c r="D145" i="32"/>
  <c r="D145" i="33"/>
  <c r="D137" i="32"/>
  <c r="D137" i="33"/>
  <c r="D129" i="32"/>
  <c r="D129" i="33"/>
  <c r="D121" i="32"/>
  <c r="D121" i="33"/>
  <c r="D113" i="32"/>
  <c r="D113" i="33"/>
  <c r="D105" i="32"/>
  <c r="D105" i="33"/>
  <c r="D97" i="32"/>
  <c r="D97" i="33"/>
  <c r="D89" i="32"/>
  <c r="D89" i="33"/>
  <c r="D81" i="32"/>
  <c r="D81" i="33"/>
  <c r="D73" i="32"/>
  <c r="D73" i="33"/>
  <c r="D65" i="32"/>
  <c r="D65" i="33"/>
  <c r="D49" i="32"/>
  <c r="D49" i="33"/>
  <c r="D41" i="32"/>
  <c r="D41" i="33"/>
  <c r="D33" i="32"/>
  <c r="D33" i="33"/>
  <c r="D25" i="32"/>
  <c r="D25" i="33"/>
  <c r="D15" i="32"/>
  <c r="D15" i="33"/>
  <c r="E312" i="32"/>
  <c r="E312" i="33"/>
  <c r="E304" i="32"/>
  <c r="E304" i="33"/>
  <c r="E296" i="32"/>
  <c r="E296" i="33"/>
  <c r="E288" i="32"/>
  <c r="E288" i="33"/>
  <c r="E279" i="33"/>
  <c r="E279" i="32"/>
  <c r="E271" i="32"/>
  <c r="E271" i="33"/>
  <c r="E263" i="33"/>
  <c r="E263" i="32"/>
  <c r="E238" i="32"/>
  <c r="E238" i="33"/>
  <c r="E229" i="32"/>
  <c r="E229" i="33"/>
  <c r="E221" i="32"/>
  <c r="E221" i="33"/>
  <c r="E213" i="32"/>
  <c r="E213" i="33"/>
  <c r="E205" i="32"/>
  <c r="E205" i="33"/>
  <c r="E197" i="33"/>
  <c r="E197" i="32"/>
  <c r="E189" i="33"/>
  <c r="E189" i="32"/>
  <c r="E181" i="33"/>
  <c r="E181" i="32"/>
  <c r="E173" i="33"/>
  <c r="E173" i="32"/>
  <c r="E165" i="33"/>
  <c r="E165" i="32"/>
  <c r="E157" i="33"/>
  <c r="E157" i="32"/>
  <c r="E149" i="33"/>
  <c r="E149" i="32"/>
  <c r="E141" i="33"/>
  <c r="E141" i="32"/>
  <c r="E133" i="33"/>
  <c r="E133" i="32"/>
  <c r="E125" i="33"/>
  <c r="E125" i="32"/>
  <c r="E117" i="32"/>
  <c r="E117" i="33"/>
  <c r="E109" i="33"/>
  <c r="E109" i="32"/>
  <c r="E101" i="33"/>
  <c r="E101" i="32"/>
  <c r="E93" i="33"/>
  <c r="E93" i="32"/>
  <c r="E85" i="33"/>
  <c r="E85" i="32"/>
  <c r="E77" i="33"/>
  <c r="E77" i="32"/>
  <c r="E69" i="32"/>
  <c r="E69" i="33"/>
  <c r="E55" i="32"/>
  <c r="E55" i="33"/>
  <c r="E47" i="32"/>
  <c r="E47" i="33"/>
  <c r="E39" i="32"/>
  <c r="E39" i="33"/>
  <c r="E31" i="32"/>
  <c r="E31" i="33"/>
  <c r="E23" i="32"/>
  <c r="E23" i="33"/>
  <c r="E15" i="32"/>
  <c r="E15" i="33"/>
  <c r="E7" i="32"/>
  <c r="E7" i="33"/>
  <c r="C305" i="32"/>
  <c r="C305" i="33"/>
  <c r="W47" i="32"/>
  <c r="D297" i="32"/>
  <c r="D297" i="33"/>
  <c r="D289" i="32"/>
  <c r="D289" i="33"/>
  <c r="D280" i="32"/>
  <c r="D280" i="33"/>
  <c r="D259" i="33"/>
  <c r="D259" i="32"/>
  <c r="D239" i="32"/>
  <c r="D239" i="33"/>
  <c r="D231" i="32"/>
  <c r="D231" i="33"/>
  <c r="D223" i="32"/>
  <c r="D223" i="33"/>
  <c r="D215" i="32"/>
  <c r="D215" i="33"/>
  <c r="D202" i="33"/>
  <c r="D202" i="32"/>
  <c r="D192" i="32"/>
  <c r="D192" i="33"/>
  <c r="D184" i="33"/>
  <c r="D184" i="32"/>
  <c r="D176" i="33"/>
  <c r="D176" i="32"/>
  <c r="D168" i="33"/>
  <c r="D168" i="32"/>
  <c r="D160" i="33"/>
  <c r="D160" i="32"/>
  <c r="D152" i="33"/>
  <c r="D152" i="32"/>
  <c r="D144" i="33"/>
  <c r="D144" i="32"/>
  <c r="D136" i="33"/>
  <c r="D136" i="32"/>
  <c r="D128" i="33"/>
  <c r="D128" i="32"/>
  <c r="D120" i="33"/>
  <c r="D120" i="32"/>
  <c r="D112" i="32"/>
  <c r="D112" i="33"/>
  <c r="D104" i="33"/>
  <c r="D104" i="32"/>
  <c r="D96" i="32"/>
  <c r="D96" i="33"/>
  <c r="D88" i="33"/>
  <c r="D88" i="32"/>
  <c r="D80" i="32"/>
  <c r="D80" i="33"/>
  <c r="D72" i="33"/>
  <c r="D72" i="32"/>
  <c r="D56" i="33"/>
  <c r="D56" i="32"/>
  <c r="D48" i="33"/>
  <c r="D48" i="32"/>
  <c r="D40" i="33"/>
  <c r="D40" i="32"/>
  <c r="D32" i="32"/>
  <c r="D32" i="33"/>
  <c r="D24" i="33"/>
  <c r="D24" i="32"/>
  <c r="D14" i="32"/>
  <c r="D14" i="33"/>
  <c r="E311" i="32"/>
  <c r="E311" i="33"/>
  <c r="E303" i="33"/>
  <c r="E303" i="32"/>
  <c r="E295" i="32"/>
  <c r="E295" i="33"/>
  <c r="E287" i="33"/>
  <c r="E287" i="32"/>
  <c r="E278" i="32"/>
  <c r="E278" i="33"/>
  <c r="E270" i="32"/>
  <c r="E270" i="33"/>
  <c r="E262" i="32"/>
  <c r="E262" i="33"/>
  <c r="E237" i="32"/>
  <c r="E237" i="33"/>
  <c r="E228" i="32"/>
  <c r="E228" i="33"/>
  <c r="E220" i="32"/>
  <c r="E220" i="33"/>
  <c r="E212" i="32"/>
  <c r="E212" i="33"/>
  <c r="E204" i="32"/>
  <c r="E204" i="33"/>
  <c r="E196" i="32"/>
  <c r="E196" i="33"/>
  <c r="E188" i="32"/>
  <c r="E188" i="33"/>
  <c r="E180" i="32"/>
  <c r="E180" i="33"/>
  <c r="E172" i="32"/>
  <c r="E172" i="33"/>
  <c r="E164" i="32"/>
  <c r="E164" i="33"/>
  <c r="E156" i="32"/>
  <c r="E156" i="33"/>
  <c r="E148" i="32"/>
  <c r="E148" i="33"/>
  <c r="E140" i="32"/>
  <c r="E140" i="33"/>
  <c r="E132" i="32"/>
  <c r="E132" i="33"/>
  <c r="E124" i="32"/>
  <c r="E124" i="33"/>
  <c r="E116" i="32"/>
  <c r="E116" i="33"/>
  <c r="E108" i="32"/>
  <c r="E108" i="33"/>
  <c r="E100" i="32"/>
  <c r="E100" i="33"/>
  <c r="E92" i="32"/>
  <c r="E92" i="33"/>
  <c r="E84" i="32"/>
  <c r="E84" i="33"/>
  <c r="E76" i="32"/>
  <c r="E76" i="33"/>
  <c r="E68" i="32"/>
  <c r="E68" i="33"/>
  <c r="E54" i="32"/>
  <c r="E54" i="33"/>
  <c r="E46" i="32"/>
  <c r="E46" i="33"/>
  <c r="E38" i="32"/>
  <c r="E38" i="33"/>
  <c r="E30" i="32"/>
  <c r="E30" i="33"/>
  <c r="E22" i="32"/>
  <c r="E22" i="33"/>
  <c r="E14" i="32"/>
  <c r="E14" i="33"/>
  <c r="E6" i="32"/>
  <c r="E6" i="33"/>
  <c r="C304" i="32"/>
  <c r="C304" i="33"/>
  <c r="Z101" i="32"/>
  <c r="T101" i="32"/>
  <c r="Z289" i="32"/>
  <c r="X290" i="32"/>
  <c r="W235" i="32"/>
  <c r="V222" i="32"/>
  <c r="U221" i="32"/>
  <c r="T221" i="32"/>
  <c r="S221" i="32"/>
  <c r="S222" i="32"/>
  <c r="T222" i="32"/>
  <c r="V221" i="32"/>
  <c r="W224" i="32"/>
  <c r="I187" i="32"/>
  <c r="H187" i="33" s="1"/>
  <c r="F190" i="32"/>
  <c r="I189" i="32"/>
  <c r="H189" i="33" s="1"/>
  <c r="F92" i="32"/>
  <c r="I91" i="32"/>
  <c r="H91" i="33" s="1"/>
  <c r="I196" i="32"/>
  <c r="H196" i="33" s="1"/>
  <c r="F86" i="32"/>
  <c r="I85" i="32"/>
  <c r="H85" i="33" s="1"/>
  <c r="I114" i="32"/>
  <c r="H114" i="33" s="1"/>
  <c r="F178" i="32"/>
  <c r="I177" i="32"/>
  <c r="H177" i="33" s="1"/>
  <c r="F95" i="32"/>
  <c r="I94" i="32"/>
  <c r="H94" i="33" s="1"/>
  <c r="F174" i="32"/>
  <c r="I173" i="32"/>
  <c r="H173" i="33" s="1"/>
  <c r="W39" i="32"/>
  <c r="F79" i="32"/>
  <c r="I78" i="32"/>
  <c r="H78" i="33" s="1"/>
  <c r="F82" i="32"/>
  <c r="I81" i="32"/>
  <c r="H81" i="33" s="1"/>
  <c r="G271" i="32"/>
  <c r="I271" i="33" s="1"/>
  <c r="T223" i="32"/>
  <c r="T133" i="32"/>
  <c r="U198" i="32"/>
  <c r="S223" i="32"/>
  <c r="U223" i="32"/>
  <c r="Z198" i="32"/>
  <c r="W84" i="32"/>
  <c r="U68" i="32"/>
  <c r="S141" i="32"/>
  <c r="U226" i="32"/>
  <c r="AG242" i="32"/>
  <c r="M242" i="33" s="1"/>
  <c r="W268" i="32"/>
  <c r="W228" i="32"/>
  <c r="D2" i="16"/>
  <c r="W104" i="32"/>
  <c r="V198" i="32"/>
  <c r="U121" i="32"/>
  <c r="T198" i="32"/>
  <c r="W241" i="32"/>
  <c r="U178" i="32"/>
  <c r="T67" i="32"/>
  <c r="T68" i="32"/>
  <c r="S133" i="32"/>
  <c r="W91" i="32"/>
  <c r="U141" i="32"/>
  <c r="S121" i="32"/>
  <c r="AF249" i="32"/>
  <c r="T226" i="32"/>
  <c r="W54" i="32"/>
  <c r="W134" i="32"/>
  <c r="S63" i="32"/>
  <c r="T289" i="32"/>
  <c r="W186" i="32"/>
  <c r="W106" i="32"/>
  <c r="T141" i="32"/>
  <c r="W288" i="32"/>
  <c r="W144" i="32"/>
  <c r="U133" i="32"/>
  <c r="V229" i="32"/>
  <c r="Z63" i="32"/>
  <c r="H272" i="32"/>
  <c r="J272" i="33" s="1"/>
  <c r="W56" i="32"/>
  <c r="W24" i="32"/>
  <c r="AB65" i="32"/>
  <c r="W43" i="32"/>
  <c r="G233" i="32"/>
  <c r="I233" i="33" s="1"/>
  <c r="W119" i="32"/>
  <c r="H234" i="32"/>
  <c r="J234" i="33" s="1"/>
  <c r="V226" i="32"/>
  <c r="W59" i="32"/>
  <c r="W158" i="32"/>
  <c r="W153" i="32"/>
  <c r="T121" i="32"/>
  <c r="S289" i="32"/>
  <c r="S175" i="32"/>
  <c r="W128" i="32"/>
  <c r="U229" i="32"/>
  <c r="W207" i="32"/>
  <c r="W86" i="32"/>
  <c r="W220" i="32"/>
  <c r="Z229" i="32"/>
  <c r="AF242" i="32"/>
  <c r="L242" i="33" s="1"/>
  <c r="V141" i="32"/>
  <c r="U101" i="32"/>
  <c r="W28" i="32"/>
  <c r="AB70" i="32"/>
  <c r="W99" i="32"/>
  <c r="W172" i="32"/>
  <c r="W191" i="32"/>
  <c r="W164" i="32"/>
  <c r="W36" i="32"/>
  <c r="W201" i="32"/>
  <c r="W76" i="32"/>
  <c r="T63" i="32"/>
  <c r="W34" i="32"/>
  <c r="W2" i="32"/>
  <c r="W243" i="32"/>
  <c r="W238" i="32"/>
  <c r="W41" i="32"/>
  <c r="W81" i="32"/>
  <c r="W233" i="32"/>
  <c r="W3" i="32"/>
  <c r="W188" i="32"/>
  <c r="W247" i="32"/>
  <c r="W190" i="32"/>
  <c r="W187" i="32"/>
  <c r="W157" i="32"/>
  <c r="W44" i="32"/>
  <c r="W85" i="32"/>
  <c r="W25" i="32"/>
  <c r="W30" i="32"/>
  <c r="W239" i="32"/>
  <c r="W195" i="32"/>
  <c r="W148" i="32"/>
  <c r="W88" i="32"/>
  <c r="W130" i="32"/>
  <c r="W248" i="32"/>
  <c r="W205" i="32"/>
  <c r="W152" i="32"/>
  <c r="W147" i="32"/>
  <c r="W200" i="32"/>
  <c r="W19" i="32"/>
  <c r="W11" i="32"/>
  <c r="W287" i="32"/>
  <c r="W154" i="32"/>
  <c r="W97" i="32"/>
  <c r="W50" i="32"/>
  <c r="S101" i="32"/>
  <c r="W75" i="32"/>
  <c r="W10" i="32"/>
  <c r="W46" i="32"/>
  <c r="W286" i="32"/>
  <c r="W219" i="32"/>
  <c r="W51" i="32"/>
  <c r="G46" i="32"/>
  <c r="I46" i="33" s="1"/>
  <c r="J46" i="33"/>
  <c r="W242" i="32"/>
  <c r="W246" i="32"/>
  <c r="W162" i="32"/>
  <c r="U60" i="32"/>
  <c r="W125" i="32"/>
  <c r="W129" i="32"/>
  <c r="W89" i="32"/>
  <c r="W4" i="32"/>
  <c r="W37" i="32"/>
  <c r="W82" i="32"/>
  <c r="W58" i="32"/>
  <c r="W249" i="32"/>
  <c r="T175" i="32"/>
  <c r="W23" i="32"/>
  <c r="W40" i="32"/>
  <c r="W38" i="32"/>
  <c r="W35" i="32"/>
  <c r="W87" i="32"/>
  <c r="W177" i="32"/>
  <c r="W48" i="32"/>
  <c r="H67" i="32"/>
  <c r="J66" i="33"/>
  <c r="H307" i="32"/>
  <c r="J306" i="33"/>
  <c r="H243" i="32"/>
  <c r="J242" i="33"/>
  <c r="H99" i="32"/>
  <c r="J98" i="33"/>
  <c r="J14" i="33"/>
  <c r="G107" i="32"/>
  <c r="I107" i="33" s="1"/>
  <c r="J107" i="33"/>
  <c r="G196" i="32"/>
  <c r="I196" i="33" s="1"/>
  <c r="J196" i="33"/>
  <c r="G56" i="32"/>
  <c r="I56" i="33" s="1"/>
  <c r="J56" i="33"/>
  <c r="J139" i="33"/>
  <c r="J221" i="33"/>
  <c r="W234" i="32"/>
  <c r="W251" i="32"/>
  <c r="W215" i="32"/>
  <c r="W199" i="32"/>
  <c r="W109" i="32"/>
  <c r="W245" i="32"/>
  <c r="W232" i="32"/>
  <c r="W17" i="32"/>
  <c r="W9" i="32"/>
  <c r="W174" i="32"/>
  <c r="W120" i="32"/>
  <c r="W197" i="32"/>
  <c r="W217" i="32"/>
  <c r="W140" i="32"/>
  <c r="G105" i="32"/>
  <c r="I105" i="33" s="1"/>
  <c r="J105" i="33"/>
  <c r="G217" i="32"/>
  <c r="I217" i="33" s="1"/>
  <c r="J217" i="33"/>
  <c r="J135" i="33"/>
  <c r="G219" i="32"/>
  <c r="I219" i="33" s="1"/>
  <c r="J219" i="33"/>
  <c r="J20" i="33"/>
  <c r="W210" i="32"/>
  <c r="W206" i="32"/>
  <c r="W194" i="32"/>
  <c r="W142" i="32"/>
  <c r="W57" i="32"/>
  <c r="W33" i="32"/>
  <c r="W62" i="32"/>
  <c r="W269" i="32"/>
  <c r="W131" i="32"/>
  <c r="G34" i="32"/>
  <c r="I34" i="33" s="1"/>
  <c r="J34" i="33"/>
  <c r="J91" i="33"/>
  <c r="G215" i="32"/>
  <c r="I215" i="33" s="1"/>
  <c r="J215" i="33"/>
  <c r="W20" i="32"/>
  <c r="W49" i="32"/>
  <c r="W80" i="32"/>
  <c r="W32" i="32"/>
  <c r="W213" i="32"/>
  <c r="W132" i="32"/>
  <c r="W236" i="32"/>
  <c r="G211" i="32"/>
  <c r="I211" i="33" s="1"/>
  <c r="G165" i="32"/>
  <c r="I165" i="33" s="1"/>
  <c r="J165" i="33"/>
  <c r="G250" i="32"/>
  <c r="I250" i="33" s="1"/>
  <c r="J250" i="33"/>
  <c r="G101" i="32"/>
  <c r="I101" i="33" s="1"/>
  <c r="J101" i="33"/>
  <c r="G198" i="32"/>
  <c r="I198" i="33" s="1"/>
  <c r="J198" i="33"/>
  <c r="G3" i="32"/>
  <c r="I3" i="33" s="1"/>
  <c r="J3" i="33"/>
  <c r="G36" i="32"/>
  <c r="I36" i="33" s="1"/>
  <c r="J36" i="33"/>
  <c r="W252" i="32"/>
  <c r="W146" i="32"/>
  <c r="W145" i="32"/>
  <c r="Z133" i="32"/>
  <c r="W66" i="32"/>
  <c r="W16" i="32"/>
  <c r="W65" i="32"/>
  <c r="W216" i="32"/>
  <c r="W244" i="32"/>
  <c r="W218" i="32"/>
  <c r="W139" i="32"/>
  <c r="W171" i="32"/>
  <c r="V67" i="32"/>
  <c r="W196" i="32"/>
  <c r="G143" i="32"/>
  <c r="I143" i="33" s="1"/>
  <c r="J143" i="33"/>
  <c r="G103" i="32"/>
  <c r="I103" i="33" s="1"/>
  <c r="J103" i="33"/>
  <c r="W254" i="32"/>
  <c r="W126" i="32"/>
  <c r="W137" i="32"/>
  <c r="W12" i="32"/>
  <c r="W61" i="32"/>
  <c r="W29" i="32"/>
  <c r="W21" i="32"/>
  <c r="W13" i="32"/>
  <c r="W5" i="32"/>
  <c r="W240" i="32"/>
  <c r="W189" i="32"/>
  <c r="V175" i="32"/>
  <c r="W173" i="32"/>
  <c r="W163" i="32"/>
  <c r="W42" i="32"/>
  <c r="Z67" i="32"/>
  <c r="W193" i="32"/>
  <c r="W18" i="32"/>
  <c r="W83" i="32"/>
  <c r="W31" i="32"/>
  <c r="W136" i="32"/>
  <c r="H51" i="32"/>
  <c r="J50" i="33"/>
  <c r="G109" i="32"/>
  <c r="I109" i="33" s="1"/>
  <c r="J109" i="33"/>
  <c r="G213" i="32"/>
  <c r="I213" i="33" s="1"/>
  <c r="G48" i="32"/>
  <c r="I48" i="33" s="1"/>
  <c r="J48" i="33"/>
  <c r="W250" i="32"/>
  <c r="W253" i="32"/>
  <c r="W267" i="32"/>
  <c r="W214" i="32"/>
  <c r="W211" i="32"/>
  <c r="W138" i="32"/>
  <c r="W8" i="32"/>
  <c r="W98" i="32"/>
  <c r="W45" i="32"/>
  <c r="W53" i="32"/>
  <c r="W90" i="32"/>
  <c r="W209" i="32"/>
  <c r="W237" i="32"/>
  <c r="W14" i="32"/>
  <c r="W55" i="32"/>
  <c r="W52" i="32"/>
  <c r="W22" i="32"/>
  <c r="W103" i="32"/>
  <c r="S67" i="32"/>
  <c r="W135" i="32"/>
  <c r="W7" i="32"/>
  <c r="W100" i="32"/>
  <c r="W26" i="32"/>
  <c r="W225" i="32"/>
  <c r="W15" i="32"/>
  <c r="G258" i="32"/>
  <c r="I258" i="33" s="1"/>
  <c r="J258" i="33"/>
  <c r="T230" i="32"/>
  <c r="V230" i="32"/>
  <c r="V127" i="32"/>
  <c r="Z121" i="32"/>
  <c r="Z127" i="32"/>
  <c r="S229" i="32"/>
  <c r="T229" i="32"/>
  <c r="Z68" i="32"/>
  <c r="U67" i="32"/>
  <c r="U230" i="32"/>
  <c r="X179" i="32"/>
  <c r="S178" i="32"/>
  <c r="V178" i="32"/>
  <c r="T178" i="32"/>
  <c r="T127" i="32"/>
  <c r="S230" i="32"/>
  <c r="Z60" i="32"/>
  <c r="V60" i="32"/>
  <c r="S60" i="32"/>
  <c r="X64" i="32"/>
  <c r="U63" i="32"/>
  <c r="Z230" i="32"/>
  <c r="S127" i="32"/>
  <c r="U127" i="32"/>
  <c r="Z178" i="32"/>
  <c r="V68" i="32"/>
  <c r="S68" i="32"/>
  <c r="V289" i="32"/>
  <c r="U289" i="32"/>
  <c r="AD249" i="32"/>
  <c r="AG249" i="32" s="1"/>
  <c r="S77" i="32"/>
  <c r="Z77" i="32"/>
  <c r="V77" i="32"/>
  <c r="U175" i="32"/>
  <c r="V112" i="32"/>
  <c r="U112" i="32"/>
  <c r="I111" i="32"/>
  <c r="H111" i="33" s="1"/>
  <c r="AF252" i="32"/>
  <c r="AG250" i="32"/>
  <c r="AG252" i="32"/>
  <c r="AG246" i="32"/>
  <c r="M246" i="33" s="1"/>
  <c r="G38" i="32"/>
  <c r="I38" i="33" s="1"/>
  <c r="AF246" i="32"/>
  <c r="L246" i="33" s="1"/>
  <c r="G187" i="32"/>
  <c r="I187" i="33" s="1"/>
  <c r="AF250" i="32"/>
  <c r="AB171" i="32"/>
  <c r="D195" i="16"/>
  <c r="D97" i="16"/>
  <c r="D65" i="16"/>
  <c r="D49" i="16"/>
  <c r="D33" i="16"/>
  <c r="D25" i="16"/>
  <c r="D257" i="16"/>
  <c r="D214" i="16"/>
  <c r="D192" i="16"/>
  <c r="D104" i="16"/>
  <c r="D80" i="16"/>
  <c r="D24" i="16"/>
  <c r="D55" i="16"/>
  <c r="D47" i="16"/>
  <c r="D39" i="16"/>
  <c r="D13" i="16"/>
  <c r="D220" i="16"/>
  <c r="D212" i="16"/>
  <c r="D166" i="16"/>
  <c r="D142" i="16"/>
  <c r="D134" i="16"/>
  <c r="D110" i="16"/>
  <c r="D102" i="16"/>
  <c r="D11" i="16"/>
  <c r="D199" i="16"/>
  <c r="D93" i="16"/>
  <c r="D45" i="16"/>
  <c r="D19" i="16"/>
  <c r="D6" i="16"/>
  <c r="D210" i="16"/>
  <c r="D188" i="16"/>
  <c r="D164" i="16"/>
  <c r="D108" i="16"/>
  <c r="D100" i="16"/>
  <c r="D84" i="16"/>
  <c r="D206" i="16"/>
  <c r="D197" i="16"/>
  <c r="D35" i="16"/>
  <c r="D259" i="16"/>
  <c r="D241" i="16"/>
  <c r="D232" i="16"/>
  <c r="D216" i="16"/>
  <c r="D186" i="16"/>
  <c r="D90" i="16"/>
  <c r="H41" i="32"/>
  <c r="G40" i="32"/>
  <c r="I40" i="33" s="1"/>
  <c r="H15" i="32"/>
  <c r="J15" i="33" s="1"/>
  <c r="G14" i="32"/>
  <c r="I14" i="33" s="1"/>
  <c r="H95" i="32"/>
  <c r="J95" i="33" s="1"/>
  <c r="G94" i="32"/>
  <c r="I94" i="33" s="1"/>
  <c r="H261" i="32"/>
  <c r="J261" i="33" s="1"/>
  <c r="G260" i="32"/>
  <c r="I260" i="33" s="1"/>
  <c r="H140" i="32"/>
  <c r="J140" i="33" s="1"/>
  <c r="G139" i="32"/>
  <c r="I139" i="33" s="1"/>
  <c r="H222" i="32"/>
  <c r="G221" i="32"/>
  <c r="I221" i="33" s="1"/>
  <c r="G177" i="32"/>
  <c r="I177" i="33" s="1"/>
  <c r="H136" i="32"/>
  <c r="J136" i="33" s="1"/>
  <c r="G135" i="32"/>
  <c r="I135" i="33" s="1"/>
  <c r="H21" i="32"/>
  <c r="G20" i="32"/>
  <c r="I20" i="33" s="1"/>
  <c r="G85" i="32"/>
  <c r="I85" i="33" s="1"/>
  <c r="H168" i="32"/>
  <c r="J168" i="33" s="1"/>
  <c r="G167" i="32"/>
  <c r="I167" i="33" s="1"/>
  <c r="H253" i="32"/>
  <c r="G252" i="32"/>
  <c r="I252" i="33" s="1"/>
  <c r="H113" i="32"/>
  <c r="G112" i="32"/>
  <c r="I112" i="33" s="1"/>
  <c r="H59" i="32"/>
  <c r="J59" i="33" s="1"/>
  <c r="G58" i="32"/>
  <c r="I58" i="33" s="1"/>
  <c r="H201" i="32"/>
  <c r="J201" i="33" s="1"/>
  <c r="G200" i="32"/>
  <c r="I200" i="33" s="1"/>
  <c r="H238" i="32"/>
  <c r="G237" i="32"/>
  <c r="I237" i="33" s="1"/>
  <c r="H27" i="32"/>
  <c r="J27" i="33" s="1"/>
  <c r="G26" i="32"/>
  <c r="I26" i="33" s="1"/>
  <c r="G91" i="32"/>
  <c r="I91" i="33" s="1"/>
  <c r="G81" i="32"/>
  <c r="I81" i="33" s="1"/>
  <c r="G189" i="32"/>
  <c r="I189" i="33" s="1"/>
  <c r="H247" i="32"/>
  <c r="G246" i="32"/>
  <c r="I246" i="33" s="1"/>
  <c r="I112" i="32"/>
  <c r="H112" i="33" s="1"/>
  <c r="I113" i="32"/>
  <c r="H113" i="33" s="1"/>
  <c r="N2" i="33"/>
  <c r="O80" i="33"/>
  <c r="O2" i="33"/>
  <c r="O195" i="33"/>
  <c r="O257" i="33"/>
  <c r="O232" i="33"/>
  <c r="O164" i="33"/>
  <c r="O47" i="33"/>
  <c r="O33" i="33"/>
  <c r="O259" i="33"/>
  <c r="O97" i="33"/>
  <c r="O57" i="33"/>
  <c r="O216" i="33"/>
  <c r="O199" i="33"/>
  <c r="O138" i="33"/>
  <c r="O248" i="33"/>
  <c r="O4" i="33"/>
  <c r="O220" i="33"/>
  <c r="O142" i="33"/>
  <c r="O55" i="33"/>
  <c r="O209" i="33"/>
  <c r="O106" i="33"/>
  <c r="O270" i="33"/>
  <c r="O166" i="33"/>
  <c r="O104" i="33"/>
  <c r="O134" i="33"/>
  <c r="O102" i="33"/>
  <c r="O186" i="33"/>
  <c r="O49" i="33"/>
  <c r="O214" i="33"/>
  <c r="O240" i="33"/>
  <c r="O302" i="33"/>
  <c r="O266" i="33"/>
  <c r="O35" i="33"/>
  <c r="N35" i="33"/>
  <c r="N164" i="33"/>
  <c r="O244" i="33"/>
  <c r="O236" i="33"/>
  <c r="O205" i="33"/>
  <c r="N4" i="33"/>
  <c r="N188" i="33"/>
  <c r="O188" i="33"/>
  <c r="O93" i="33"/>
  <c r="O84" i="33"/>
  <c r="N84" i="33"/>
  <c r="O19" i="33"/>
  <c r="N19" i="33"/>
  <c r="O212" i="33"/>
  <c r="O100" i="33"/>
  <c r="O37" i="33"/>
  <c r="O197" i="33"/>
  <c r="O10" i="33"/>
  <c r="N10" i="33"/>
  <c r="O176" i="33"/>
  <c r="O25" i="33"/>
  <c r="O45" i="33"/>
  <c r="O13" i="33"/>
  <c r="O108" i="33"/>
  <c r="N259" i="33"/>
  <c r="N195" i="33"/>
  <c r="O263" i="33"/>
  <c r="N263" i="33"/>
  <c r="O110" i="33"/>
  <c r="N110" i="33"/>
  <c r="O90" i="33"/>
  <c r="N90" i="33"/>
  <c r="O218" i="33"/>
  <c r="N218" i="33"/>
  <c r="O192" i="33"/>
  <c r="N220" i="33"/>
  <c r="O39" i="33"/>
  <c r="N39" i="33"/>
  <c r="O65" i="33"/>
  <c r="O305" i="33"/>
  <c r="N266" i="33"/>
  <c r="N186" i="33"/>
  <c r="N138" i="33"/>
  <c r="N106" i="33"/>
  <c r="N305" i="33"/>
  <c r="N257" i="33"/>
  <c r="N209" i="33"/>
  <c r="N97" i="33"/>
  <c r="N65" i="33"/>
  <c r="N57" i="33"/>
  <c r="N49" i="33"/>
  <c r="N33" i="33"/>
  <c r="N25" i="33"/>
  <c r="N248" i="33"/>
  <c r="N240" i="33"/>
  <c r="N232" i="33"/>
  <c r="N216" i="33"/>
  <c r="N192" i="33"/>
  <c r="N176" i="33"/>
  <c r="N104" i="33"/>
  <c r="N80" i="33"/>
  <c r="N199" i="33"/>
  <c r="N55" i="33"/>
  <c r="N47" i="33"/>
  <c r="N302" i="33"/>
  <c r="N270" i="33"/>
  <c r="N214" i="33"/>
  <c r="N166" i="33"/>
  <c r="N142" i="33"/>
  <c r="N134" i="33"/>
  <c r="N102" i="33"/>
  <c r="N22" i="33"/>
  <c r="H116" i="16"/>
  <c r="H144" i="16"/>
  <c r="U72" i="32" l="1"/>
  <c r="S72" i="32"/>
  <c r="V72" i="32"/>
  <c r="W70" i="32"/>
  <c r="W270" i="32"/>
  <c r="T72" i="32"/>
  <c r="W159" i="32"/>
  <c r="W105" i="32"/>
  <c r="Z72" i="32"/>
  <c r="X114" i="32"/>
  <c r="S113" i="32"/>
  <c r="U113" i="32"/>
  <c r="Z113" i="32"/>
  <c r="V113" i="32"/>
  <c r="T113" i="32"/>
  <c r="Z112" i="32"/>
  <c r="S112" i="32"/>
  <c r="T112" i="32"/>
  <c r="W110" i="32"/>
  <c r="W155" i="32"/>
  <c r="W107" i="32"/>
  <c r="W202" i="32"/>
  <c r="X94" i="32"/>
  <c r="Z93" i="32"/>
  <c r="V93" i="32"/>
  <c r="T93" i="32"/>
  <c r="S93" i="32"/>
  <c r="U93" i="32"/>
  <c r="Z204" i="32"/>
  <c r="T204" i="32"/>
  <c r="S204" i="32"/>
  <c r="U204" i="32"/>
  <c r="V160" i="32"/>
  <c r="X161" i="32"/>
  <c r="U160" i="32"/>
  <c r="T160" i="32"/>
  <c r="S160" i="32"/>
  <c r="Z160" i="32"/>
  <c r="T102" i="32"/>
  <c r="Z102" i="32"/>
  <c r="S102" i="32"/>
  <c r="V102" i="32"/>
  <c r="U102" i="32"/>
  <c r="Z256" i="32"/>
  <c r="AB256" i="32" s="1"/>
  <c r="X257" i="32"/>
  <c r="S256" i="32"/>
  <c r="AD256" i="32"/>
  <c r="V256" i="32"/>
  <c r="U256" i="32"/>
  <c r="T256" i="32"/>
  <c r="AC256" i="32"/>
  <c r="Z271" i="32"/>
  <c r="S271" i="32"/>
  <c r="U271" i="32"/>
  <c r="T271" i="32"/>
  <c r="V271" i="32"/>
  <c r="X272" i="32"/>
  <c r="X123" i="32"/>
  <c r="X124" i="32" s="1"/>
  <c r="V122" i="32"/>
  <c r="Z122" i="32"/>
  <c r="S122" i="32"/>
  <c r="U122" i="32"/>
  <c r="T122" i="32"/>
  <c r="X117" i="32"/>
  <c r="T116" i="32"/>
  <c r="S116" i="32"/>
  <c r="U116" i="32"/>
  <c r="V116" i="32"/>
  <c r="Z116" i="32"/>
  <c r="Z208" i="32"/>
  <c r="U208" i="32"/>
  <c r="T208" i="32"/>
  <c r="S208" i="32"/>
  <c r="V208" i="32"/>
  <c r="U150" i="32"/>
  <c r="X151" i="32"/>
  <c r="T150" i="32"/>
  <c r="Z150" i="32"/>
  <c r="S150" i="32"/>
  <c r="V150" i="32"/>
  <c r="U156" i="32"/>
  <c r="S156" i="32"/>
  <c r="T156" i="32"/>
  <c r="Z156" i="32"/>
  <c r="V156" i="32"/>
  <c r="Z108" i="32"/>
  <c r="S108" i="32"/>
  <c r="V108" i="32"/>
  <c r="U108" i="32"/>
  <c r="T108" i="32"/>
  <c r="X167" i="32"/>
  <c r="S166" i="32"/>
  <c r="T166" i="32"/>
  <c r="V166" i="32"/>
  <c r="U166" i="32"/>
  <c r="Z166" i="32"/>
  <c r="G272" i="32"/>
  <c r="I272" i="33" s="1"/>
  <c r="H273" i="32"/>
  <c r="J273" i="33" s="1"/>
  <c r="W222" i="32"/>
  <c r="C197" i="33"/>
  <c r="C197" i="32"/>
  <c r="C6" i="32"/>
  <c r="C6" i="33"/>
  <c r="C134" i="32"/>
  <c r="C134" i="33"/>
  <c r="C55" i="32"/>
  <c r="C55" i="33"/>
  <c r="C33" i="32"/>
  <c r="C33" i="33"/>
  <c r="C186" i="32"/>
  <c r="C186" i="33"/>
  <c r="C84" i="32"/>
  <c r="C84" i="33"/>
  <c r="C45" i="32"/>
  <c r="C45" i="33"/>
  <c r="C166" i="32"/>
  <c r="C166" i="33"/>
  <c r="C80" i="32"/>
  <c r="C80" i="33"/>
  <c r="C65" i="32"/>
  <c r="C65" i="33"/>
  <c r="C216" i="32"/>
  <c r="C216" i="33"/>
  <c r="C100" i="32"/>
  <c r="C100" i="33"/>
  <c r="C93" i="33"/>
  <c r="C93" i="32"/>
  <c r="C212" i="32"/>
  <c r="C212" i="33"/>
  <c r="C104" i="32"/>
  <c r="C104" i="33"/>
  <c r="C97" i="32"/>
  <c r="C97" i="33"/>
  <c r="C2" i="32"/>
  <c r="C2" i="33"/>
  <c r="C232" i="32"/>
  <c r="C232" i="33"/>
  <c r="C108" i="32"/>
  <c r="C108" i="33"/>
  <c r="C199" i="32"/>
  <c r="C199" i="33"/>
  <c r="C220" i="32"/>
  <c r="C220" i="33"/>
  <c r="C192" i="32"/>
  <c r="C192" i="33"/>
  <c r="C195" i="33"/>
  <c r="C195" i="32"/>
  <c r="C241" i="32"/>
  <c r="C241" i="33"/>
  <c r="C164" i="32"/>
  <c r="C164" i="33"/>
  <c r="C11" i="32"/>
  <c r="C11" i="33"/>
  <c r="C13" i="32"/>
  <c r="C13" i="33"/>
  <c r="C214" i="32"/>
  <c r="C214" i="33"/>
  <c r="C259" i="32"/>
  <c r="C259" i="33"/>
  <c r="C188" i="32"/>
  <c r="C188" i="33"/>
  <c r="C102" i="32"/>
  <c r="C102" i="33"/>
  <c r="C39" i="32"/>
  <c r="C39" i="33"/>
  <c r="C257" i="32"/>
  <c r="C257" i="33"/>
  <c r="C35" i="33"/>
  <c r="C35" i="32"/>
  <c r="C210" i="32"/>
  <c r="C210" i="33"/>
  <c r="C110" i="32"/>
  <c r="C110" i="33"/>
  <c r="C47" i="32"/>
  <c r="C47" i="33"/>
  <c r="C25" i="32"/>
  <c r="C25" i="33"/>
  <c r="C90" i="32"/>
  <c r="C90" i="33"/>
  <c r="C206" i="32"/>
  <c r="C206" i="33"/>
  <c r="C19" i="33"/>
  <c r="C19" i="32"/>
  <c r="C142" i="32"/>
  <c r="C142" i="33"/>
  <c r="C24" i="32"/>
  <c r="C24" i="33"/>
  <c r="C49" i="32"/>
  <c r="C49" i="33"/>
  <c r="W221" i="32"/>
  <c r="X291" i="32"/>
  <c r="Z290" i="32"/>
  <c r="V223" i="32"/>
  <c r="W223" i="32" s="1"/>
  <c r="F175" i="32"/>
  <c r="I174" i="32"/>
  <c r="H174" i="33" s="1"/>
  <c r="F96" i="32"/>
  <c r="I96" i="32" s="1"/>
  <c r="H96" i="33" s="1"/>
  <c r="I95" i="32"/>
  <c r="H95" i="33" s="1"/>
  <c r="F83" i="32"/>
  <c r="I82" i="32"/>
  <c r="H82" i="33" s="1"/>
  <c r="I92" i="32"/>
  <c r="H92" i="33" s="1"/>
  <c r="F179" i="32"/>
  <c r="I178" i="32"/>
  <c r="H178" i="33" s="1"/>
  <c r="I79" i="32"/>
  <c r="H79" i="33" s="1"/>
  <c r="F191" i="32"/>
  <c r="I191" i="32" s="1"/>
  <c r="H191" i="33" s="1"/>
  <c r="I190" i="32"/>
  <c r="H190" i="33" s="1"/>
  <c r="F87" i="32"/>
  <c r="I86" i="32"/>
  <c r="H86" i="33" s="1"/>
  <c r="G234" i="32"/>
  <c r="I234" i="33" s="1"/>
  <c r="H235" i="32"/>
  <c r="J235" i="33" s="1"/>
  <c r="AG234" i="32"/>
  <c r="M234" i="33" s="1"/>
  <c r="W133" i="32"/>
  <c r="W63" i="32"/>
  <c r="W198" i="32"/>
  <c r="W101" i="32"/>
  <c r="W141" i="32"/>
  <c r="AF234" i="32"/>
  <c r="L234" i="33" s="1"/>
  <c r="W121" i="32"/>
  <c r="W226" i="32"/>
  <c r="W230" i="32"/>
  <c r="W68" i="32"/>
  <c r="W289" i="32"/>
  <c r="W72" i="32"/>
  <c r="W60" i="32"/>
  <c r="W175" i="32"/>
  <c r="W77" i="32"/>
  <c r="J51" i="33"/>
  <c r="H52" i="32"/>
  <c r="G51" i="32"/>
  <c r="I51" i="33" s="1"/>
  <c r="G247" i="32"/>
  <c r="I247" i="33" s="1"/>
  <c r="J247" i="33"/>
  <c r="G92" i="32"/>
  <c r="I92" i="33" s="1"/>
  <c r="J92" i="33"/>
  <c r="AG253" i="32"/>
  <c r="J253" i="33"/>
  <c r="W67" i="32"/>
  <c r="G243" i="32"/>
  <c r="I243" i="33" s="1"/>
  <c r="J243" i="33"/>
  <c r="J307" i="33"/>
  <c r="H308" i="32"/>
  <c r="G307" i="32"/>
  <c r="I307" i="33" s="1"/>
  <c r="J41" i="33"/>
  <c r="W127" i="32"/>
  <c r="J190" i="33"/>
  <c r="J86" i="33"/>
  <c r="J178" i="33"/>
  <c r="W178" i="32"/>
  <c r="J67" i="33"/>
  <c r="H68" i="32"/>
  <c r="G67" i="32"/>
  <c r="I67" i="33" s="1"/>
  <c r="W229" i="32"/>
  <c r="J82" i="33"/>
  <c r="AF238" i="32"/>
  <c r="L238" i="33" s="1"/>
  <c r="J238" i="33"/>
  <c r="J113" i="33"/>
  <c r="G21" i="32"/>
  <c r="I21" i="33" s="1"/>
  <c r="J21" i="33"/>
  <c r="J222" i="33"/>
  <c r="G99" i="32"/>
  <c r="I99" i="33" s="1"/>
  <c r="J99" i="33"/>
  <c r="S231" i="32"/>
  <c r="T231" i="32"/>
  <c r="U231" i="32"/>
  <c r="V231" i="32"/>
  <c r="T227" i="32"/>
  <c r="V227" i="32"/>
  <c r="S227" i="32"/>
  <c r="U227" i="32"/>
  <c r="Z64" i="32"/>
  <c r="V64" i="32"/>
  <c r="S64" i="32"/>
  <c r="U64" i="32"/>
  <c r="T64" i="32"/>
  <c r="X180" i="32"/>
  <c r="X181" i="32" s="1"/>
  <c r="T179" i="32"/>
  <c r="V179" i="32"/>
  <c r="S179" i="32"/>
  <c r="Z179" i="32"/>
  <c r="U179" i="32"/>
  <c r="V73" i="32"/>
  <c r="T73" i="32"/>
  <c r="S73" i="32"/>
  <c r="U73" i="32"/>
  <c r="Z73" i="32"/>
  <c r="V69" i="32"/>
  <c r="Z69" i="32"/>
  <c r="T69" i="32"/>
  <c r="S69" i="32"/>
  <c r="U69" i="32"/>
  <c r="T290" i="32"/>
  <c r="U290" i="32"/>
  <c r="V290" i="32"/>
  <c r="S290" i="32"/>
  <c r="T78" i="32"/>
  <c r="V78" i="32"/>
  <c r="S78" i="32"/>
  <c r="Z78" i="32"/>
  <c r="U78" i="32"/>
  <c r="AF253" i="32"/>
  <c r="AG238" i="32"/>
  <c r="M238" i="33" s="1"/>
  <c r="G235" i="32"/>
  <c r="I235" i="33" s="1"/>
  <c r="J191" i="33"/>
  <c r="G190" i="32"/>
  <c r="I190" i="33" s="1"/>
  <c r="H202" i="32"/>
  <c r="J202" i="33" s="1"/>
  <c r="G201" i="32"/>
  <c r="I201" i="33" s="1"/>
  <c r="H169" i="32"/>
  <c r="J169" i="33" s="1"/>
  <c r="G168" i="32"/>
  <c r="I168" i="33" s="1"/>
  <c r="H274" i="32"/>
  <c r="J274" i="33" s="1"/>
  <c r="G273" i="32"/>
  <c r="I273" i="33" s="1"/>
  <c r="H16" i="32"/>
  <c r="J16" i="33" s="1"/>
  <c r="G15" i="32"/>
  <c r="I15" i="33" s="1"/>
  <c r="H141" i="32"/>
  <c r="J141" i="33" s="1"/>
  <c r="G140" i="32"/>
  <c r="I140" i="33" s="1"/>
  <c r="J83" i="33"/>
  <c r="G82" i="32"/>
  <c r="I82" i="33" s="1"/>
  <c r="H60" i="32"/>
  <c r="J60" i="33" s="1"/>
  <c r="G59" i="32"/>
  <c r="I59" i="33" s="1"/>
  <c r="J87" i="33"/>
  <c r="G86" i="32"/>
  <c r="I86" i="33" s="1"/>
  <c r="H137" i="32"/>
  <c r="J137" i="33" s="1"/>
  <c r="G136" i="32"/>
  <c r="I136" i="33" s="1"/>
  <c r="H114" i="32"/>
  <c r="J114" i="33" s="1"/>
  <c r="G113" i="32"/>
  <c r="I113" i="33" s="1"/>
  <c r="H262" i="32"/>
  <c r="J262" i="33" s="1"/>
  <c r="G261" i="32"/>
  <c r="I261" i="33" s="1"/>
  <c r="H239" i="32"/>
  <c r="J239" i="33" s="1"/>
  <c r="G238" i="32"/>
  <c r="I238" i="33" s="1"/>
  <c r="J179" i="33"/>
  <c r="G178" i="32"/>
  <c r="I178" i="33" s="1"/>
  <c r="H42" i="32"/>
  <c r="J42" i="33" s="1"/>
  <c r="G41" i="32"/>
  <c r="I41" i="33" s="1"/>
  <c r="H254" i="32"/>
  <c r="J254" i="33" s="1"/>
  <c r="G253" i="32"/>
  <c r="I253" i="33" s="1"/>
  <c r="H96" i="32"/>
  <c r="J96" i="33" s="1"/>
  <c r="G95" i="32"/>
  <c r="I95" i="33" s="1"/>
  <c r="H28" i="32"/>
  <c r="J28" i="33" s="1"/>
  <c r="G27" i="32"/>
  <c r="I27" i="33" s="1"/>
  <c r="H223" i="32"/>
  <c r="J223" i="33" s="1"/>
  <c r="G222" i="32"/>
  <c r="I222" i="33" s="1"/>
  <c r="H144" i="32"/>
  <c r="J144" i="33" s="1"/>
  <c r="H116" i="32"/>
  <c r="J116" i="33" s="1"/>
  <c r="H122" i="16"/>
  <c r="H128" i="16" s="1"/>
  <c r="H146" i="16"/>
  <c r="H148" i="16" s="1"/>
  <c r="O40" i="33"/>
  <c r="N40" i="33"/>
  <c r="O198" i="33"/>
  <c r="N198" i="33"/>
  <c r="N3" i="33"/>
  <c r="O3" i="33"/>
  <c r="AB2" i="33" s="1"/>
  <c r="O177" i="33"/>
  <c r="N177" i="33"/>
  <c r="N189" i="33"/>
  <c r="O189" i="33"/>
  <c r="O94" i="33"/>
  <c r="N94" i="33"/>
  <c r="O267" i="33"/>
  <c r="N267" i="33"/>
  <c r="O249" i="33"/>
  <c r="N249" i="33"/>
  <c r="O81" i="33"/>
  <c r="N81" i="33"/>
  <c r="N85" i="33"/>
  <c r="O85" i="33"/>
  <c r="O260" i="33"/>
  <c r="N260" i="33"/>
  <c r="N221" i="33"/>
  <c r="O221" i="33"/>
  <c r="O167" i="33"/>
  <c r="N167" i="33"/>
  <c r="N107" i="33"/>
  <c r="O107" i="33"/>
  <c r="N109" i="33"/>
  <c r="O109" i="33"/>
  <c r="O14" i="33"/>
  <c r="N14" i="33"/>
  <c r="O264" i="33"/>
  <c r="N264" i="33"/>
  <c r="N237" i="33"/>
  <c r="O237" i="33"/>
  <c r="O210" i="33"/>
  <c r="N210" i="33"/>
  <c r="O98" i="33"/>
  <c r="N98" i="33"/>
  <c r="O143" i="33"/>
  <c r="N143" i="33"/>
  <c r="O46" i="33"/>
  <c r="N46" i="33"/>
  <c r="O26" i="33"/>
  <c r="N26" i="33"/>
  <c r="N101" i="33"/>
  <c r="O101" i="33"/>
  <c r="O66" i="33"/>
  <c r="N66" i="33"/>
  <c r="N91" i="33"/>
  <c r="O91" i="33"/>
  <c r="O241" i="33"/>
  <c r="N241" i="33"/>
  <c r="O135" i="33"/>
  <c r="N135" i="33"/>
  <c r="O50" i="33"/>
  <c r="N50" i="33"/>
  <c r="O34" i="33"/>
  <c r="N34" i="33"/>
  <c r="N165" i="33"/>
  <c r="O165" i="33"/>
  <c r="O193" i="33"/>
  <c r="N193" i="33"/>
  <c r="O111" i="33"/>
  <c r="N111" i="33"/>
  <c r="O56" i="33"/>
  <c r="N56" i="33"/>
  <c r="O303" i="33"/>
  <c r="N303" i="33"/>
  <c r="O187" i="33"/>
  <c r="N187" i="33"/>
  <c r="O58" i="33"/>
  <c r="N58" i="33"/>
  <c r="O200" i="33"/>
  <c r="N200" i="33"/>
  <c r="O306" i="33"/>
  <c r="N306" i="33"/>
  <c r="O105" i="33"/>
  <c r="N105" i="33"/>
  <c r="N5" i="33"/>
  <c r="O5" i="33"/>
  <c r="O103" i="33"/>
  <c r="N103" i="33"/>
  <c r="O196" i="33"/>
  <c r="N196" i="33"/>
  <c r="O206" i="33"/>
  <c r="N206" i="33"/>
  <c r="N20" i="33"/>
  <c r="O20" i="33"/>
  <c r="O233" i="33"/>
  <c r="N233" i="33"/>
  <c r="O36" i="33"/>
  <c r="N36" i="33"/>
  <c r="O217" i="33"/>
  <c r="N217" i="33"/>
  <c r="N213" i="33"/>
  <c r="O213" i="33"/>
  <c r="N11" i="33"/>
  <c r="O11" i="33"/>
  <c r="O219" i="33"/>
  <c r="N219" i="33"/>
  <c r="O23" i="33"/>
  <c r="N23" i="33"/>
  <c r="O271" i="33"/>
  <c r="N271" i="33"/>
  <c r="N245" i="33"/>
  <c r="O245" i="33"/>
  <c r="O48" i="33"/>
  <c r="N48" i="33"/>
  <c r="O139" i="33"/>
  <c r="N139" i="33"/>
  <c r="O38" i="33"/>
  <c r="N38" i="33"/>
  <c r="O258" i="33"/>
  <c r="N258" i="33"/>
  <c r="O215" i="33"/>
  <c r="N215" i="33"/>
  <c r="O5" i="16"/>
  <c r="W112" i="32" l="1"/>
  <c r="W204" i="32"/>
  <c r="W113" i="32"/>
  <c r="T114" i="32"/>
  <c r="V114" i="32"/>
  <c r="Z114" i="32"/>
  <c r="S114" i="32"/>
  <c r="W114" i="32" s="1"/>
  <c r="X115" i="32"/>
  <c r="U114" i="32"/>
  <c r="W122" i="32"/>
  <c r="W271" i="32"/>
  <c r="W160" i="32"/>
  <c r="V124" i="32"/>
  <c r="T124" i="32"/>
  <c r="U124" i="32"/>
  <c r="Z124" i="32"/>
  <c r="S124" i="32"/>
  <c r="W256" i="32"/>
  <c r="W156" i="32"/>
  <c r="W116" i="32"/>
  <c r="S123" i="32"/>
  <c r="U123" i="32"/>
  <c r="T123" i="32"/>
  <c r="Z123" i="32"/>
  <c r="V123" i="32"/>
  <c r="V161" i="32"/>
  <c r="Z161" i="32"/>
  <c r="T161" i="32"/>
  <c r="S161" i="32"/>
  <c r="U161" i="32"/>
  <c r="U151" i="32"/>
  <c r="T151" i="32"/>
  <c r="Z151" i="32"/>
  <c r="S151" i="32"/>
  <c r="V151" i="32"/>
  <c r="W208" i="32"/>
  <c r="X273" i="32"/>
  <c r="Z272" i="32"/>
  <c r="U272" i="32"/>
  <c r="T272" i="32"/>
  <c r="S272" i="32"/>
  <c r="V272" i="32"/>
  <c r="W102" i="32"/>
  <c r="Z257" i="32"/>
  <c r="X258" i="32"/>
  <c r="T257" i="32"/>
  <c r="S257" i="32"/>
  <c r="V257" i="32"/>
  <c r="U257" i="32"/>
  <c r="W166" i="32"/>
  <c r="X118" i="32"/>
  <c r="V117" i="32"/>
  <c r="Z117" i="32"/>
  <c r="T117" i="32"/>
  <c r="S117" i="32"/>
  <c r="U117" i="32"/>
  <c r="X182" i="32"/>
  <c r="X183" i="32" s="1"/>
  <c r="S181" i="32"/>
  <c r="U181" i="32"/>
  <c r="V181" i="32"/>
  <c r="Z181" i="32"/>
  <c r="AB181" i="32" s="1"/>
  <c r="AC181" i="32"/>
  <c r="T181" i="32"/>
  <c r="AD181" i="32"/>
  <c r="X168" i="32"/>
  <c r="S167" i="32"/>
  <c r="T167" i="32"/>
  <c r="U167" i="32"/>
  <c r="V167" i="32"/>
  <c r="Z167" i="32"/>
  <c r="W93" i="32"/>
  <c r="W108" i="32"/>
  <c r="W150" i="32"/>
  <c r="V94" i="32"/>
  <c r="X95" i="32"/>
  <c r="S94" i="32"/>
  <c r="U94" i="32"/>
  <c r="T94" i="32"/>
  <c r="Z94" i="32"/>
  <c r="Z291" i="32"/>
  <c r="X292" i="32"/>
  <c r="F88" i="32"/>
  <c r="I87" i="32"/>
  <c r="H87" i="33" s="1"/>
  <c r="I83" i="32"/>
  <c r="H83" i="33" s="1"/>
  <c r="F180" i="32"/>
  <c r="I179" i="32"/>
  <c r="H179" i="33" s="1"/>
  <c r="I175" i="32"/>
  <c r="H175" i="33" s="1"/>
  <c r="W290" i="32"/>
  <c r="W179" i="32"/>
  <c r="W231" i="32"/>
  <c r="W69" i="32"/>
  <c r="W64" i="32"/>
  <c r="J68" i="33"/>
  <c r="H69" i="32"/>
  <c r="G68" i="32"/>
  <c r="I68" i="33" s="1"/>
  <c r="J308" i="33"/>
  <c r="H309" i="32"/>
  <c r="G308" i="32"/>
  <c r="I308" i="33" s="1"/>
  <c r="W227" i="32"/>
  <c r="W73" i="32"/>
  <c r="J52" i="33"/>
  <c r="H53" i="32"/>
  <c r="G52" i="32"/>
  <c r="I52" i="33" s="1"/>
  <c r="W78" i="32"/>
  <c r="T180" i="32"/>
  <c r="Z180" i="32"/>
  <c r="V180" i="32"/>
  <c r="U180" i="32"/>
  <c r="S180" i="32"/>
  <c r="V291" i="32"/>
  <c r="T291" i="32"/>
  <c r="S291" i="32"/>
  <c r="U291" i="32"/>
  <c r="Z79" i="32"/>
  <c r="U79" i="32"/>
  <c r="V79" i="32"/>
  <c r="T79" i="32"/>
  <c r="S79" i="32"/>
  <c r="V74" i="32"/>
  <c r="U74" i="32"/>
  <c r="T74" i="32"/>
  <c r="Z74" i="32"/>
  <c r="S74" i="32"/>
  <c r="G239" i="32"/>
  <c r="I239" i="33" s="1"/>
  <c r="G191" i="32"/>
  <c r="I191" i="33" s="1"/>
  <c r="G144" i="32"/>
  <c r="I144" i="33" s="1"/>
  <c r="O144" i="33" s="1"/>
  <c r="G141" i="32"/>
  <c r="I141" i="33" s="1"/>
  <c r="G116" i="32"/>
  <c r="I116" i="33" s="1"/>
  <c r="N116" i="33" s="1"/>
  <c r="G137" i="32"/>
  <c r="I137" i="33" s="1"/>
  <c r="G83" i="32"/>
  <c r="I83" i="33" s="1"/>
  <c r="G262" i="32"/>
  <c r="I262" i="33" s="1"/>
  <c r="G96" i="32"/>
  <c r="I96" i="33" s="1"/>
  <c r="H255" i="32"/>
  <c r="J255" i="33" s="1"/>
  <c r="G254" i="32"/>
  <c r="I254" i="33" s="1"/>
  <c r="H43" i="32"/>
  <c r="J43" i="33" s="1"/>
  <c r="G42" i="32"/>
  <c r="I42" i="33" s="1"/>
  <c r="H115" i="32"/>
  <c r="J115" i="33" s="1"/>
  <c r="G114" i="32"/>
  <c r="I114" i="33" s="1"/>
  <c r="H275" i="32"/>
  <c r="J275" i="33" s="1"/>
  <c r="G274" i="32"/>
  <c r="I274" i="33" s="1"/>
  <c r="H170" i="32"/>
  <c r="J170" i="33" s="1"/>
  <c r="G169" i="32"/>
  <c r="I169" i="33" s="1"/>
  <c r="J180" i="33"/>
  <c r="G179" i="32"/>
  <c r="I179" i="33" s="1"/>
  <c r="H224" i="32"/>
  <c r="J224" i="33" s="1"/>
  <c r="G223" i="32"/>
  <c r="I223" i="33" s="1"/>
  <c r="J88" i="33"/>
  <c r="G87" i="32"/>
  <c r="I87" i="33" s="1"/>
  <c r="H203" i="32"/>
  <c r="J203" i="33" s="1"/>
  <c r="G202" i="32"/>
  <c r="I202" i="33" s="1"/>
  <c r="H29" i="32"/>
  <c r="J29" i="33" s="1"/>
  <c r="G28" i="32"/>
  <c r="I28" i="33" s="1"/>
  <c r="H61" i="32"/>
  <c r="J61" i="33" s="1"/>
  <c r="G60" i="32"/>
  <c r="I60" i="33" s="1"/>
  <c r="H17" i="32"/>
  <c r="J17" i="33" s="1"/>
  <c r="G16" i="32"/>
  <c r="I16" i="33" s="1"/>
  <c r="H148" i="32"/>
  <c r="J148" i="33" s="1"/>
  <c r="H146" i="32"/>
  <c r="J146" i="33" s="1"/>
  <c r="H122" i="32"/>
  <c r="J122" i="33" s="1"/>
  <c r="H145" i="32"/>
  <c r="J145" i="33" s="1"/>
  <c r="H128" i="32"/>
  <c r="J128" i="33" s="1"/>
  <c r="H117" i="32"/>
  <c r="J117" i="33" s="1"/>
  <c r="AE2" i="33"/>
  <c r="AD2" i="33"/>
  <c r="AC2" i="33"/>
  <c r="AA2" i="33"/>
  <c r="Z3" i="33"/>
  <c r="AA3" i="33"/>
  <c r="AB3" i="33"/>
  <c r="AC3" i="33"/>
  <c r="AD3" i="33"/>
  <c r="AE3" i="33"/>
  <c r="Z2" i="33"/>
  <c r="O168" i="33"/>
  <c r="N168" i="33"/>
  <c r="O250" i="33"/>
  <c r="N250" i="33"/>
  <c r="N12" i="33"/>
  <c r="O12" i="33"/>
  <c r="N59" i="33"/>
  <c r="O59" i="33"/>
  <c r="O95" i="33"/>
  <c r="N95" i="33"/>
  <c r="O238" i="33"/>
  <c r="N238" i="33"/>
  <c r="O211" i="33"/>
  <c r="N211" i="33"/>
  <c r="O207" i="33"/>
  <c r="N207" i="33"/>
  <c r="O86" i="33"/>
  <c r="N86" i="33"/>
  <c r="O307" i="33"/>
  <c r="N307" i="33"/>
  <c r="O41" i="33"/>
  <c r="N41" i="33"/>
  <c r="O234" i="33"/>
  <c r="N234" i="33"/>
  <c r="O82" i="33"/>
  <c r="N82" i="33"/>
  <c r="O272" i="33"/>
  <c r="N272" i="33"/>
  <c r="O92" i="33"/>
  <c r="N92" i="33"/>
  <c r="O222" i="33"/>
  <c r="N222" i="33"/>
  <c r="N268" i="33"/>
  <c r="O268" i="33"/>
  <c r="N51" i="33"/>
  <c r="O51" i="33"/>
  <c r="O242" i="33"/>
  <c r="N242" i="33"/>
  <c r="O246" i="33"/>
  <c r="N246" i="33"/>
  <c r="O265" i="33"/>
  <c r="N265" i="33"/>
  <c r="O24" i="33"/>
  <c r="N24" i="33"/>
  <c r="O201" i="33"/>
  <c r="N201" i="33"/>
  <c r="N27" i="33"/>
  <c r="O27" i="33"/>
  <c r="O194" i="33"/>
  <c r="N194" i="33"/>
  <c r="O112" i="33"/>
  <c r="N112" i="33"/>
  <c r="O99" i="33"/>
  <c r="N99" i="33"/>
  <c r="O136" i="33"/>
  <c r="N136" i="33"/>
  <c r="N261" i="33"/>
  <c r="O261" i="33"/>
  <c r="N67" i="33"/>
  <c r="O67" i="33"/>
  <c r="N21" i="33"/>
  <c r="O21" i="33"/>
  <c r="O6" i="33"/>
  <c r="N6" i="33"/>
  <c r="O304" i="33"/>
  <c r="N304" i="33"/>
  <c r="O190" i="33"/>
  <c r="N190" i="33"/>
  <c r="O178" i="33"/>
  <c r="N178" i="33"/>
  <c r="O15" i="33"/>
  <c r="N15" i="33"/>
  <c r="N140" i="33"/>
  <c r="O140" i="33"/>
  <c r="H150" i="16"/>
  <c r="O23" i="16"/>
  <c r="Y23" i="32" s="1"/>
  <c r="O228" i="16"/>
  <c r="Y228" i="32" s="1"/>
  <c r="AA228" i="32" s="1"/>
  <c r="W272" i="32" l="1"/>
  <c r="U115" i="32"/>
  <c r="S115" i="32"/>
  <c r="T115" i="32"/>
  <c r="V115" i="32"/>
  <c r="Z115" i="32"/>
  <c r="Z183" i="32"/>
  <c r="V183" i="32"/>
  <c r="X184" i="32"/>
  <c r="S183" i="32"/>
  <c r="U183" i="32"/>
  <c r="T183" i="32"/>
  <c r="W124" i="32"/>
  <c r="W161" i="32"/>
  <c r="X169" i="32"/>
  <c r="T168" i="32"/>
  <c r="U168" i="32"/>
  <c r="Z168" i="32"/>
  <c r="S168" i="32"/>
  <c r="V168" i="32"/>
  <c r="W117" i="32"/>
  <c r="W257" i="32"/>
  <c r="Z182" i="32"/>
  <c r="U182" i="32"/>
  <c r="S182" i="32"/>
  <c r="T182" i="32"/>
  <c r="V182" i="32"/>
  <c r="Z258" i="32"/>
  <c r="X259" i="32"/>
  <c r="V258" i="32"/>
  <c r="T258" i="32"/>
  <c r="S258" i="32"/>
  <c r="U258" i="32"/>
  <c r="W123" i="32"/>
  <c r="W94" i="32"/>
  <c r="X96" i="32"/>
  <c r="U95" i="32"/>
  <c r="V95" i="32"/>
  <c r="S95" i="32"/>
  <c r="T95" i="32"/>
  <c r="Z95" i="32"/>
  <c r="T118" i="32"/>
  <c r="S118" i="32"/>
  <c r="U118" i="32"/>
  <c r="Z118" i="32"/>
  <c r="V118" i="32"/>
  <c r="Z273" i="32"/>
  <c r="X274" i="32"/>
  <c r="T273" i="32"/>
  <c r="V273" i="32"/>
  <c r="U273" i="32"/>
  <c r="S273" i="32"/>
  <c r="W273" i="32" s="1"/>
  <c r="W167" i="32"/>
  <c r="W181" i="32"/>
  <c r="W151" i="32"/>
  <c r="X293" i="32"/>
  <c r="Z292" i="32"/>
  <c r="F181" i="32"/>
  <c r="I180" i="32"/>
  <c r="H180" i="33" s="1"/>
  <c r="F89" i="32"/>
  <c r="I88" i="32"/>
  <c r="H88" i="33" s="1"/>
  <c r="AC228" i="32"/>
  <c r="AA23" i="32"/>
  <c r="AC23" i="32"/>
  <c r="AF23" i="32" s="1"/>
  <c r="L23" i="33" s="1"/>
  <c r="N144" i="33"/>
  <c r="W79" i="32"/>
  <c r="J69" i="33"/>
  <c r="H70" i="32"/>
  <c r="G69" i="32"/>
  <c r="I69" i="33" s="1"/>
  <c r="O116" i="33"/>
  <c r="J53" i="33"/>
  <c r="H54" i="32"/>
  <c r="G53" i="32"/>
  <c r="I53" i="33" s="1"/>
  <c r="W74" i="32"/>
  <c r="W291" i="32"/>
  <c r="J309" i="33"/>
  <c r="H310" i="32"/>
  <c r="G309" i="32"/>
  <c r="I309" i="33" s="1"/>
  <c r="W180" i="32"/>
  <c r="T292" i="32"/>
  <c r="V292" i="32"/>
  <c r="S292" i="32"/>
  <c r="U292" i="32"/>
  <c r="G122" i="32"/>
  <c r="I122" i="33" s="1"/>
  <c r="N122" i="33" s="1"/>
  <c r="G115" i="32"/>
  <c r="I115" i="33" s="1"/>
  <c r="AG255" i="32"/>
  <c r="AF255" i="32"/>
  <c r="G148" i="32"/>
  <c r="I148" i="33" s="1"/>
  <c r="O148" i="33" s="1"/>
  <c r="G145" i="32"/>
  <c r="I145" i="33" s="1"/>
  <c r="O145" i="33" s="1"/>
  <c r="H118" i="32"/>
  <c r="J118" i="33" s="1"/>
  <c r="G117" i="32"/>
  <c r="I117" i="33" s="1"/>
  <c r="O117" i="33" s="1"/>
  <c r="H129" i="32"/>
  <c r="J129" i="33" s="1"/>
  <c r="G128" i="32"/>
  <c r="I128" i="33" s="1"/>
  <c r="O128" i="33" s="1"/>
  <c r="H225" i="32"/>
  <c r="J225" i="33" s="1"/>
  <c r="G224" i="32"/>
  <c r="I224" i="33" s="1"/>
  <c r="H18" i="32"/>
  <c r="J18" i="33" s="1"/>
  <c r="G17" i="32"/>
  <c r="I17" i="33" s="1"/>
  <c r="H30" i="32"/>
  <c r="J30" i="33" s="1"/>
  <c r="G29" i="32"/>
  <c r="I29" i="33" s="1"/>
  <c r="J181" i="33"/>
  <c r="G180" i="32"/>
  <c r="I180" i="33" s="1"/>
  <c r="H62" i="32"/>
  <c r="J62" i="33" s="1"/>
  <c r="G61" i="32"/>
  <c r="I61" i="33" s="1"/>
  <c r="H204" i="32"/>
  <c r="J204" i="33" s="1"/>
  <c r="G203" i="32"/>
  <c r="I203" i="33" s="1"/>
  <c r="H171" i="32"/>
  <c r="G170" i="32"/>
  <c r="I170" i="33" s="1"/>
  <c r="H44" i="32"/>
  <c r="J44" i="33" s="1"/>
  <c r="G43" i="32"/>
  <c r="I43" i="33" s="1"/>
  <c r="H147" i="32"/>
  <c r="J147" i="33" s="1"/>
  <c r="G146" i="32"/>
  <c r="I146" i="33" s="1"/>
  <c r="O146" i="33" s="1"/>
  <c r="J89" i="33"/>
  <c r="G88" i="32"/>
  <c r="I88" i="33" s="1"/>
  <c r="H276" i="32"/>
  <c r="J276" i="33" s="1"/>
  <c r="G275" i="32"/>
  <c r="I275" i="33" s="1"/>
  <c r="H256" i="32"/>
  <c r="J256" i="33" s="1"/>
  <c r="G255" i="32"/>
  <c r="I255" i="33" s="1"/>
  <c r="H123" i="32"/>
  <c r="J123" i="33" s="1"/>
  <c r="H150" i="32"/>
  <c r="J150" i="33" s="1"/>
  <c r="H149" i="32"/>
  <c r="J149" i="33" s="1"/>
  <c r="N308" i="33"/>
  <c r="O308" i="33"/>
  <c r="N52" i="33"/>
  <c r="O52" i="33"/>
  <c r="N141" i="33"/>
  <c r="O141" i="33"/>
  <c r="O251" i="33"/>
  <c r="N251" i="33"/>
  <c r="O113" i="33"/>
  <c r="N113" i="33"/>
  <c r="O247" i="33"/>
  <c r="N247" i="33"/>
  <c r="O262" i="33"/>
  <c r="N262" i="33"/>
  <c r="N269" i="33"/>
  <c r="O269" i="33"/>
  <c r="O169" i="33"/>
  <c r="N169" i="33"/>
  <c r="O239" i="33"/>
  <c r="N239" i="33"/>
  <c r="O137" i="33"/>
  <c r="N137" i="33"/>
  <c r="O191" i="33"/>
  <c r="N191" i="33"/>
  <c r="O87" i="33"/>
  <c r="N87" i="33"/>
  <c r="O243" i="33"/>
  <c r="N243" i="33"/>
  <c r="O16" i="33"/>
  <c r="N16" i="33"/>
  <c r="O179" i="33"/>
  <c r="N179" i="33"/>
  <c r="O208" i="33"/>
  <c r="N208" i="33"/>
  <c r="O7" i="33"/>
  <c r="N7" i="33"/>
  <c r="O273" i="33"/>
  <c r="N273" i="33"/>
  <c r="N68" i="33"/>
  <c r="O68" i="33"/>
  <c r="O28" i="33"/>
  <c r="N28" i="33"/>
  <c r="O96" i="33"/>
  <c r="N96" i="33"/>
  <c r="O235" i="33"/>
  <c r="N235" i="33"/>
  <c r="O223" i="33"/>
  <c r="N223" i="33"/>
  <c r="N60" i="33"/>
  <c r="O60" i="33"/>
  <c r="O202" i="33"/>
  <c r="N202" i="33"/>
  <c r="O42" i="33"/>
  <c r="N42" i="33"/>
  <c r="N83" i="33"/>
  <c r="O83" i="33"/>
  <c r="H152" i="16"/>
  <c r="O3" i="16"/>
  <c r="Y3" i="32" s="1"/>
  <c r="O4" i="16"/>
  <c r="Y4" i="32" s="1"/>
  <c r="O6" i="16"/>
  <c r="Y6" i="32" s="1"/>
  <c r="AE6" i="32" s="1"/>
  <c r="O7" i="16"/>
  <c r="O8" i="16"/>
  <c r="Y8" i="32" s="1"/>
  <c r="O9" i="16"/>
  <c r="O10" i="16"/>
  <c r="Y10" i="32" s="1"/>
  <c r="O11" i="16"/>
  <c r="Y11" i="32" s="1"/>
  <c r="AE11" i="32" s="1"/>
  <c r="O12" i="16"/>
  <c r="Y12" i="32" s="1"/>
  <c r="O13" i="16"/>
  <c r="Y13" i="32" s="1"/>
  <c r="AE13" i="32" s="1"/>
  <c r="O14" i="16"/>
  <c r="O15" i="16"/>
  <c r="Y15" i="32" s="1"/>
  <c r="O16" i="16"/>
  <c r="O17" i="16"/>
  <c r="Y17" i="32" s="1"/>
  <c r="O18" i="16"/>
  <c r="O19" i="16"/>
  <c r="Y19" i="32" s="1"/>
  <c r="AE19" i="32" s="1"/>
  <c r="O20" i="16"/>
  <c r="Y20" i="32" s="1"/>
  <c r="O21" i="16"/>
  <c r="Y21" i="32" s="1"/>
  <c r="O22" i="16"/>
  <c r="Y22" i="32" s="1"/>
  <c r="O24" i="16"/>
  <c r="Y24" i="32" s="1"/>
  <c r="O25" i="16"/>
  <c r="Y25" i="32" s="1"/>
  <c r="AE25" i="32" s="1"/>
  <c r="O26" i="16"/>
  <c r="O27" i="16"/>
  <c r="Y27" i="32" s="1"/>
  <c r="O28" i="16"/>
  <c r="O29" i="16"/>
  <c r="Y29" i="32" s="1"/>
  <c r="O30" i="16"/>
  <c r="O31" i="16"/>
  <c r="Y31" i="32" s="1"/>
  <c r="O32" i="16"/>
  <c r="O33" i="16"/>
  <c r="Y33" i="32" s="1"/>
  <c r="AE33" i="32" s="1"/>
  <c r="O34" i="16"/>
  <c r="Y34" i="32" s="1"/>
  <c r="O35" i="16"/>
  <c r="Y35" i="32" s="1"/>
  <c r="AE35" i="32" s="1"/>
  <c r="O36" i="16"/>
  <c r="Y36" i="32" s="1"/>
  <c r="O37" i="16"/>
  <c r="Y37" i="32" s="1"/>
  <c r="AE37" i="32" s="1"/>
  <c r="O38" i="16"/>
  <c r="Y38" i="32" s="1"/>
  <c r="O39" i="16"/>
  <c r="Y39" i="32" s="1"/>
  <c r="AE39" i="32" s="1"/>
  <c r="O40" i="16"/>
  <c r="O41" i="16"/>
  <c r="Y41" i="32" s="1"/>
  <c r="O42" i="16"/>
  <c r="O43" i="16"/>
  <c r="Y43" i="32" s="1"/>
  <c r="O44" i="16"/>
  <c r="O45" i="16"/>
  <c r="Y45" i="32" s="1"/>
  <c r="AE45" i="32" s="1"/>
  <c r="O46" i="16"/>
  <c r="Y46" i="32" s="1"/>
  <c r="O47" i="16"/>
  <c r="Y47" i="32" s="1"/>
  <c r="AE47" i="32" s="1"/>
  <c r="O48" i="16"/>
  <c r="Y48" i="32" s="1"/>
  <c r="O49" i="16"/>
  <c r="Y49" i="32" s="1"/>
  <c r="AE49" i="32" s="1"/>
  <c r="O50" i="16"/>
  <c r="O51" i="16"/>
  <c r="Y51" i="32" s="1"/>
  <c r="O52" i="16"/>
  <c r="O53" i="16"/>
  <c r="Y53" i="32" s="1"/>
  <c r="O54" i="16"/>
  <c r="O55" i="16"/>
  <c r="Y55" i="32" s="1"/>
  <c r="AE55" i="32" s="1"/>
  <c r="O56" i="16"/>
  <c r="Y56" i="32" s="1"/>
  <c r="O57" i="16"/>
  <c r="Y57" i="32" s="1"/>
  <c r="O58" i="16"/>
  <c r="Y58" i="32" s="1"/>
  <c r="O59" i="16"/>
  <c r="Y59" i="32" s="1"/>
  <c r="AA59" i="32" s="1"/>
  <c r="O60" i="16"/>
  <c r="Y60" i="32" s="1"/>
  <c r="AA60" i="32" s="1"/>
  <c r="O61" i="16"/>
  <c r="Y61" i="32" s="1"/>
  <c r="O62" i="16"/>
  <c r="Y62" i="32" s="1"/>
  <c r="O63" i="16"/>
  <c r="Y63" i="32" s="1"/>
  <c r="AA63" i="32" s="1"/>
  <c r="O64" i="16"/>
  <c r="Y64" i="32" s="1"/>
  <c r="AA64" i="32" s="1"/>
  <c r="O66" i="16"/>
  <c r="Y66" i="32" s="1"/>
  <c r="O67" i="16"/>
  <c r="O68" i="16"/>
  <c r="O69" i="16"/>
  <c r="O71" i="16"/>
  <c r="Y71" i="32" s="1"/>
  <c r="O72" i="16"/>
  <c r="O73" i="16"/>
  <c r="O74" i="16"/>
  <c r="O76" i="16"/>
  <c r="Y76" i="32" s="1"/>
  <c r="O77" i="16"/>
  <c r="O78" i="16"/>
  <c r="O79" i="16"/>
  <c r="O80" i="16"/>
  <c r="Y80" i="32" s="1"/>
  <c r="AE80" i="32" s="1"/>
  <c r="O81" i="16"/>
  <c r="O82" i="16"/>
  <c r="Y82" i="32" s="1"/>
  <c r="O83" i="16"/>
  <c r="O84" i="16"/>
  <c r="Y84" i="32" s="1"/>
  <c r="AE84" i="32" s="1"/>
  <c r="O85" i="16"/>
  <c r="O86" i="16"/>
  <c r="Y86" i="32" s="1"/>
  <c r="O87" i="16"/>
  <c r="O88" i="16"/>
  <c r="Y88" i="32" s="1"/>
  <c r="O89" i="16"/>
  <c r="O90" i="16"/>
  <c r="Y90" i="32" s="1"/>
  <c r="AE90" i="32" s="1"/>
  <c r="O91" i="16"/>
  <c r="Y91" i="32" s="1"/>
  <c r="O92" i="16"/>
  <c r="Y92" i="32" s="1"/>
  <c r="O93" i="16"/>
  <c r="Y93" i="32" s="1"/>
  <c r="AE93" i="32" s="1"/>
  <c r="O94" i="16"/>
  <c r="O95" i="16"/>
  <c r="Y95" i="32" s="1"/>
  <c r="O96" i="16"/>
  <c r="O97" i="16"/>
  <c r="Y97" i="32" s="1"/>
  <c r="AE97" i="32" s="1"/>
  <c r="O98" i="16"/>
  <c r="Y98" i="32" s="1"/>
  <c r="O99" i="16"/>
  <c r="Y99" i="32" s="1"/>
  <c r="O102" i="16"/>
  <c r="Y102" i="32" s="1"/>
  <c r="O103" i="16"/>
  <c r="Y103" i="32" s="1"/>
  <c r="O104" i="16"/>
  <c r="Y104" i="32" s="1"/>
  <c r="AE104" i="32" s="1"/>
  <c r="O105" i="16"/>
  <c r="Y105" i="32" s="1"/>
  <c r="O106" i="16"/>
  <c r="Y106" i="32" s="1"/>
  <c r="AE106" i="32" s="1"/>
  <c r="O107" i="16"/>
  <c r="Y107" i="32" s="1"/>
  <c r="O108" i="16"/>
  <c r="Y108" i="32" s="1"/>
  <c r="AE108" i="32" s="1"/>
  <c r="O109" i="16"/>
  <c r="Y109" i="32" s="1"/>
  <c r="O110" i="16"/>
  <c r="Y110" i="32" s="1"/>
  <c r="AE110" i="32" s="1"/>
  <c r="O111" i="16"/>
  <c r="O112" i="16"/>
  <c r="O113" i="16"/>
  <c r="Y113" i="32" s="1"/>
  <c r="O114" i="16"/>
  <c r="O115" i="16"/>
  <c r="O116" i="16"/>
  <c r="Y116" i="32" s="1"/>
  <c r="AE116" i="32" s="1"/>
  <c r="O117" i="16"/>
  <c r="O118" i="16"/>
  <c r="O119" i="16"/>
  <c r="Y119" i="32" s="1"/>
  <c r="O120" i="16"/>
  <c r="O121" i="16"/>
  <c r="O122" i="16"/>
  <c r="Y122" i="32" s="1"/>
  <c r="AE122" i="32" s="1"/>
  <c r="O123" i="16"/>
  <c r="O124" i="16"/>
  <c r="O125" i="16"/>
  <c r="Y125" i="32" s="1"/>
  <c r="O126" i="16"/>
  <c r="O127" i="16"/>
  <c r="O128" i="16"/>
  <c r="Y128" i="32" s="1"/>
  <c r="AE128" i="32" s="1"/>
  <c r="O129" i="16"/>
  <c r="O130" i="16"/>
  <c r="O131" i="16"/>
  <c r="Y131" i="32" s="1"/>
  <c r="O132" i="16"/>
  <c r="O133" i="16"/>
  <c r="O134" i="16"/>
  <c r="Y134" i="32" s="1"/>
  <c r="AE134" i="32" s="1"/>
  <c r="O135" i="16"/>
  <c r="O136" i="16"/>
  <c r="Y136" i="32" s="1"/>
  <c r="O137" i="16"/>
  <c r="O138" i="16"/>
  <c r="Y138" i="32" s="1"/>
  <c r="AE138" i="32" s="1"/>
  <c r="O139" i="16"/>
  <c r="O140" i="16"/>
  <c r="Y140" i="32" s="1"/>
  <c r="O141" i="16"/>
  <c r="O142" i="16"/>
  <c r="Y142" i="32" s="1"/>
  <c r="AE142" i="32" s="1"/>
  <c r="O143" i="16"/>
  <c r="Y143" i="32" s="1"/>
  <c r="O144" i="16"/>
  <c r="Y144" i="32" s="1"/>
  <c r="AE144" i="32" s="1"/>
  <c r="O145" i="16"/>
  <c r="Y145" i="32" s="1"/>
  <c r="O146" i="16"/>
  <c r="Y146" i="32" s="1"/>
  <c r="AE146" i="32" s="1"/>
  <c r="O147" i="16"/>
  <c r="Y147" i="32" s="1"/>
  <c r="O148" i="16"/>
  <c r="Y148" i="32" s="1"/>
  <c r="AE148" i="32" s="1"/>
  <c r="O149" i="16"/>
  <c r="Y149" i="32" s="1"/>
  <c r="O150" i="16"/>
  <c r="Y150" i="32" s="1"/>
  <c r="AE150" i="32" s="1"/>
  <c r="O151" i="16"/>
  <c r="Y151" i="32" s="1"/>
  <c r="O152" i="16"/>
  <c r="Y152" i="32" s="1"/>
  <c r="AE152" i="32" s="1"/>
  <c r="O153" i="16"/>
  <c r="Y153" i="32" s="1"/>
  <c r="O154" i="16"/>
  <c r="Y154" i="32" s="1"/>
  <c r="AE154" i="32" s="1"/>
  <c r="O155" i="16"/>
  <c r="Y155" i="32" s="1"/>
  <c r="O156" i="16"/>
  <c r="Y156" i="32" s="1"/>
  <c r="AE156" i="32" s="1"/>
  <c r="O157" i="16"/>
  <c r="Y157" i="32" s="1"/>
  <c r="O158" i="16"/>
  <c r="Y158" i="32" s="1"/>
  <c r="AE158" i="32" s="1"/>
  <c r="O159" i="16"/>
  <c r="Y159" i="32" s="1"/>
  <c r="O160" i="16"/>
  <c r="Y160" i="32" s="1"/>
  <c r="AE160" i="32" s="1"/>
  <c r="O161" i="16"/>
  <c r="Y161" i="32" s="1"/>
  <c r="O162" i="16"/>
  <c r="Y162" i="32" s="1"/>
  <c r="AE162" i="32" s="1"/>
  <c r="O163" i="16"/>
  <c r="Y163" i="32" s="1"/>
  <c r="O164" i="16"/>
  <c r="Y164" i="32" s="1"/>
  <c r="AE164" i="32" s="1"/>
  <c r="O165" i="16"/>
  <c r="Y165" i="32" s="1"/>
  <c r="O166" i="16"/>
  <c r="Y166" i="32" s="1"/>
  <c r="AE166" i="32" s="1"/>
  <c r="O167" i="16"/>
  <c r="O168" i="16"/>
  <c r="O169" i="16"/>
  <c r="O170" i="16"/>
  <c r="O172" i="16"/>
  <c r="Y172" i="32" s="1"/>
  <c r="O173" i="16"/>
  <c r="O174" i="16"/>
  <c r="O175" i="16"/>
  <c r="O176" i="16"/>
  <c r="Y176" i="32" s="1"/>
  <c r="AE176" i="32" s="1"/>
  <c r="O177" i="16"/>
  <c r="O178" i="16"/>
  <c r="O179" i="16"/>
  <c r="O180" i="16"/>
  <c r="O182" i="16"/>
  <c r="Y182" i="32" s="1"/>
  <c r="O183" i="16"/>
  <c r="O184" i="16"/>
  <c r="O185" i="16"/>
  <c r="O186" i="16"/>
  <c r="Y186" i="32" s="1"/>
  <c r="AE186" i="32" s="1"/>
  <c r="O187" i="16"/>
  <c r="Y187" i="32" s="1"/>
  <c r="O188" i="16"/>
  <c r="Y188" i="32" s="1"/>
  <c r="AE188" i="32" s="1"/>
  <c r="O189" i="16"/>
  <c r="Y189" i="32" s="1"/>
  <c r="AE189" i="32" s="1"/>
  <c r="O190" i="16"/>
  <c r="Y190" i="32" s="1"/>
  <c r="AE190" i="32" s="1"/>
  <c r="O191" i="16"/>
  <c r="Y191" i="32" s="1"/>
  <c r="AE191" i="32" s="1"/>
  <c r="O192" i="16"/>
  <c r="Y192" i="32" s="1"/>
  <c r="AE192" i="32" s="1"/>
  <c r="O193" i="16"/>
  <c r="Y193" i="32" s="1"/>
  <c r="O194" i="16"/>
  <c r="Y194" i="32" s="1"/>
  <c r="AA194" i="32" s="1"/>
  <c r="AB194" i="32" s="1"/>
  <c r="O195" i="16"/>
  <c r="Y195" i="32" s="1"/>
  <c r="O196" i="16"/>
  <c r="Y196" i="32" s="1"/>
  <c r="AA196" i="32" s="1"/>
  <c r="AB196" i="32" s="1"/>
  <c r="O199" i="16"/>
  <c r="Y199" i="32" s="1"/>
  <c r="O200" i="16"/>
  <c r="O201" i="16"/>
  <c r="O202" i="16"/>
  <c r="Y202" i="32" s="1"/>
  <c r="O203" i="16"/>
  <c r="O204" i="16"/>
  <c r="O205" i="16"/>
  <c r="Y205" i="32" s="1"/>
  <c r="AA205" i="32" s="1"/>
  <c r="AB205" i="32" s="1"/>
  <c r="O206" i="16"/>
  <c r="Y206" i="32" s="1"/>
  <c r="O207" i="16"/>
  <c r="Y207" i="32" s="1"/>
  <c r="AA207" i="32" s="1"/>
  <c r="AB207" i="32" s="1"/>
  <c r="Y208" i="32"/>
  <c r="AA208" i="32" s="1"/>
  <c r="AB208" i="32" s="1"/>
  <c r="O209" i="16"/>
  <c r="Y209" i="32" s="1"/>
  <c r="AA209" i="32" s="1"/>
  <c r="AB209" i="32" s="1"/>
  <c r="O210" i="16"/>
  <c r="Y210" i="32" s="1"/>
  <c r="O211" i="16"/>
  <c r="Y211" i="32" s="1"/>
  <c r="AA211" i="32" s="1"/>
  <c r="AB211" i="32" s="1"/>
  <c r="O212" i="16"/>
  <c r="Y212" i="32" s="1"/>
  <c r="O213" i="16"/>
  <c r="Y213" i="32" s="1"/>
  <c r="AA213" i="32" s="1"/>
  <c r="AB213" i="32" s="1"/>
  <c r="O214" i="16"/>
  <c r="Y214" i="32" s="1"/>
  <c r="O215" i="16"/>
  <c r="Y215" i="32" s="1"/>
  <c r="AA215" i="32" s="1"/>
  <c r="AB215" i="32" s="1"/>
  <c r="O216" i="16"/>
  <c r="Y216" i="32" s="1"/>
  <c r="O217" i="16"/>
  <c r="Y217" i="32" s="1"/>
  <c r="AA217" i="32" s="1"/>
  <c r="AB217" i="32" s="1"/>
  <c r="O218" i="16"/>
  <c r="Y218" i="32" s="1"/>
  <c r="O219" i="16"/>
  <c r="Y219" i="32" s="1"/>
  <c r="AA219" i="32" s="1"/>
  <c r="AB219" i="32" s="1"/>
  <c r="O220" i="16"/>
  <c r="Y220" i="32" s="1"/>
  <c r="AE220" i="32" s="1"/>
  <c r="O221" i="16"/>
  <c r="O222" i="16"/>
  <c r="O223" i="16"/>
  <c r="O224" i="16"/>
  <c r="Y224" i="32" s="1"/>
  <c r="O225" i="16"/>
  <c r="O226" i="16"/>
  <c r="O227" i="16"/>
  <c r="O229" i="16"/>
  <c r="Y229" i="32" s="1"/>
  <c r="O230" i="16"/>
  <c r="O231" i="16"/>
  <c r="O232" i="16"/>
  <c r="Y232" i="32" s="1"/>
  <c r="O233" i="16"/>
  <c r="Y233" i="32" s="1"/>
  <c r="AA233" i="32" s="1"/>
  <c r="O235" i="16"/>
  <c r="Y235" i="32" s="1"/>
  <c r="AA235" i="32" s="1"/>
  <c r="O236" i="16"/>
  <c r="Y236" i="32" s="1"/>
  <c r="O237" i="16"/>
  <c r="Y237" i="32" s="1"/>
  <c r="AA237" i="32" s="1"/>
  <c r="O239" i="16"/>
  <c r="Y239" i="32" s="1"/>
  <c r="AA239" i="32" s="1"/>
  <c r="O240" i="16"/>
  <c r="Y240" i="32" s="1"/>
  <c r="AA240" i="32" s="1"/>
  <c r="O241" i="16"/>
  <c r="Y241" i="32" s="1"/>
  <c r="O243" i="16"/>
  <c r="Y243" i="32" s="1"/>
  <c r="AA243" i="32" s="1"/>
  <c r="O244" i="16"/>
  <c r="Y244" i="32" s="1"/>
  <c r="AA244" i="32" s="1"/>
  <c r="O245" i="16"/>
  <c r="Y245" i="32" s="1"/>
  <c r="AA245" i="32" s="1"/>
  <c r="O247" i="16"/>
  <c r="Y247" i="32" s="1"/>
  <c r="AA247" i="32" s="1"/>
  <c r="O248" i="16"/>
  <c r="Y248" i="32" s="1"/>
  <c r="AA248" i="32" s="1"/>
  <c r="O251" i="16"/>
  <c r="Y251" i="32" s="1"/>
  <c r="AA251" i="32" s="1"/>
  <c r="O254" i="16"/>
  <c r="Y254" i="32" s="1"/>
  <c r="AA254" i="32" s="1"/>
  <c r="O257" i="16"/>
  <c r="Y257" i="32" s="1"/>
  <c r="O258" i="16"/>
  <c r="Y258" i="32" s="1"/>
  <c r="AA258" i="32" s="1"/>
  <c r="O259" i="16"/>
  <c r="Y259" i="32" s="1"/>
  <c r="O260" i="16"/>
  <c r="Y260" i="32" s="1"/>
  <c r="AA260" i="32" s="1"/>
  <c r="O261" i="16"/>
  <c r="Y261" i="32" s="1"/>
  <c r="AA261" i="32" s="1"/>
  <c r="O262" i="16"/>
  <c r="Y262" i="32" s="1"/>
  <c r="AA262" i="32" s="1"/>
  <c r="O264" i="16"/>
  <c r="Y264" i="32" s="1"/>
  <c r="AA264" i="32" s="1"/>
  <c r="O265" i="16"/>
  <c r="Y265" i="32" s="1"/>
  <c r="O266" i="16"/>
  <c r="Y266" i="32" s="1"/>
  <c r="AA266" i="32" s="1"/>
  <c r="O267" i="16"/>
  <c r="Y267" i="32" s="1"/>
  <c r="AA267" i="32" s="1"/>
  <c r="O268" i="16"/>
  <c r="Y268" i="32" s="1"/>
  <c r="AA268" i="32" s="1"/>
  <c r="O269" i="16"/>
  <c r="Y269" i="32" s="1"/>
  <c r="O270" i="16"/>
  <c r="Y270" i="32" s="1"/>
  <c r="AE270" i="32" s="1"/>
  <c r="O271" i="16"/>
  <c r="O272" i="16"/>
  <c r="O273" i="16"/>
  <c r="O274" i="16"/>
  <c r="O275" i="16"/>
  <c r="O276" i="16"/>
  <c r="O277" i="16"/>
  <c r="O278" i="16"/>
  <c r="O279" i="16"/>
  <c r="O280" i="16"/>
  <c r="O281" i="16"/>
  <c r="O282" i="16"/>
  <c r="O283" i="16"/>
  <c r="O284" i="16"/>
  <c r="O285" i="16"/>
  <c r="O286" i="16"/>
  <c r="Y286" i="32" s="1"/>
  <c r="O287" i="16"/>
  <c r="O288" i="16"/>
  <c r="O289" i="16"/>
  <c r="O290" i="16"/>
  <c r="O291" i="16"/>
  <c r="O292" i="16"/>
  <c r="O293" i="16"/>
  <c r="O294" i="16"/>
  <c r="O295" i="16"/>
  <c r="O296" i="16"/>
  <c r="O297" i="16"/>
  <c r="O298" i="16"/>
  <c r="O299" i="16"/>
  <c r="O300" i="16"/>
  <c r="O301" i="16"/>
  <c r="O302" i="16"/>
  <c r="Y302" i="32" s="1"/>
  <c r="AA302" i="32" s="1"/>
  <c r="O303" i="16"/>
  <c r="Y303" i="32" s="1"/>
  <c r="AA303" i="32" s="1"/>
  <c r="O304" i="16"/>
  <c r="Y304" i="32" s="1"/>
  <c r="O305" i="16"/>
  <c r="Y305" i="32" s="1"/>
  <c r="O306" i="16"/>
  <c r="O307" i="16"/>
  <c r="O308" i="16"/>
  <c r="O309" i="16"/>
  <c r="Y309" i="32" s="1"/>
  <c r="AA309" i="32" s="1"/>
  <c r="O310" i="16"/>
  <c r="O311" i="16"/>
  <c r="O312" i="16"/>
  <c r="O2" i="16"/>
  <c r="Y2" i="32" s="1"/>
  <c r="AA2" i="32" s="1"/>
  <c r="AB2" i="32" s="1"/>
  <c r="AU92" i="16"/>
  <c r="AU91" i="16"/>
  <c r="AU90" i="16"/>
  <c r="W168" i="32" l="1"/>
  <c r="W115" i="32"/>
  <c r="W183" i="32"/>
  <c r="T184" i="32"/>
  <c r="Z184" i="32"/>
  <c r="S184" i="32"/>
  <c r="U184" i="32"/>
  <c r="X185" i="32"/>
  <c r="V184" i="32"/>
  <c r="Z259" i="32"/>
  <c r="X260" i="32"/>
  <c r="T259" i="32"/>
  <c r="V259" i="32"/>
  <c r="S259" i="32"/>
  <c r="W259" i="32" s="1"/>
  <c r="U259" i="32"/>
  <c r="W118" i="32"/>
  <c r="X275" i="32"/>
  <c r="Z274" i="32"/>
  <c r="V274" i="32"/>
  <c r="U274" i="32"/>
  <c r="T274" i="32"/>
  <c r="S274" i="32"/>
  <c r="W274" i="32" s="1"/>
  <c r="W258" i="32"/>
  <c r="V96" i="32"/>
  <c r="T96" i="32"/>
  <c r="U96" i="32"/>
  <c r="S96" i="32"/>
  <c r="Z96" i="32"/>
  <c r="W182" i="32"/>
  <c r="W95" i="32"/>
  <c r="X170" i="32"/>
  <c r="V169" i="32"/>
  <c r="S169" i="32"/>
  <c r="U169" i="32"/>
  <c r="T169" i="32"/>
  <c r="Z169" i="32"/>
  <c r="AA259" i="32"/>
  <c r="AE259" i="32"/>
  <c r="AA216" i="32"/>
  <c r="AB216" i="32" s="1"/>
  <c r="AE216" i="32"/>
  <c r="AA62" i="32"/>
  <c r="AE62" i="32"/>
  <c r="AA257" i="32"/>
  <c r="AE257" i="32"/>
  <c r="AA241" i="32"/>
  <c r="AE241" i="32"/>
  <c r="AA214" i="32"/>
  <c r="AB214" i="32" s="1"/>
  <c r="AE214" i="32"/>
  <c r="AA206" i="32"/>
  <c r="AB206" i="32" s="1"/>
  <c r="AE206" i="32"/>
  <c r="AA269" i="32"/>
  <c r="AE269" i="32"/>
  <c r="AA305" i="32"/>
  <c r="AE305" i="32"/>
  <c r="AA265" i="32"/>
  <c r="AE265" i="32"/>
  <c r="AA195" i="32"/>
  <c r="AB195" i="32" s="1"/>
  <c r="AE195" i="32"/>
  <c r="AA232" i="32"/>
  <c r="AE232" i="32"/>
  <c r="AA199" i="32"/>
  <c r="AB199" i="32" s="1"/>
  <c r="AE199" i="32"/>
  <c r="AA58" i="32"/>
  <c r="AE58" i="32"/>
  <c r="AA304" i="32"/>
  <c r="AE304" i="32"/>
  <c r="AA212" i="32"/>
  <c r="AB212" i="32" s="1"/>
  <c r="AE212" i="32"/>
  <c r="AA236" i="32"/>
  <c r="AE236" i="32"/>
  <c r="AA218" i="32"/>
  <c r="AB218" i="32" s="1"/>
  <c r="AE218" i="32"/>
  <c r="AA210" i="32"/>
  <c r="AB210" i="32" s="1"/>
  <c r="AE210" i="32"/>
  <c r="Y306" i="32"/>
  <c r="Y307" i="32" s="1"/>
  <c r="Y310" i="32"/>
  <c r="Y311" i="32" s="1"/>
  <c r="AA311" i="32" s="1"/>
  <c r="Y287" i="32"/>
  <c r="AA287" i="32" s="1"/>
  <c r="AA286" i="32"/>
  <c r="Y271" i="32"/>
  <c r="AA271" i="32" s="1"/>
  <c r="AA270" i="32"/>
  <c r="Y221" i="32"/>
  <c r="AA221" i="32" s="1"/>
  <c r="AB221" i="32" s="1"/>
  <c r="AA220" i="32"/>
  <c r="AB220" i="32" s="1"/>
  <c r="Y225" i="32"/>
  <c r="AA225" i="32" s="1"/>
  <c r="AA224" i="32"/>
  <c r="AB224" i="32" s="1"/>
  <c r="AA202" i="32"/>
  <c r="AB202" i="32" s="1"/>
  <c r="Y203" i="32"/>
  <c r="AC203" i="32" s="1"/>
  <c r="AF203" i="32" s="1"/>
  <c r="Z293" i="32"/>
  <c r="X294" i="32"/>
  <c r="J171" i="33"/>
  <c r="H172" i="32"/>
  <c r="H173" i="32" s="1"/>
  <c r="H174" i="32" s="1"/>
  <c r="H175" i="32" s="1"/>
  <c r="I89" i="32"/>
  <c r="H89" i="33" s="1"/>
  <c r="F182" i="32"/>
  <c r="I181" i="32"/>
  <c r="H181" i="33" s="1"/>
  <c r="Y120" i="32"/>
  <c r="AA120" i="32" s="1"/>
  <c r="Y94" i="32"/>
  <c r="AC94" i="32" s="1"/>
  <c r="AF94" i="32" s="1"/>
  <c r="Y18" i="32"/>
  <c r="AA18" i="32" s="1"/>
  <c r="Y126" i="32"/>
  <c r="AA126" i="32" s="1"/>
  <c r="Y16" i="32"/>
  <c r="AA16" i="32" s="1"/>
  <c r="Y183" i="32"/>
  <c r="Y184" i="32" s="1"/>
  <c r="Y141" i="32"/>
  <c r="AC141" i="32" s="1"/>
  <c r="AF141" i="32" s="1"/>
  <c r="Y14" i="32"/>
  <c r="AA14" i="32" s="1"/>
  <c r="Y139" i="32"/>
  <c r="AA139" i="32" s="1"/>
  <c r="Y123" i="32"/>
  <c r="Y124" i="32" s="1"/>
  <c r="Y89" i="32"/>
  <c r="AA89" i="32" s="1"/>
  <c r="Y81" i="32"/>
  <c r="AC81" i="32" s="1"/>
  <c r="AF81" i="32" s="1"/>
  <c r="Y72" i="32"/>
  <c r="AA72" i="32" s="1"/>
  <c r="Y54" i="32"/>
  <c r="AA54" i="32" s="1"/>
  <c r="Y30" i="32"/>
  <c r="AA30" i="32" s="1"/>
  <c r="AA229" i="32"/>
  <c r="AC229" i="32"/>
  <c r="AA152" i="32"/>
  <c r="AC152" i="32"/>
  <c r="AA144" i="32"/>
  <c r="AC144" i="32"/>
  <c r="AF144" i="32" s="1"/>
  <c r="L144" i="33" s="1"/>
  <c r="AA136" i="32"/>
  <c r="AC136" i="32"/>
  <c r="AF136" i="32" s="1"/>
  <c r="L136" i="33" s="1"/>
  <c r="AC128" i="32"/>
  <c r="AF128" i="32" s="1"/>
  <c r="L128" i="33" s="1"/>
  <c r="AA128" i="32"/>
  <c r="AA104" i="32"/>
  <c r="AC104" i="32"/>
  <c r="AF104" i="32" s="1"/>
  <c r="AA86" i="32"/>
  <c r="AC86" i="32"/>
  <c r="AF86" i="32" s="1"/>
  <c r="L86" i="33" s="1"/>
  <c r="AA51" i="32"/>
  <c r="AC51" i="32"/>
  <c r="AF51" i="32" s="1"/>
  <c r="AC43" i="32"/>
  <c r="AF43" i="32" s="1"/>
  <c r="L43" i="33" s="1"/>
  <c r="AA43" i="32"/>
  <c r="AA35" i="32"/>
  <c r="AC35" i="32"/>
  <c r="AF35" i="32" s="1"/>
  <c r="L35" i="33" s="1"/>
  <c r="AC27" i="32"/>
  <c r="AF27" i="32" s="1"/>
  <c r="L27" i="33" s="1"/>
  <c r="AA27" i="32"/>
  <c r="AA10" i="32"/>
  <c r="AC10" i="32"/>
  <c r="AF10" i="32" s="1"/>
  <c r="Y177" i="32"/>
  <c r="Y178" i="32" s="1"/>
  <c r="Y179" i="32" s="1"/>
  <c r="AC176" i="32"/>
  <c r="AF176" i="32" s="1"/>
  <c r="AA176" i="32"/>
  <c r="Y167" i="32"/>
  <c r="Y168" i="32" s="1"/>
  <c r="Y169" i="32" s="1"/>
  <c r="Y170" i="32" s="1"/>
  <c r="AA159" i="32"/>
  <c r="AC159" i="32"/>
  <c r="AA151" i="32"/>
  <c r="AC151" i="32"/>
  <c r="AA143" i="32"/>
  <c r="AC143" i="32"/>
  <c r="AF143" i="32" s="1"/>
  <c r="Y135" i="32"/>
  <c r="AA119" i="32"/>
  <c r="AC119" i="32"/>
  <c r="Y111" i="32"/>
  <c r="Y112" i="32" s="1"/>
  <c r="AA103" i="32"/>
  <c r="AC103" i="32"/>
  <c r="AF103" i="32" s="1"/>
  <c r="AC93" i="32"/>
  <c r="AF93" i="32" s="1"/>
  <c r="L93" i="33" s="1"/>
  <c r="AA93" i="32"/>
  <c r="Y85" i="32"/>
  <c r="Y77" i="32"/>
  <c r="Y78" i="32" s="1"/>
  <c r="Y79" i="32" s="1"/>
  <c r="Y67" i="32"/>
  <c r="Y68" i="32" s="1"/>
  <c r="Y50" i="32"/>
  <c r="Y42" i="32"/>
  <c r="AA34" i="32"/>
  <c r="AC34" i="32"/>
  <c r="AF34" i="32" s="1"/>
  <c r="L34" i="33" s="1"/>
  <c r="Y26" i="32"/>
  <c r="AC17" i="32"/>
  <c r="AF17" i="32" s="1"/>
  <c r="L17" i="33" s="1"/>
  <c r="AA17" i="32"/>
  <c r="Y9" i="32"/>
  <c r="AC220" i="32"/>
  <c r="AF220" i="32" s="1"/>
  <c r="L220" i="33" s="1"/>
  <c r="AA160" i="32"/>
  <c r="AC160" i="32"/>
  <c r="AC286" i="32"/>
  <c r="AC218" i="32"/>
  <c r="AF218" i="32" s="1"/>
  <c r="L218" i="33" s="1"/>
  <c r="AC210" i="32"/>
  <c r="AF210" i="32" s="1"/>
  <c r="L210" i="33" s="1"/>
  <c r="AC202" i="32"/>
  <c r="AF202" i="32" s="1"/>
  <c r="L202" i="33" s="1"/>
  <c r="AA192" i="32"/>
  <c r="AC192" i="32"/>
  <c r="AF192" i="32" s="1"/>
  <c r="AA166" i="32"/>
  <c r="AC166" i="32"/>
  <c r="AF166" i="32" s="1"/>
  <c r="L166" i="33" s="1"/>
  <c r="AA158" i="32"/>
  <c r="AC158" i="32"/>
  <c r="AA150" i="32"/>
  <c r="AC150" i="32"/>
  <c r="AF150" i="32" s="1"/>
  <c r="L150" i="33" s="1"/>
  <c r="AA142" i="32"/>
  <c r="AC142" i="32"/>
  <c r="AF142" i="32" s="1"/>
  <c r="L142" i="33" s="1"/>
  <c r="AA134" i="32"/>
  <c r="AC134" i="32"/>
  <c r="AF134" i="32" s="1"/>
  <c r="L134" i="33" s="1"/>
  <c r="AA110" i="32"/>
  <c r="AC110" i="32"/>
  <c r="AF110" i="32" s="1"/>
  <c r="L110" i="33" s="1"/>
  <c r="AA102" i="32"/>
  <c r="AC102" i="32"/>
  <c r="AF102" i="32" s="1"/>
  <c r="L102" i="33" s="1"/>
  <c r="AA92" i="32"/>
  <c r="AC92" i="32"/>
  <c r="AF92" i="32" s="1"/>
  <c r="AA84" i="32"/>
  <c r="AC84" i="32"/>
  <c r="AF84" i="32" s="1"/>
  <c r="L84" i="33" s="1"/>
  <c r="AC76" i="32"/>
  <c r="AA76" i="32"/>
  <c r="AA66" i="32"/>
  <c r="AC66" i="32"/>
  <c r="AF66" i="32" s="1"/>
  <c r="L66" i="33" s="1"/>
  <c r="AA57" i="32"/>
  <c r="AC57" i="32"/>
  <c r="AF57" i="32" s="1"/>
  <c r="L57" i="33" s="1"/>
  <c r="AA49" i="32"/>
  <c r="AC49" i="32"/>
  <c r="AF49" i="32" s="1"/>
  <c r="L49" i="33" s="1"/>
  <c r="AC41" i="32"/>
  <c r="AF41" i="32" s="1"/>
  <c r="AA41" i="32"/>
  <c r="AA33" i="32"/>
  <c r="AC33" i="32"/>
  <c r="AF33" i="32" s="1"/>
  <c r="L33" i="33" s="1"/>
  <c r="AA25" i="32"/>
  <c r="AC25" i="32"/>
  <c r="AF25" i="32" s="1"/>
  <c r="L25" i="33" s="1"/>
  <c r="AA8" i="32"/>
  <c r="AC8" i="32"/>
  <c r="AF8" i="32" s="1"/>
  <c r="L8" i="33" s="1"/>
  <c r="AC212" i="32"/>
  <c r="AF212" i="32" s="1"/>
  <c r="L212" i="33" s="1"/>
  <c r="AC237" i="32"/>
  <c r="AF237" i="32" s="1"/>
  <c r="L237" i="33" s="1"/>
  <c r="AC270" i="32"/>
  <c r="AF270" i="32" s="1"/>
  <c r="L270" i="33" s="1"/>
  <c r="AC247" i="32"/>
  <c r="AF247" i="32" s="1"/>
  <c r="L247" i="33" s="1"/>
  <c r="AC269" i="32"/>
  <c r="AF269" i="32" s="1"/>
  <c r="L269" i="33" s="1"/>
  <c r="AC260" i="32"/>
  <c r="AF260" i="32" s="1"/>
  <c r="L260" i="33" s="1"/>
  <c r="AC245" i="32"/>
  <c r="AF245" i="32" s="1"/>
  <c r="L245" i="33" s="1"/>
  <c r="AC235" i="32"/>
  <c r="AF235" i="32" s="1"/>
  <c r="L235" i="33" s="1"/>
  <c r="AC217" i="32"/>
  <c r="AF217" i="32" s="1"/>
  <c r="L217" i="33" s="1"/>
  <c r="AC209" i="32"/>
  <c r="AF209" i="32" s="1"/>
  <c r="L209" i="33" s="1"/>
  <c r="AA191" i="32"/>
  <c r="AC191" i="32"/>
  <c r="AF191" i="32" s="1"/>
  <c r="AA165" i="32"/>
  <c r="AC165" i="32"/>
  <c r="AF165" i="32" s="1"/>
  <c r="L165" i="33" s="1"/>
  <c r="AA157" i="32"/>
  <c r="AC157" i="32"/>
  <c r="AA149" i="32"/>
  <c r="AC149" i="32"/>
  <c r="AF149" i="32" s="1"/>
  <c r="L149" i="33" s="1"/>
  <c r="AA125" i="32"/>
  <c r="AC125" i="32"/>
  <c r="AA109" i="32"/>
  <c r="AC109" i="32"/>
  <c r="AF109" i="32" s="1"/>
  <c r="L109" i="33" s="1"/>
  <c r="Y100" i="32"/>
  <c r="AA99" i="32"/>
  <c r="AC99" i="32"/>
  <c r="AF99" i="32" s="1"/>
  <c r="L99" i="33" s="1"/>
  <c r="AA91" i="32"/>
  <c r="AC91" i="32"/>
  <c r="AF91" i="32" s="1"/>
  <c r="L91" i="33" s="1"/>
  <c r="Y83" i="32"/>
  <c r="AA56" i="32"/>
  <c r="AC56" i="32"/>
  <c r="AF56" i="32" s="1"/>
  <c r="L56" i="33" s="1"/>
  <c r="AA48" i="32"/>
  <c r="AC48" i="32"/>
  <c r="AF48" i="32" s="1"/>
  <c r="L48" i="33" s="1"/>
  <c r="Y32" i="32"/>
  <c r="AA24" i="32"/>
  <c r="AC24" i="32"/>
  <c r="AF24" i="32" s="1"/>
  <c r="L24" i="33" s="1"/>
  <c r="AC15" i="32"/>
  <c r="AF15" i="32" s="1"/>
  <c r="AA15" i="32"/>
  <c r="Y7" i="32"/>
  <c r="AC219" i="32"/>
  <c r="AF219" i="32" s="1"/>
  <c r="L219" i="33" s="1"/>
  <c r="AC211" i="32"/>
  <c r="AF211" i="32" s="1"/>
  <c r="L211" i="33" s="1"/>
  <c r="AA193" i="32"/>
  <c r="AC193" i="32"/>
  <c r="AF193" i="32" s="1"/>
  <c r="L193" i="33" s="1"/>
  <c r="AC236" i="32"/>
  <c r="AF236" i="32" s="1"/>
  <c r="L236" i="33" s="1"/>
  <c r="AC268" i="32"/>
  <c r="AF268" i="32" s="1"/>
  <c r="L268" i="33" s="1"/>
  <c r="AC259" i="32"/>
  <c r="AF259" i="32" s="1"/>
  <c r="L259" i="33" s="1"/>
  <c r="AC244" i="32"/>
  <c r="AF244" i="32" s="1"/>
  <c r="L244" i="33" s="1"/>
  <c r="AC233" i="32"/>
  <c r="AF233" i="32" s="1"/>
  <c r="L233" i="33" s="1"/>
  <c r="AC224" i="32"/>
  <c r="AF224" i="32" s="1"/>
  <c r="L224" i="33" s="1"/>
  <c r="AC216" i="32"/>
  <c r="AF216" i="32" s="1"/>
  <c r="L216" i="33" s="1"/>
  <c r="AC208" i="32"/>
  <c r="AF208" i="32" s="1"/>
  <c r="L208" i="33" s="1"/>
  <c r="Y200" i="32"/>
  <c r="AA190" i="32"/>
  <c r="AC190" i="32"/>
  <c r="AF190" i="32" s="1"/>
  <c r="L190" i="33" s="1"/>
  <c r="AA182" i="32"/>
  <c r="AC182" i="32"/>
  <c r="Y173" i="32"/>
  <c r="AC164" i="32"/>
  <c r="AF164" i="32" s="1"/>
  <c r="L164" i="33" s="1"/>
  <c r="AA164" i="32"/>
  <c r="AA156" i="32"/>
  <c r="AC156" i="32"/>
  <c r="AA148" i="32"/>
  <c r="AC148" i="32"/>
  <c r="AF148" i="32" s="1"/>
  <c r="L148" i="33" s="1"/>
  <c r="AA140" i="32"/>
  <c r="AC140" i="32"/>
  <c r="AF140" i="32" s="1"/>
  <c r="L140" i="33" s="1"/>
  <c r="Y132" i="32"/>
  <c r="Y117" i="32"/>
  <c r="Y118" i="32" s="1"/>
  <c r="AA116" i="32"/>
  <c r="AC116" i="32"/>
  <c r="AF116" i="32" s="1"/>
  <c r="L116" i="33" s="1"/>
  <c r="AA108" i="32"/>
  <c r="AC108" i="32"/>
  <c r="AF108" i="32" s="1"/>
  <c r="L108" i="33" s="1"/>
  <c r="AA98" i="32"/>
  <c r="AC98" i="32"/>
  <c r="AF98" i="32" s="1"/>
  <c r="L98" i="33" s="1"/>
  <c r="AA90" i="32"/>
  <c r="AC90" i="32"/>
  <c r="AF90" i="32" s="1"/>
  <c r="L90" i="33" s="1"/>
  <c r="AA82" i="32"/>
  <c r="AC82" i="32"/>
  <c r="AF82" i="32" s="1"/>
  <c r="L82" i="33" s="1"/>
  <c r="AA55" i="32"/>
  <c r="AC55" i="32"/>
  <c r="AF55" i="32" s="1"/>
  <c r="L55" i="33" s="1"/>
  <c r="AA47" i="32"/>
  <c r="AC47" i="32"/>
  <c r="AF47" i="32" s="1"/>
  <c r="L47" i="33" s="1"/>
  <c r="Y40" i="32"/>
  <c r="AC39" i="32"/>
  <c r="AF39" i="32" s="1"/>
  <c r="L39" i="33" s="1"/>
  <c r="AA39" i="32"/>
  <c r="AC31" i="32"/>
  <c r="AA31" i="32"/>
  <c r="AA22" i="32"/>
  <c r="AC22" i="32"/>
  <c r="AF22" i="32" s="1"/>
  <c r="L22" i="33" s="1"/>
  <c r="AA6" i="32"/>
  <c r="AC6" i="32"/>
  <c r="AF6" i="32" s="1"/>
  <c r="L6" i="33" s="1"/>
  <c r="AC258" i="32"/>
  <c r="AF258" i="32" s="1"/>
  <c r="L258" i="33" s="1"/>
  <c r="AC243" i="32"/>
  <c r="AF243" i="32" s="1"/>
  <c r="L243" i="33" s="1"/>
  <c r="AC215" i="32"/>
  <c r="AF215" i="32" s="1"/>
  <c r="L215" i="33" s="1"/>
  <c r="AC172" i="32"/>
  <c r="AA172" i="32"/>
  <c r="AA163" i="32"/>
  <c r="AC163" i="32"/>
  <c r="AA155" i="32"/>
  <c r="AC155" i="32"/>
  <c r="AA147" i="32"/>
  <c r="AC147" i="32"/>
  <c r="AF147" i="32" s="1"/>
  <c r="L147" i="33" s="1"/>
  <c r="AA131" i="32"/>
  <c r="AC131" i="32"/>
  <c r="AA107" i="32"/>
  <c r="AC107" i="32"/>
  <c r="AF107" i="32" s="1"/>
  <c r="L107" i="33" s="1"/>
  <c r="AA97" i="32"/>
  <c r="AC97" i="32"/>
  <c r="AF97" i="32" s="1"/>
  <c r="L97" i="33" s="1"/>
  <c r="AC54" i="32"/>
  <c r="AF54" i="32" s="1"/>
  <c r="AA46" i="32"/>
  <c r="AC46" i="32"/>
  <c r="AF46" i="32" s="1"/>
  <c r="L46" i="33" s="1"/>
  <c r="AA38" i="32"/>
  <c r="AC38" i="32"/>
  <c r="AF38" i="32" s="1"/>
  <c r="L38" i="33" s="1"/>
  <c r="AC30" i="32"/>
  <c r="AF30" i="32" s="1"/>
  <c r="AA21" i="32"/>
  <c r="AC21" i="32"/>
  <c r="AF21" i="32" s="1"/>
  <c r="L21" i="33" s="1"/>
  <c r="AA13" i="32"/>
  <c r="AC13" i="32"/>
  <c r="AF13" i="32" s="1"/>
  <c r="L13" i="33" s="1"/>
  <c r="AA4" i="32"/>
  <c r="AC4" i="32"/>
  <c r="AF4" i="32" s="1"/>
  <c r="L4" i="33" s="1"/>
  <c r="Y5" i="32"/>
  <c r="AD23" i="32"/>
  <c r="AG23" i="32" s="1"/>
  <c r="M23" i="33" s="1"/>
  <c r="AB23" i="32"/>
  <c r="AC271" i="32"/>
  <c r="AF271" i="32" s="1"/>
  <c r="AC248" i="32"/>
  <c r="AF248" i="32" s="1"/>
  <c r="L248" i="33" s="1"/>
  <c r="L249" i="33" s="1"/>
  <c r="L250" i="33" s="1"/>
  <c r="AC267" i="32"/>
  <c r="AF267" i="32" s="1"/>
  <c r="L267" i="33" s="1"/>
  <c r="AC232" i="32"/>
  <c r="AF232" i="32" s="1"/>
  <c r="L232" i="33" s="1"/>
  <c r="AC207" i="32"/>
  <c r="AF207" i="32" s="1"/>
  <c r="L207" i="33" s="1"/>
  <c r="AC199" i="32"/>
  <c r="AF199" i="32" s="1"/>
  <c r="L199" i="33" s="1"/>
  <c r="AA189" i="32"/>
  <c r="AC189" i="32"/>
  <c r="AF189" i="32" s="1"/>
  <c r="L189" i="33" s="1"/>
  <c r="AC257" i="32"/>
  <c r="AF257" i="32" s="1"/>
  <c r="L257" i="33" s="1"/>
  <c r="AC241" i="32"/>
  <c r="AF241" i="32" s="1"/>
  <c r="L241" i="33" s="1"/>
  <c r="AC214" i="32"/>
  <c r="AF214" i="32" s="1"/>
  <c r="L214" i="33" s="1"/>
  <c r="AC206" i="32"/>
  <c r="AF206" i="32" s="1"/>
  <c r="L206" i="33" s="1"/>
  <c r="Y197" i="32"/>
  <c r="AA197" i="32" s="1"/>
  <c r="AB197" i="32" s="1"/>
  <c r="AC196" i="32"/>
  <c r="AF196" i="32" s="1"/>
  <c r="L196" i="33" s="1"/>
  <c r="AA188" i="32"/>
  <c r="AC188" i="32"/>
  <c r="AF188" i="32" s="1"/>
  <c r="L188" i="33" s="1"/>
  <c r="AA162" i="32"/>
  <c r="AC162" i="32"/>
  <c r="AA154" i="32"/>
  <c r="AC154" i="32"/>
  <c r="AA146" i="32"/>
  <c r="AC146" i="32"/>
  <c r="AF146" i="32" s="1"/>
  <c r="L146" i="33" s="1"/>
  <c r="AC138" i="32"/>
  <c r="AF138" i="32" s="1"/>
  <c r="L138" i="33" s="1"/>
  <c r="AA138" i="32"/>
  <c r="AA122" i="32"/>
  <c r="AC122" i="32"/>
  <c r="AF122" i="32" s="1"/>
  <c r="L122" i="33" s="1"/>
  <c r="Y114" i="32"/>
  <c r="Y115" i="32" s="1"/>
  <c r="AA106" i="32"/>
  <c r="AC106" i="32"/>
  <c r="AF106" i="32" s="1"/>
  <c r="L106" i="33" s="1"/>
  <c r="Y96" i="32"/>
  <c r="AA88" i="32"/>
  <c r="AC88" i="32"/>
  <c r="AF88" i="32" s="1"/>
  <c r="L88" i="33" s="1"/>
  <c r="AA80" i="32"/>
  <c r="AC80" i="32"/>
  <c r="AF80" i="32" s="1"/>
  <c r="L80" i="33" s="1"/>
  <c r="AA71" i="32"/>
  <c r="AC71" i="32"/>
  <c r="AA61" i="32"/>
  <c r="AC61" i="32"/>
  <c r="AF61" i="32" s="1"/>
  <c r="L61" i="33" s="1"/>
  <c r="AA53" i="32"/>
  <c r="AC53" i="32"/>
  <c r="AF53" i="32" s="1"/>
  <c r="L53" i="33" s="1"/>
  <c r="AA45" i="32"/>
  <c r="AC45" i="32"/>
  <c r="AF45" i="32" s="1"/>
  <c r="L45" i="33" s="1"/>
  <c r="AA37" i="32"/>
  <c r="AC37" i="32"/>
  <c r="AF37" i="32" s="1"/>
  <c r="L37" i="33" s="1"/>
  <c r="AA29" i="32"/>
  <c r="AC29" i="32"/>
  <c r="AF29" i="32" s="1"/>
  <c r="L29" i="33" s="1"/>
  <c r="AA20" i="32"/>
  <c r="AC20" i="32"/>
  <c r="AF20" i="32" s="1"/>
  <c r="L20" i="33" s="1"/>
  <c r="AA12" i="32"/>
  <c r="AC12" i="32"/>
  <c r="AF12" i="32" s="1"/>
  <c r="L12" i="33" s="1"/>
  <c r="AA3" i="32"/>
  <c r="AC3" i="32"/>
  <c r="AF3" i="32" s="1"/>
  <c r="L3" i="33" s="1"/>
  <c r="AC251" i="32"/>
  <c r="AF251" i="32" s="1"/>
  <c r="L251" i="33" s="1"/>
  <c r="L252" i="33" s="1"/>
  <c r="L253" i="33" s="1"/>
  <c r="AC239" i="32"/>
  <c r="AF239" i="32" s="1"/>
  <c r="L239" i="33" s="1"/>
  <c r="AC194" i="32"/>
  <c r="AF194" i="32" s="1"/>
  <c r="L194" i="33" s="1"/>
  <c r="AA186" i="32"/>
  <c r="AC186" i="32"/>
  <c r="AF186" i="32" s="1"/>
  <c r="L186" i="33" s="1"/>
  <c r="AC254" i="32"/>
  <c r="AF254" i="32" s="1"/>
  <c r="L254" i="33" s="1"/>
  <c r="L255" i="33" s="1"/>
  <c r="AC240" i="32"/>
  <c r="AF240" i="32" s="1"/>
  <c r="L240" i="33" s="1"/>
  <c r="Y230" i="32"/>
  <c r="Y231" i="32" s="1"/>
  <c r="AA231" i="32" s="1"/>
  <c r="AC213" i="32"/>
  <c r="AF213" i="32" s="1"/>
  <c r="L213" i="33" s="1"/>
  <c r="AC205" i="32"/>
  <c r="AF205" i="32" s="1"/>
  <c r="L205" i="33" s="1"/>
  <c r="AC195" i="32"/>
  <c r="AF195" i="32" s="1"/>
  <c r="L195" i="33" s="1"/>
  <c r="AA187" i="32"/>
  <c r="AC187" i="32"/>
  <c r="AF187" i="32" s="1"/>
  <c r="L187" i="33" s="1"/>
  <c r="AA161" i="32"/>
  <c r="AC161" i="32"/>
  <c r="AA153" i="32"/>
  <c r="AC153" i="32"/>
  <c r="AA145" i="32"/>
  <c r="AC145" i="32"/>
  <c r="AF145" i="32" s="1"/>
  <c r="L145" i="33" s="1"/>
  <c r="Y137" i="32"/>
  <c r="Y129" i="32"/>
  <c r="AA113" i="32"/>
  <c r="AC113" i="32"/>
  <c r="AF113" i="32" s="1"/>
  <c r="L113" i="33" s="1"/>
  <c r="AA105" i="32"/>
  <c r="AC105" i="32"/>
  <c r="AF105" i="32" s="1"/>
  <c r="L105" i="33" s="1"/>
  <c r="AA95" i="32"/>
  <c r="AC95" i="32"/>
  <c r="AF95" i="32" s="1"/>
  <c r="L95" i="33" s="1"/>
  <c r="Y87" i="32"/>
  <c r="Y52" i="32"/>
  <c r="Y44" i="32"/>
  <c r="AA36" i="32"/>
  <c r="AC36" i="32"/>
  <c r="AF36" i="32" s="1"/>
  <c r="L36" i="33" s="1"/>
  <c r="Y28" i="32"/>
  <c r="AA19" i="32"/>
  <c r="AC19" i="32"/>
  <c r="AF19" i="32" s="1"/>
  <c r="L19" i="33" s="1"/>
  <c r="AA11" i="32"/>
  <c r="AC11" i="32"/>
  <c r="AF11" i="32" s="1"/>
  <c r="L11" i="33" s="1"/>
  <c r="AB228" i="32"/>
  <c r="AD228" i="32"/>
  <c r="N145" i="33"/>
  <c r="N117" i="33"/>
  <c r="N148" i="33"/>
  <c r="N146" i="33"/>
  <c r="O122" i="33"/>
  <c r="W292" i="32"/>
  <c r="J54" i="33"/>
  <c r="G54" i="32"/>
  <c r="I54" i="33" s="1"/>
  <c r="N128" i="33"/>
  <c r="J310" i="33"/>
  <c r="G310" i="32"/>
  <c r="I310" i="33" s="1"/>
  <c r="H311" i="32"/>
  <c r="J70" i="33"/>
  <c r="G70" i="32"/>
  <c r="I70" i="33" s="1"/>
  <c r="H71" i="32"/>
  <c r="AG70" i="32"/>
  <c r="M70" i="33" s="1"/>
  <c r="AF70" i="32"/>
  <c r="L70" i="33" s="1"/>
  <c r="V293" i="32"/>
  <c r="U293" i="32"/>
  <c r="T293" i="32"/>
  <c r="S293" i="32"/>
  <c r="AC63" i="32"/>
  <c r="AC64" i="32"/>
  <c r="AC62" i="32"/>
  <c r="AF62" i="32" s="1"/>
  <c r="AC60" i="32"/>
  <c r="AF60" i="32" s="1"/>
  <c r="AC59" i="32"/>
  <c r="AF59" i="32" s="1"/>
  <c r="AC58" i="32"/>
  <c r="AF58" i="32" s="1"/>
  <c r="G256" i="32"/>
  <c r="I256" i="33" s="1"/>
  <c r="AF256" i="32"/>
  <c r="AG256" i="32"/>
  <c r="G147" i="32"/>
  <c r="I147" i="33" s="1"/>
  <c r="AG181" i="32"/>
  <c r="M181" i="33" s="1"/>
  <c r="AF181" i="32"/>
  <c r="L181" i="33" s="1"/>
  <c r="G149" i="32"/>
  <c r="I149" i="33" s="1"/>
  <c r="G44" i="32"/>
  <c r="I44" i="33" s="1"/>
  <c r="AF171" i="32"/>
  <c r="L171" i="33" s="1"/>
  <c r="AG171" i="32"/>
  <c r="M171" i="33" s="1"/>
  <c r="G89" i="32"/>
  <c r="I89" i="33" s="1"/>
  <c r="G204" i="32"/>
  <c r="I204" i="33" s="1"/>
  <c r="G18" i="32"/>
  <c r="I18" i="33" s="1"/>
  <c r="H151" i="32"/>
  <c r="J151" i="33" s="1"/>
  <c r="G150" i="32"/>
  <c r="I150" i="33" s="1"/>
  <c r="O150" i="33" s="1"/>
  <c r="J182" i="33"/>
  <c r="G181" i="32"/>
  <c r="I181" i="33" s="1"/>
  <c r="H226" i="32"/>
  <c r="J226" i="33" s="1"/>
  <c r="G225" i="32"/>
  <c r="I225" i="33" s="1"/>
  <c r="H124" i="32"/>
  <c r="J124" i="33" s="1"/>
  <c r="G123" i="32"/>
  <c r="I123" i="33" s="1"/>
  <c r="N123" i="33" s="1"/>
  <c r="H277" i="32"/>
  <c r="J277" i="33" s="1"/>
  <c r="G276" i="32"/>
  <c r="I276" i="33" s="1"/>
  <c r="G171" i="32"/>
  <c r="I171" i="33" s="1"/>
  <c r="H31" i="32"/>
  <c r="J31" i="33" s="1"/>
  <c r="G30" i="32"/>
  <c r="I30" i="33" s="1"/>
  <c r="H130" i="32"/>
  <c r="J130" i="33" s="1"/>
  <c r="G129" i="32"/>
  <c r="I129" i="33" s="1"/>
  <c r="O129" i="33" s="1"/>
  <c r="H63" i="32"/>
  <c r="J63" i="33" s="1"/>
  <c r="G62" i="32"/>
  <c r="I62" i="33" s="1"/>
  <c r="H119" i="32"/>
  <c r="J119" i="33" s="1"/>
  <c r="G118" i="32"/>
  <c r="I118" i="33" s="1"/>
  <c r="O118" i="33" s="1"/>
  <c r="L192" i="33"/>
  <c r="L191" i="33"/>
  <c r="L15" i="33"/>
  <c r="AC2" i="32"/>
  <c r="AF2" i="32" s="1"/>
  <c r="L2" i="33" s="1"/>
  <c r="H152" i="32"/>
  <c r="J152" i="33" s="1"/>
  <c r="L104" i="33"/>
  <c r="L51" i="33"/>
  <c r="L10" i="33"/>
  <c r="L176" i="33"/>
  <c r="L143" i="33"/>
  <c r="L103" i="33"/>
  <c r="L92" i="33"/>
  <c r="L41" i="33"/>
  <c r="O17" i="33"/>
  <c r="N17" i="33"/>
  <c r="O274" i="33"/>
  <c r="N274" i="33"/>
  <c r="N53" i="33"/>
  <c r="O53" i="33"/>
  <c r="N61" i="33"/>
  <c r="O61" i="33"/>
  <c r="N69" i="33"/>
  <c r="O69" i="33"/>
  <c r="N180" i="33"/>
  <c r="O180" i="33"/>
  <c r="O88" i="33"/>
  <c r="N88" i="33"/>
  <c r="N43" i="33"/>
  <c r="O43" i="33"/>
  <c r="O252" i="33"/>
  <c r="N252" i="33"/>
  <c r="O170" i="33"/>
  <c r="N170" i="33"/>
  <c r="O224" i="33"/>
  <c r="N224" i="33"/>
  <c r="N29" i="33"/>
  <c r="O29" i="33"/>
  <c r="O114" i="33"/>
  <c r="N114" i="33"/>
  <c r="O203" i="33"/>
  <c r="N203" i="33"/>
  <c r="N309" i="33"/>
  <c r="O309" i="33"/>
  <c r="O8" i="33"/>
  <c r="N8" i="33"/>
  <c r="H154" i="16"/>
  <c r="AH304" i="16"/>
  <c r="AY304" i="32" s="1"/>
  <c r="Y304" i="16"/>
  <c r="X304" i="16"/>
  <c r="AH303" i="16"/>
  <c r="AY303" i="32" s="1"/>
  <c r="X303" i="16"/>
  <c r="Y302" i="16"/>
  <c r="X302" i="16"/>
  <c r="AG286" i="16"/>
  <c r="Y286" i="16"/>
  <c r="X286" i="16"/>
  <c r="V286" i="16"/>
  <c r="U286" i="16"/>
  <c r="S286" i="16"/>
  <c r="AG270" i="16"/>
  <c r="Y270" i="16"/>
  <c r="X270" i="16"/>
  <c r="V270" i="16"/>
  <c r="U270" i="16"/>
  <c r="S270" i="16"/>
  <c r="AF269" i="16"/>
  <c r="AV269" i="32" s="1"/>
  <c r="AW269" i="32" s="1"/>
  <c r="X269" i="16"/>
  <c r="AF268" i="16"/>
  <c r="AV268" i="32" s="1"/>
  <c r="AW268" i="32" s="1"/>
  <c r="X268" i="16"/>
  <c r="AF267" i="16"/>
  <c r="AV267" i="32" s="1"/>
  <c r="AW267" i="32" s="1"/>
  <c r="X267" i="16"/>
  <c r="AF266" i="16"/>
  <c r="AV266" i="32" s="1"/>
  <c r="AW266" i="32" s="1"/>
  <c r="X266" i="16"/>
  <c r="AF265" i="16"/>
  <c r="AV265" i="32" s="1"/>
  <c r="AW265" i="32" s="1"/>
  <c r="X265" i="16"/>
  <c r="AF264" i="16"/>
  <c r="AV264" i="32" s="1"/>
  <c r="AW264" i="32" s="1"/>
  <c r="X264" i="16"/>
  <c r="X263" i="16"/>
  <c r="X262" i="16"/>
  <c r="AF261" i="16"/>
  <c r="AV261" i="32" s="1"/>
  <c r="AW261" i="32" s="1"/>
  <c r="X261" i="16"/>
  <c r="AF260" i="16"/>
  <c r="AV260" i="32" s="1"/>
  <c r="AW260" i="32" s="1"/>
  <c r="X260" i="16"/>
  <c r="AF259" i="16"/>
  <c r="AV259" i="32" s="1"/>
  <c r="AW259" i="32" s="1"/>
  <c r="X259" i="16"/>
  <c r="AF257" i="16"/>
  <c r="AV257" i="32" s="1"/>
  <c r="AW257" i="32" s="1"/>
  <c r="AG251" i="16"/>
  <c r="AG248" i="16"/>
  <c r="S248" i="16"/>
  <c r="AP247" i="16"/>
  <c r="V247" i="33" s="1"/>
  <c r="AP246" i="16"/>
  <c r="V246" i="33" s="1"/>
  <c r="AP245" i="16"/>
  <c r="V245" i="33" s="1"/>
  <c r="AP244" i="16"/>
  <c r="V244" i="33" s="1"/>
  <c r="AP243" i="16"/>
  <c r="V243" i="33" s="1"/>
  <c r="AP242" i="16"/>
  <c r="V242" i="33" s="1"/>
  <c r="AH242" i="16"/>
  <c r="AG242" i="16"/>
  <c r="AP241" i="16"/>
  <c r="V241" i="33" s="1"/>
  <c r="AH241" i="16"/>
  <c r="AG241" i="16"/>
  <c r="AP240" i="16"/>
  <c r="V240" i="33" s="1"/>
  <c r="AH240" i="16"/>
  <c r="AG240" i="16"/>
  <c r="AF239" i="16"/>
  <c r="AV239" i="32" s="1"/>
  <c r="AW239" i="32" s="1"/>
  <c r="X239" i="16"/>
  <c r="AF238" i="16"/>
  <c r="AV238" i="32" s="1"/>
  <c r="AW238" i="32" s="1"/>
  <c r="X238" i="16"/>
  <c r="AF237" i="16"/>
  <c r="AV237" i="32" s="1"/>
  <c r="AW237" i="32" s="1"/>
  <c r="X237" i="16"/>
  <c r="AF236" i="16"/>
  <c r="AV236" i="32" s="1"/>
  <c r="AW236" i="32" s="1"/>
  <c r="X236" i="16"/>
  <c r="AF235" i="16"/>
  <c r="AV235" i="32" s="1"/>
  <c r="AW235" i="32" s="1"/>
  <c r="X235" i="16"/>
  <c r="AF234" i="16"/>
  <c r="AV234" i="32" s="1"/>
  <c r="AW234" i="32" s="1"/>
  <c r="X234" i="16"/>
  <c r="AF233" i="16"/>
  <c r="AV233" i="32" s="1"/>
  <c r="AW233" i="32" s="1"/>
  <c r="X233" i="16"/>
  <c r="AF232" i="16"/>
  <c r="AV232" i="32" s="1"/>
  <c r="AW232" i="32" s="1"/>
  <c r="X232" i="16"/>
  <c r="AF228" i="16"/>
  <c r="AV228" i="32" s="1"/>
  <c r="Y228" i="16"/>
  <c r="W228" i="16"/>
  <c r="AF224" i="16"/>
  <c r="AV224" i="32" s="1"/>
  <c r="Y224" i="16"/>
  <c r="W224" i="16"/>
  <c r="AF220" i="16"/>
  <c r="AV220" i="32" s="1"/>
  <c r="Y220" i="16"/>
  <c r="W220" i="16"/>
  <c r="W184" i="32" l="1"/>
  <c r="W169" i="32"/>
  <c r="U185" i="32"/>
  <c r="V185" i="32"/>
  <c r="S185" i="32"/>
  <c r="T185" i="32"/>
  <c r="Z185" i="32"/>
  <c r="Z275" i="32"/>
  <c r="X276" i="32"/>
  <c r="S275" i="32"/>
  <c r="V275" i="32"/>
  <c r="T275" i="32"/>
  <c r="U275" i="32"/>
  <c r="U170" i="32"/>
  <c r="S170" i="32"/>
  <c r="Z170" i="32"/>
  <c r="T170" i="32"/>
  <c r="V170" i="32"/>
  <c r="W96" i="32"/>
  <c r="Z260" i="32"/>
  <c r="X261" i="32"/>
  <c r="V260" i="32"/>
  <c r="S260" i="32"/>
  <c r="T260" i="32"/>
  <c r="U260" i="32"/>
  <c r="Y222" i="32"/>
  <c r="AA222" i="32" s="1"/>
  <c r="AB222" i="32" s="1"/>
  <c r="AA141" i="32"/>
  <c r="AA310" i="32"/>
  <c r="AA307" i="32"/>
  <c r="Y308" i="32"/>
  <c r="AA308" i="32" s="1"/>
  <c r="AA306" i="32"/>
  <c r="AC123" i="32"/>
  <c r="AF123" i="32" s="1"/>
  <c r="AA123" i="32"/>
  <c r="L203" i="33"/>
  <c r="J172" i="33"/>
  <c r="Y73" i="32"/>
  <c r="AA73" i="32" s="1"/>
  <c r="AC139" i="32"/>
  <c r="AF139" i="32" s="1"/>
  <c r="L139" i="33" s="1"/>
  <c r="AC72" i="32"/>
  <c r="Y121" i="32"/>
  <c r="AA81" i="32"/>
  <c r="AD81" i="32" s="1"/>
  <c r="AG81" i="32" s="1"/>
  <c r="AC89" i="32"/>
  <c r="AF89" i="32" s="1"/>
  <c r="Y226" i="32"/>
  <c r="Y223" i="32"/>
  <c r="AA223" i="32" s="1"/>
  <c r="AB223" i="32" s="1"/>
  <c r="Y272" i="32"/>
  <c r="AC18" i="32"/>
  <c r="AF18" i="32" s="1"/>
  <c r="Y288" i="32"/>
  <c r="AA183" i="32"/>
  <c r="AB183" i="32" s="1"/>
  <c r="AC14" i="32"/>
  <c r="AF14" i="32" s="1"/>
  <c r="L14" i="33" s="1"/>
  <c r="Y201" i="32"/>
  <c r="AA201" i="32" s="1"/>
  <c r="AB201" i="32" s="1"/>
  <c r="AA200" i="32"/>
  <c r="AB200" i="32" s="1"/>
  <c r="Y204" i="32"/>
  <c r="AA203" i="32"/>
  <c r="AB203" i="32" s="1"/>
  <c r="X295" i="32"/>
  <c r="Z294" i="32"/>
  <c r="AC120" i="32"/>
  <c r="L141" i="33"/>
  <c r="AC183" i="32"/>
  <c r="AC225" i="32"/>
  <c r="AF225" i="32" s="1"/>
  <c r="L225" i="33" s="1"/>
  <c r="Y312" i="32"/>
  <c r="L271" i="33"/>
  <c r="F183" i="32"/>
  <c r="I182" i="32"/>
  <c r="H182" i="33" s="1"/>
  <c r="L81" i="33"/>
  <c r="Y127" i="32"/>
  <c r="AA184" i="32"/>
  <c r="AD184" i="32" s="1"/>
  <c r="Y185" i="32"/>
  <c r="AC184" i="32"/>
  <c r="AA94" i="32"/>
  <c r="AB94" i="32" s="1"/>
  <c r="L54" i="33"/>
  <c r="AC16" i="32"/>
  <c r="AF16" i="32" s="1"/>
  <c r="L16" i="33" s="1"/>
  <c r="AC126" i="32"/>
  <c r="L94" i="33"/>
  <c r="AA112" i="32"/>
  <c r="AC112" i="32"/>
  <c r="AF112" i="32" s="1"/>
  <c r="AA68" i="32"/>
  <c r="AC68" i="32"/>
  <c r="AF68" i="32" s="1"/>
  <c r="L68" i="33" s="1"/>
  <c r="Y69" i="32"/>
  <c r="AA179" i="32"/>
  <c r="AC179" i="32"/>
  <c r="AF179" i="32" s="1"/>
  <c r="Y180" i="32"/>
  <c r="AA118" i="32"/>
  <c r="AC118" i="32"/>
  <c r="AF118" i="32" s="1"/>
  <c r="AA115" i="32"/>
  <c r="AC115" i="32"/>
  <c r="AF115" i="32" s="1"/>
  <c r="AD95" i="32"/>
  <c r="AG95" i="32" s="1"/>
  <c r="M95" i="33" s="1"/>
  <c r="AB95" i="32"/>
  <c r="AC221" i="32"/>
  <c r="AF221" i="32" s="1"/>
  <c r="L221" i="33" s="1"/>
  <c r="AD186" i="32"/>
  <c r="AG186" i="32" s="1"/>
  <c r="M186" i="33" s="1"/>
  <c r="AB186" i="32"/>
  <c r="AD20" i="32"/>
  <c r="AG20" i="32" s="1"/>
  <c r="AB20" i="32"/>
  <c r="AD53" i="32"/>
  <c r="AG53" i="32" s="1"/>
  <c r="M53" i="33" s="1"/>
  <c r="AB53" i="32"/>
  <c r="AD88" i="32"/>
  <c r="AG88" i="32" s="1"/>
  <c r="AB88" i="32"/>
  <c r="AD138" i="32"/>
  <c r="AG138" i="32" s="1"/>
  <c r="AB138" i="32"/>
  <c r="AA170" i="32"/>
  <c r="AC170" i="32"/>
  <c r="AF170" i="32" s="1"/>
  <c r="AD206" i="32"/>
  <c r="AG206" i="32" s="1"/>
  <c r="M206" i="33" s="1"/>
  <c r="AD257" i="32"/>
  <c r="AG257" i="32" s="1"/>
  <c r="M257" i="33" s="1"/>
  <c r="AB257" i="32"/>
  <c r="AD189" i="32"/>
  <c r="AG189" i="32" s="1"/>
  <c r="M189" i="33" s="1"/>
  <c r="AB189" i="32"/>
  <c r="AD267" i="32"/>
  <c r="AG267" i="32" s="1"/>
  <c r="M267" i="33" s="1"/>
  <c r="AB267" i="32"/>
  <c r="AD97" i="32"/>
  <c r="AG97" i="32" s="1"/>
  <c r="AB97" i="32"/>
  <c r="AD172" i="32"/>
  <c r="AB172" i="32"/>
  <c r="AD258" i="32"/>
  <c r="AG258" i="32" s="1"/>
  <c r="M258" i="33" s="1"/>
  <c r="AB258" i="32"/>
  <c r="AA40" i="32"/>
  <c r="AC40" i="32"/>
  <c r="AF40" i="32" s="1"/>
  <c r="AD90" i="32"/>
  <c r="AG90" i="32" s="1"/>
  <c r="AB90" i="32"/>
  <c r="AA124" i="32"/>
  <c r="AC124" i="32"/>
  <c r="AD164" i="32"/>
  <c r="AG164" i="32" s="1"/>
  <c r="M164" i="33" s="1"/>
  <c r="AB164" i="32"/>
  <c r="AD236" i="32"/>
  <c r="AG236" i="32" s="1"/>
  <c r="M236" i="33" s="1"/>
  <c r="AB236" i="32"/>
  <c r="AD193" i="32"/>
  <c r="AG193" i="32" s="1"/>
  <c r="AB193" i="32"/>
  <c r="AD48" i="32"/>
  <c r="AG48" i="32" s="1"/>
  <c r="M48" i="33" s="1"/>
  <c r="AB48" i="32"/>
  <c r="AD99" i="32"/>
  <c r="AG99" i="32" s="1"/>
  <c r="M99" i="33" s="1"/>
  <c r="AB99" i="32"/>
  <c r="AB141" i="32"/>
  <c r="AD141" i="32"/>
  <c r="AG141" i="32" s="1"/>
  <c r="AD217" i="32"/>
  <c r="AG217" i="32" s="1"/>
  <c r="M217" i="33" s="1"/>
  <c r="AD260" i="32"/>
  <c r="AG260" i="32" s="1"/>
  <c r="M260" i="33" s="1"/>
  <c r="AB260" i="32"/>
  <c r="AD270" i="32"/>
  <c r="AG270" i="32" s="1"/>
  <c r="M270" i="33" s="1"/>
  <c r="AB270" i="32"/>
  <c r="AB8" i="32"/>
  <c r="AD8" i="32"/>
  <c r="AG8" i="32" s="1"/>
  <c r="M8" i="33" s="1"/>
  <c r="AD110" i="32"/>
  <c r="AG110" i="32" s="1"/>
  <c r="M110" i="33" s="1"/>
  <c r="AB110" i="32"/>
  <c r="AD218" i="32"/>
  <c r="AG218" i="32" s="1"/>
  <c r="M218" i="33" s="1"/>
  <c r="AD160" i="32"/>
  <c r="AB160" i="32"/>
  <c r="AA26" i="32"/>
  <c r="AC26" i="32"/>
  <c r="AF26" i="32" s="1"/>
  <c r="AD93" i="32"/>
  <c r="AG93" i="32" s="1"/>
  <c r="AB93" i="32"/>
  <c r="AC135" i="32"/>
  <c r="AF135" i="32" s="1"/>
  <c r="L135" i="33" s="1"/>
  <c r="AA135" i="32"/>
  <c r="AB176" i="32"/>
  <c r="AD176" i="32"/>
  <c r="AG176" i="32" s="1"/>
  <c r="AD18" i="32"/>
  <c r="AG18" i="32" s="1"/>
  <c r="AB18" i="32"/>
  <c r="AD51" i="32"/>
  <c r="AG51" i="32" s="1"/>
  <c r="M51" i="33" s="1"/>
  <c r="AB51" i="32"/>
  <c r="AD104" i="32"/>
  <c r="AG104" i="32" s="1"/>
  <c r="M104" i="33" s="1"/>
  <c r="AB104" i="32"/>
  <c r="AB36" i="32"/>
  <c r="AD36" i="32"/>
  <c r="AG36" i="32" s="1"/>
  <c r="AD145" i="32"/>
  <c r="AG145" i="32" s="1"/>
  <c r="AB145" i="32"/>
  <c r="AD187" i="32"/>
  <c r="AG187" i="32" s="1"/>
  <c r="M187" i="33" s="1"/>
  <c r="AB187" i="32"/>
  <c r="AA230" i="32"/>
  <c r="AC230" i="32"/>
  <c r="AA96" i="32"/>
  <c r="AC96" i="32"/>
  <c r="AF96" i="32" s="1"/>
  <c r="L96" i="33" s="1"/>
  <c r="AA5" i="32"/>
  <c r="AC5" i="32"/>
  <c r="AF5" i="32" s="1"/>
  <c r="L5" i="33" s="1"/>
  <c r="AD30" i="32"/>
  <c r="AG30" i="32" s="1"/>
  <c r="AB30" i="32"/>
  <c r="AD72" i="32"/>
  <c r="AB72" i="32"/>
  <c r="AD139" i="32"/>
  <c r="AG139" i="32" s="1"/>
  <c r="AB139" i="32"/>
  <c r="AD14" i="32"/>
  <c r="AG14" i="32" s="1"/>
  <c r="AB14" i="32"/>
  <c r="AC132" i="32"/>
  <c r="AA132" i="32"/>
  <c r="AD208" i="32"/>
  <c r="AG208" i="32" s="1"/>
  <c r="M208" i="33" s="1"/>
  <c r="AD244" i="32"/>
  <c r="AG244" i="32" s="1"/>
  <c r="M244" i="33" s="1"/>
  <c r="AB244" i="32"/>
  <c r="AA7" i="32"/>
  <c r="AC7" i="32"/>
  <c r="AF7" i="32" s="1"/>
  <c r="L7" i="33" s="1"/>
  <c r="Y101" i="32"/>
  <c r="AA100" i="32"/>
  <c r="AC100" i="32"/>
  <c r="AF100" i="32" s="1"/>
  <c r="L100" i="33" s="1"/>
  <c r="AD183" i="32"/>
  <c r="AD150" i="32"/>
  <c r="AG150" i="32" s="1"/>
  <c r="M150" i="33" s="1"/>
  <c r="AB150" i="32"/>
  <c r="AD27" i="32"/>
  <c r="AG27" i="32" s="1"/>
  <c r="M27" i="33" s="1"/>
  <c r="AB27" i="32"/>
  <c r="AD144" i="32"/>
  <c r="AG144" i="32" s="1"/>
  <c r="AB144" i="32"/>
  <c r="AA44" i="32"/>
  <c r="AC44" i="32"/>
  <c r="AF44" i="32" s="1"/>
  <c r="AD105" i="32"/>
  <c r="AG105" i="32" s="1"/>
  <c r="M105" i="33" s="1"/>
  <c r="AB105" i="32"/>
  <c r="AD194" i="32"/>
  <c r="AG194" i="32" s="1"/>
  <c r="AD29" i="32"/>
  <c r="AG29" i="32" s="1"/>
  <c r="M29" i="33" s="1"/>
  <c r="AB29" i="32"/>
  <c r="AD61" i="32"/>
  <c r="AG61" i="32" s="1"/>
  <c r="AB61" i="32"/>
  <c r="AD214" i="32"/>
  <c r="AG214" i="32" s="1"/>
  <c r="M214" i="33" s="1"/>
  <c r="AD199" i="32"/>
  <c r="AG199" i="32" s="1"/>
  <c r="M199" i="33" s="1"/>
  <c r="AC73" i="32"/>
  <c r="AD107" i="32"/>
  <c r="AG107" i="32" s="1"/>
  <c r="M107" i="33" s="1"/>
  <c r="AB107" i="32"/>
  <c r="AD47" i="32"/>
  <c r="AG47" i="32" s="1"/>
  <c r="AB47" i="32"/>
  <c r="AD98" i="32"/>
  <c r="AG98" i="32" s="1"/>
  <c r="AB98" i="32"/>
  <c r="AA173" i="32"/>
  <c r="AC173" i="32"/>
  <c r="AD261" i="32"/>
  <c r="AG261" i="32" s="1"/>
  <c r="M261" i="33" s="1"/>
  <c r="AD15" i="32"/>
  <c r="AG15" i="32" s="1"/>
  <c r="M15" i="33" s="1"/>
  <c r="AB15" i="32"/>
  <c r="AB56" i="32"/>
  <c r="AD56" i="32"/>
  <c r="AG56" i="32" s="1"/>
  <c r="AD149" i="32"/>
  <c r="AG149" i="32" s="1"/>
  <c r="M149" i="33" s="1"/>
  <c r="AB149" i="32"/>
  <c r="AD225" i="32"/>
  <c r="AG225" i="32" s="1"/>
  <c r="AB225" i="32"/>
  <c r="AD269" i="32"/>
  <c r="AG269" i="32" s="1"/>
  <c r="M269" i="33" s="1"/>
  <c r="AB269" i="32"/>
  <c r="AD237" i="32"/>
  <c r="AG237" i="32" s="1"/>
  <c r="M237" i="33" s="1"/>
  <c r="AB237" i="32"/>
  <c r="AB16" i="32"/>
  <c r="AD16" i="32"/>
  <c r="AG16" i="32" s="1"/>
  <c r="AD49" i="32"/>
  <c r="AG49" i="32" s="1"/>
  <c r="M49" i="33" s="1"/>
  <c r="AB49" i="32"/>
  <c r="AB84" i="32"/>
  <c r="AD84" i="32"/>
  <c r="AG84" i="32" s="1"/>
  <c r="M84" i="33" s="1"/>
  <c r="AB192" i="32"/>
  <c r="AD192" i="32"/>
  <c r="AG192" i="32" s="1"/>
  <c r="M192" i="33" s="1"/>
  <c r="AB34" i="32"/>
  <c r="AD34" i="32"/>
  <c r="AG34" i="32" s="1"/>
  <c r="M34" i="33" s="1"/>
  <c r="AD143" i="32"/>
  <c r="AG143" i="32" s="1"/>
  <c r="AB143" i="32"/>
  <c r="AA177" i="32"/>
  <c r="AC177" i="32"/>
  <c r="AF177" i="32" s="1"/>
  <c r="L177" i="33" s="1"/>
  <c r="AC78" i="32"/>
  <c r="AA78" i="32"/>
  <c r="AA52" i="32"/>
  <c r="AC52" i="32"/>
  <c r="AF52" i="32" s="1"/>
  <c r="L52" i="33" s="1"/>
  <c r="AD153" i="32"/>
  <c r="AB153" i="32"/>
  <c r="AD195" i="32"/>
  <c r="AG195" i="32" s="1"/>
  <c r="M195" i="33" s="1"/>
  <c r="AD240" i="32"/>
  <c r="AG240" i="32" s="1"/>
  <c r="M240" i="33" s="1"/>
  <c r="AB240" i="32"/>
  <c r="AD106" i="32"/>
  <c r="AG106" i="32" s="1"/>
  <c r="M106" i="33" s="1"/>
  <c r="AB106" i="32"/>
  <c r="AD146" i="32"/>
  <c r="AG146" i="32" s="1"/>
  <c r="M146" i="33" s="1"/>
  <c r="AB146" i="32"/>
  <c r="AD188" i="32"/>
  <c r="AG188" i="32" s="1"/>
  <c r="M188" i="33" s="1"/>
  <c r="AB188" i="32"/>
  <c r="AC222" i="32"/>
  <c r="AF222" i="32" s="1"/>
  <c r="AD248" i="32"/>
  <c r="AG248" i="32" s="1"/>
  <c r="M248" i="33" s="1"/>
  <c r="M249" i="33" s="1"/>
  <c r="M250" i="33" s="1"/>
  <c r="AB248" i="32"/>
  <c r="AD4" i="32"/>
  <c r="AG4" i="32" s="1"/>
  <c r="AB4" i="32"/>
  <c r="AB38" i="32"/>
  <c r="AD38" i="32"/>
  <c r="AG38" i="32" s="1"/>
  <c r="M38" i="33" s="1"/>
  <c r="AD147" i="32"/>
  <c r="AG147" i="32" s="1"/>
  <c r="M147" i="33" s="1"/>
  <c r="AB147" i="32"/>
  <c r="AD215" i="32"/>
  <c r="AG215" i="32" s="1"/>
  <c r="M215" i="33" s="1"/>
  <c r="AC288" i="32"/>
  <c r="AD22" i="32"/>
  <c r="AG22" i="32" s="1"/>
  <c r="M22" i="33" s="1"/>
  <c r="AB22" i="32"/>
  <c r="AD140" i="32"/>
  <c r="AG140" i="32" s="1"/>
  <c r="M140" i="33" s="1"/>
  <c r="AB140" i="32"/>
  <c r="AD216" i="32"/>
  <c r="AG216" i="32" s="1"/>
  <c r="M216" i="33" s="1"/>
  <c r="AD259" i="32"/>
  <c r="AG259" i="32" s="1"/>
  <c r="M259" i="33" s="1"/>
  <c r="AB259" i="32"/>
  <c r="Y74" i="32"/>
  <c r="AB109" i="32"/>
  <c r="AD109" i="32"/>
  <c r="AG109" i="32" s="1"/>
  <c r="M109" i="33" s="1"/>
  <c r="AD191" i="32"/>
  <c r="AG191" i="32" s="1"/>
  <c r="M191" i="33" s="1"/>
  <c r="AB191" i="32"/>
  <c r="AD235" i="32"/>
  <c r="AG235" i="32" s="1"/>
  <c r="M235" i="33" s="1"/>
  <c r="AB235" i="32"/>
  <c r="AD126" i="32"/>
  <c r="AB126" i="32"/>
  <c r="AD158" i="32"/>
  <c r="AB158" i="32"/>
  <c r="AD202" i="32"/>
  <c r="AG202" i="32" s="1"/>
  <c r="M202" i="33" s="1"/>
  <c r="AD220" i="32"/>
  <c r="AG220" i="32" s="1"/>
  <c r="M220" i="33" s="1"/>
  <c r="AA42" i="32"/>
  <c r="AC42" i="32"/>
  <c r="AF42" i="32" s="1"/>
  <c r="L42" i="33" s="1"/>
  <c r="AD103" i="32"/>
  <c r="AG103" i="32" s="1"/>
  <c r="M103" i="33" s="1"/>
  <c r="AB103" i="32"/>
  <c r="AD120" i="32"/>
  <c r="AB120" i="32"/>
  <c r="AD152" i="32"/>
  <c r="AG152" i="32" s="1"/>
  <c r="M152" i="33" s="1"/>
  <c r="AB152" i="32"/>
  <c r="AD11" i="32"/>
  <c r="AG11" i="32" s="1"/>
  <c r="M11" i="33" s="1"/>
  <c r="AB11" i="32"/>
  <c r="AD113" i="32"/>
  <c r="AG113" i="32" s="1"/>
  <c r="M113" i="33" s="1"/>
  <c r="AB113" i="32"/>
  <c r="AD239" i="32"/>
  <c r="AG239" i="32" s="1"/>
  <c r="M239" i="33" s="1"/>
  <c r="AB239" i="32"/>
  <c r="AB3" i="32"/>
  <c r="AD3" i="32"/>
  <c r="AG3" i="32" s="1"/>
  <c r="M3" i="33" s="1"/>
  <c r="AD37" i="32"/>
  <c r="AG37" i="32" s="1"/>
  <c r="M37" i="33" s="1"/>
  <c r="AB37" i="32"/>
  <c r="AD71" i="32"/>
  <c r="AG71" i="32" s="1"/>
  <c r="M71" i="33" s="1"/>
  <c r="AB71" i="32"/>
  <c r="AC114" i="32"/>
  <c r="AF114" i="32" s="1"/>
  <c r="L114" i="33" s="1"/>
  <c r="AA114" i="32"/>
  <c r="AC231" i="32"/>
  <c r="AD207" i="32"/>
  <c r="AG207" i="32" s="1"/>
  <c r="M207" i="33" s="1"/>
  <c r="AD271" i="32"/>
  <c r="AG271" i="32" s="1"/>
  <c r="AB271" i="32"/>
  <c r="AB81" i="32"/>
  <c r="AD31" i="32"/>
  <c r="AG31" i="32" s="1"/>
  <c r="M31" i="33" s="1"/>
  <c r="AB31" i="32"/>
  <c r="AD55" i="32"/>
  <c r="AG55" i="32" s="1"/>
  <c r="M55" i="33" s="1"/>
  <c r="AB55" i="32"/>
  <c r="AD108" i="32"/>
  <c r="AG108" i="32" s="1"/>
  <c r="M108" i="33" s="1"/>
  <c r="AB108" i="32"/>
  <c r="AD182" i="32"/>
  <c r="AG182" i="32" s="1"/>
  <c r="M182" i="33" s="1"/>
  <c r="AB182" i="32"/>
  <c r="AD211" i="32"/>
  <c r="AG211" i="32" s="1"/>
  <c r="M211" i="33" s="1"/>
  <c r="AA83" i="32"/>
  <c r="AC83" i="32"/>
  <c r="AF83" i="32" s="1"/>
  <c r="L83" i="33" s="1"/>
  <c r="AD157" i="32"/>
  <c r="AB157" i="32"/>
  <c r="AB25" i="32"/>
  <c r="AD25" i="32"/>
  <c r="AG25" i="32" s="1"/>
  <c r="M25" i="33" s="1"/>
  <c r="AD57" i="32"/>
  <c r="AG57" i="32" s="1"/>
  <c r="M57" i="33" s="1"/>
  <c r="AB57" i="32"/>
  <c r="AD92" i="32"/>
  <c r="AG92" i="32" s="1"/>
  <c r="M92" i="33" s="1"/>
  <c r="AB92" i="32"/>
  <c r="AD286" i="32"/>
  <c r="AB286" i="32"/>
  <c r="AC50" i="32"/>
  <c r="AF50" i="32" s="1"/>
  <c r="L50" i="33" s="1"/>
  <c r="AA50" i="32"/>
  <c r="AA111" i="32"/>
  <c r="AC111" i="32"/>
  <c r="AF111" i="32" s="1"/>
  <c r="L111" i="33" s="1"/>
  <c r="AD151" i="32"/>
  <c r="AG151" i="32" s="1"/>
  <c r="M151" i="33" s="1"/>
  <c r="AB151" i="32"/>
  <c r="AB35" i="32"/>
  <c r="AD35" i="32"/>
  <c r="AG35" i="32" s="1"/>
  <c r="M35" i="33" s="1"/>
  <c r="AD86" i="32"/>
  <c r="AG86" i="32" s="1"/>
  <c r="M86" i="33" s="1"/>
  <c r="AB86" i="32"/>
  <c r="AD128" i="32"/>
  <c r="AG128" i="32" s="1"/>
  <c r="M128" i="33" s="1"/>
  <c r="AB128" i="32"/>
  <c r="L40" i="33"/>
  <c r="AA79" i="32"/>
  <c r="AC79" i="32"/>
  <c r="AC121" i="32"/>
  <c r="AA121" i="32"/>
  <c r="AB161" i="32"/>
  <c r="AD161" i="32"/>
  <c r="AD205" i="32"/>
  <c r="AG205" i="32" s="1"/>
  <c r="M205" i="33" s="1"/>
  <c r="AD254" i="32"/>
  <c r="AG254" i="32" s="1"/>
  <c r="M254" i="33" s="1"/>
  <c r="M255" i="33" s="1"/>
  <c r="M256" i="33" s="1"/>
  <c r="AB254" i="32"/>
  <c r="AD154" i="32"/>
  <c r="AB154" i="32"/>
  <c r="AD196" i="32"/>
  <c r="AG196" i="32" s="1"/>
  <c r="M196" i="33" s="1"/>
  <c r="AB13" i="32"/>
  <c r="AD13" i="32"/>
  <c r="AG13" i="32" s="1"/>
  <c r="M13" i="33" s="1"/>
  <c r="AB46" i="32"/>
  <c r="AD46" i="32"/>
  <c r="AG46" i="32" s="1"/>
  <c r="M46" i="33" s="1"/>
  <c r="AD123" i="32"/>
  <c r="AG123" i="32" s="1"/>
  <c r="AB123" i="32"/>
  <c r="AD155" i="32"/>
  <c r="AB155" i="32"/>
  <c r="AD148" i="32"/>
  <c r="AG148" i="32" s="1"/>
  <c r="M148" i="33" s="1"/>
  <c r="AB148" i="32"/>
  <c r="AD224" i="32"/>
  <c r="AG224" i="32" s="1"/>
  <c r="M224" i="33" s="1"/>
  <c r="AD268" i="32"/>
  <c r="AG268" i="32" s="1"/>
  <c r="M268" i="33" s="1"/>
  <c r="AB268" i="32"/>
  <c r="AB24" i="32"/>
  <c r="AD24" i="32"/>
  <c r="AG24" i="32" s="1"/>
  <c r="M24" i="33" s="1"/>
  <c r="AD125" i="32"/>
  <c r="AB125" i="32"/>
  <c r="AD134" i="32"/>
  <c r="AG134" i="32" s="1"/>
  <c r="M134" i="33" s="1"/>
  <c r="AB134" i="32"/>
  <c r="AD166" i="32"/>
  <c r="AG166" i="32" s="1"/>
  <c r="M166" i="33" s="1"/>
  <c r="AB166" i="32"/>
  <c r="AA9" i="32"/>
  <c r="AC9" i="32"/>
  <c r="AF9" i="32" s="1"/>
  <c r="L9" i="33" s="1"/>
  <c r="AA67" i="32"/>
  <c r="AC67" i="32"/>
  <c r="AF67" i="32" s="1"/>
  <c r="L67" i="33" s="1"/>
  <c r="AD43" i="32"/>
  <c r="AG43" i="32" s="1"/>
  <c r="M43" i="33" s="1"/>
  <c r="AB43" i="32"/>
  <c r="AD229" i="32"/>
  <c r="AB229" i="32"/>
  <c r="AD19" i="32"/>
  <c r="AG19" i="32" s="1"/>
  <c r="M19" i="33" s="1"/>
  <c r="AB19" i="32"/>
  <c r="AC87" i="32"/>
  <c r="AF87" i="32" s="1"/>
  <c r="L87" i="33" s="1"/>
  <c r="AA87" i="32"/>
  <c r="AA129" i="32"/>
  <c r="AC129" i="32"/>
  <c r="AF129" i="32" s="1"/>
  <c r="L129" i="33" s="1"/>
  <c r="AA169" i="32"/>
  <c r="AC169" i="32"/>
  <c r="AF169" i="32" s="1"/>
  <c r="AC168" i="32"/>
  <c r="AF168" i="32" s="1"/>
  <c r="AA168" i="32"/>
  <c r="AB251" i="32"/>
  <c r="AD251" i="32"/>
  <c r="AG251" i="32" s="1"/>
  <c r="M251" i="33" s="1"/>
  <c r="M252" i="33" s="1"/>
  <c r="M253" i="33" s="1"/>
  <c r="AD12" i="32"/>
  <c r="AG12" i="32" s="1"/>
  <c r="M12" i="33" s="1"/>
  <c r="AB12" i="32"/>
  <c r="AD45" i="32"/>
  <c r="AG45" i="32" s="1"/>
  <c r="M45" i="33" s="1"/>
  <c r="AB45" i="32"/>
  <c r="AD80" i="32"/>
  <c r="AG80" i="32" s="1"/>
  <c r="M80" i="33" s="1"/>
  <c r="AB80" i="32"/>
  <c r="AD122" i="32"/>
  <c r="AG122" i="32" s="1"/>
  <c r="M122" i="33" s="1"/>
  <c r="AB122" i="32"/>
  <c r="AC197" i="32"/>
  <c r="AF197" i="32" s="1"/>
  <c r="L197" i="33" s="1"/>
  <c r="Y198" i="32"/>
  <c r="AA198" i="32" s="1"/>
  <c r="AB198" i="32" s="1"/>
  <c r="AD241" i="32"/>
  <c r="AG241" i="32" s="1"/>
  <c r="M241" i="33" s="1"/>
  <c r="AB241" i="32"/>
  <c r="AB232" i="32"/>
  <c r="AD232" i="32"/>
  <c r="AG232" i="32" s="1"/>
  <c r="M232" i="33" s="1"/>
  <c r="AC287" i="32"/>
  <c r="AB89" i="32"/>
  <c r="AD89" i="32"/>
  <c r="AG89" i="32" s="1"/>
  <c r="AD243" i="32"/>
  <c r="AG243" i="32" s="1"/>
  <c r="M243" i="33" s="1"/>
  <c r="AB243" i="32"/>
  <c r="AD39" i="32"/>
  <c r="AG39" i="32" s="1"/>
  <c r="M39" i="33" s="1"/>
  <c r="AB39" i="32"/>
  <c r="AD82" i="32"/>
  <c r="AG82" i="32" s="1"/>
  <c r="M82" i="33" s="1"/>
  <c r="AB82" i="32"/>
  <c r="AD116" i="32"/>
  <c r="AG116" i="32" s="1"/>
  <c r="M116" i="33" s="1"/>
  <c r="AB116" i="32"/>
  <c r="AD190" i="32"/>
  <c r="AG190" i="32" s="1"/>
  <c r="M190" i="33" s="1"/>
  <c r="AB190" i="32"/>
  <c r="AD219" i="32"/>
  <c r="AG219" i="32" s="1"/>
  <c r="M219" i="33" s="1"/>
  <c r="AA32" i="32"/>
  <c r="AC32" i="32"/>
  <c r="AD91" i="32"/>
  <c r="AG91" i="32" s="1"/>
  <c r="M91" i="33" s="1"/>
  <c r="AB91" i="32"/>
  <c r="Y133" i="32"/>
  <c r="AD165" i="32"/>
  <c r="AG165" i="32" s="1"/>
  <c r="M165" i="33" s="1"/>
  <c r="AB165" i="32"/>
  <c r="AD209" i="32"/>
  <c r="AG209" i="32" s="1"/>
  <c r="M209" i="33" s="1"/>
  <c r="AD245" i="32"/>
  <c r="AG245" i="32" s="1"/>
  <c r="M245" i="33" s="1"/>
  <c r="AB245" i="32"/>
  <c r="AD247" i="32"/>
  <c r="AG247" i="32" s="1"/>
  <c r="M247" i="33" s="1"/>
  <c r="AB247" i="32"/>
  <c r="AD212" i="32"/>
  <c r="AG212" i="32" s="1"/>
  <c r="M212" i="33" s="1"/>
  <c r="AD33" i="32"/>
  <c r="AG33" i="32" s="1"/>
  <c r="M33" i="33" s="1"/>
  <c r="AB33" i="32"/>
  <c r="AD66" i="32"/>
  <c r="AG66" i="32" s="1"/>
  <c r="M66" i="33" s="1"/>
  <c r="AB66" i="32"/>
  <c r="AD102" i="32"/>
  <c r="AG102" i="32" s="1"/>
  <c r="M102" i="33" s="1"/>
  <c r="AB102" i="32"/>
  <c r="AD210" i="32"/>
  <c r="AG210" i="32" s="1"/>
  <c r="M210" i="33" s="1"/>
  <c r="AB17" i="32"/>
  <c r="AD17" i="32"/>
  <c r="AG17" i="32" s="1"/>
  <c r="M17" i="33" s="1"/>
  <c r="AC77" i="32"/>
  <c r="AA77" i="32"/>
  <c r="AD119" i="32"/>
  <c r="AG119" i="32" s="1"/>
  <c r="M119" i="33" s="1"/>
  <c r="AB119" i="32"/>
  <c r="AD159" i="32"/>
  <c r="AB159" i="32"/>
  <c r="AD10" i="32"/>
  <c r="AG10" i="32" s="1"/>
  <c r="M10" i="33" s="1"/>
  <c r="AB10" i="32"/>
  <c r="AD94" i="32"/>
  <c r="AG94" i="32" s="1"/>
  <c r="AV225" i="32"/>
  <c r="AW224" i="32"/>
  <c r="AV229" i="32"/>
  <c r="AW228" i="32"/>
  <c r="AV221" i="32"/>
  <c r="AW220" i="32"/>
  <c r="L26" i="33"/>
  <c r="AA28" i="32"/>
  <c r="AC28" i="32"/>
  <c r="AF28" i="32" s="1"/>
  <c r="L28" i="33" s="1"/>
  <c r="AA137" i="32"/>
  <c r="AC137" i="32"/>
  <c r="AF137" i="32" s="1"/>
  <c r="L137" i="33" s="1"/>
  <c r="AA178" i="32"/>
  <c r="AC178" i="32"/>
  <c r="AF178" i="32" s="1"/>
  <c r="AD213" i="32"/>
  <c r="AG213" i="32" s="1"/>
  <c r="M213" i="33" s="1"/>
  <c r="Y130" i="32"/>
  <c r="AD162" i="32"/>
  <c r="AB162" i="32"/>
  <c r="AB21" i="32"/>
  <c r="AD21" i="32"/>
  <c r="AG21" i="32" s="1"/>
  <c r="M21" i="33" s="1"/>
  <c r="AD54" i="32"/>
  <c r="AG54" i="32" s="1"/>
  <c r="AB54" i="32"/>
  <c r="AD131" i="32"/>
  <c r="AB131" i="32"/>
  <c r="AD163" i="32"/>
  <c r="AB163" i="32"/>
  <c r="AD6" i="32"/>
  <c r="AG6" i="32" s="1"/>
  <c r="M6" i="33" s="1"/>
  <c r="AB6" i="32"/>
  <c r="AA117" i="32"/>
  <c r="AC117" i="32"/>
  <c r="AF117" i="32" s="1"/>
  <c r="L117" i="33" s="1"/>
  <c r="AD156" i="32"/>
  <c r="AB156" i="32"/>
  <c r="AC200" i="32"/>
  <c r="AF200" i="32" s="1"/>
  <c r="L200" i="33" s="1"/>
  <c r="AD233" i="32"/>
  <c r="AG233" i="32" s="1"/>
  <c r="M233" i="33" s="1"/>
  <c r="AB233" i="32"/>
  <c r="Y174" i="32"/>
  <c r="AD41" i="32"/>
  <c r="AG41" i="32" s="1"/>
  <c r="M41" i="33" s="1"/>
  <c r="AB41" i="32"/>
  <c r="AD76" i="32"/>
  <c r="AB76" i="32"/>
  <c r="AD142" i="32"/>
  <c r="AG142" i="32" s="1"/>
  <c r="M142" i="33" s="1"/>
  <c r="AB142" i="32"/>
  <c r="AA85" i="32"/>
  <c r="AC85" i="32"/>
  <c r="AF85" i="32" s="1"/>
  <c r="L85" i="33" s="1"/>
  <c r="AA127" i="32"/>
  <c r="AC127" i="32"/>
  <c r="AA167" i="32"/>
  <c r="AC167" i="32"/>
  <c r="AF167" i="32" s="1"/>
  <c r="L167" i="33" s="1"/>
  <c r="AD136" i="32"/>
  <c r="AG136" i="32" s="1"/>
  <c r="M136" i="33" s="1"/>
  <c r="AB136" i="32"/>
  <c r="N129" i="33"/>
  <c r="O123" i="33"/>
  <c r="N150" i="33"/>
  <c r="W293" i="32"/>
  <c r="J71" i="33"/>
  <c r="AF71" i="32"/>
  <c r="L71" i="33" s="1"/>
  <c r="H72" i="32"/>
  <c r="G71" i="32"/>
  <c r="I71" i="33" s="1"/>
  <c r="N149" i="33"/>
  <c r="O149" i="33"/>
  <c r="N118" i="33"/>
  <c r="O147" i="33"/>
  <c r="N147" i="33"/>
  <c r="J311" i="33"/>
  <c r="G311" i="32"/>
  <c r="I311" i="33" s="1"/>
  <c r="H312" i="32"/>
  <c r="L18" i="33"/>
  <c r="S294" i="32"/>
  <c r="V294" i="32"/>
  <c r="T294" i="32"/>
  <c r="U294" i="32"/>
  <c r="L118" i="33"/>
  <c r="AD62" i="32"/>
  <c r="AG62" i="32" s="1"/>
  <c r="AB62" i="32"/>
  <c r="AB64" i="32"/>
  <c r="AD64" i="32"/>
  <c r="L62" i="33"/>
  <c r="AD63" i="32"/>
  <c r="AG63" i="32" s="1"/>
  <c r="AB63" i="32"/>
  <c r="AD58" i="32"/>
  <c r="AG58" i="32" s="1"/>
  <c r="AB58" i="32"/>
  <c r="AD59" i="32"/>
  <c r="AG59" i="32" s="1"/>
  <c r="AB59" i="32"/>
  <c r="L58" i="33"/>
  <c r="L59" i="33" s="1"/>
  <c r="L60" i="33" s="1"/>
  <c r="AD60" i="32"/>
  <c r="AG60" i="32" s="1"/>
  <c r="AB60" i="32"/>
  <c r="L30" i="33"/>
  <c r="L123" i="33"/>
  <c r="L256" i="33"/>
  <c r="AF172" i="32"/>
  <c r="L172" i="33" s="1"/>
  <c r="AG172" i="32"/>
  <c r="M172" i="33" s="1"/>
  <c r="AF63" i="32"/>
  <c r="L63" i="33" s="1"/>
  <c r="G152" i="32"/>
  <c r="I152" i="33" s="1"/>
  <c r="O152" i="33" s="1"/>
  <c r="AF152" i="32"/>
  <c r="L152" i="33" s="1"/>
  <c r="AF182" i="32"/>
  <c r="L182" i="33" s="1"/>
  <c r="L44" i="33"/>
  <c r="L89" i="33"/>
  <c r="AF119" i="32"/>
  <c r="L119" i="33" s="1"/>
  <c r="AF31" i="32"/>
  <c r="L31" i="33" s="1"/>
  <c r="AF124" i="32"/>
  <c r="L124" i="33" s="1"/>
  <c r="G151" i="32"/>
  <c r="I151" i="33" s="1"/>
  <c r="AF151" i="32"/>
  <c r="L151" i="33" s="1"/>
  <c r="H64" i="32"/>
  <c r="J64" i="33" s="1"/>
  <c r="G63" i="32"/>
  <c r="I63" i="33" s="1"/>
  <c r="H227" i="32"/>
  <c r="J227" i="33" s="1"/>
  <c r="G226" i="32"/>
  <c r="I226" i="33" s="1"/>
  <c r="H131" i="32"/>
  <c r="J131" i="33" s="1"/>
  <c r="G130" i="32"/>
  <c r="I130" i="33" s="1"/>
  <c r="J173" i="33"/>
  <c r="G172" i="32"/>
  <c r="I172" i="33" s="1"/>
  <c r="H278" i="32"/>
  <c r="J278" i="33" s="1"/>
  <c r="G277" i="32"/>
  <c r="I277" i="33" s="1"/>
  <c r="J183" i="33"/>
  <c r="G182" i="32"/>
  <c r="I182" i="33" s="1"/>
  <c r="G119" i="32"/>
  <c r="I119" i="33" s="1"/>
  <c r="O119" i="33" s="1"/>
  <c r="H120" i="32"/>
  <c r="J120" i="33" s="1"/>
  <c r="H32" i="32"/>
  <c r="J32" i="33" s="1"/>
  <c r="G31" i="32"/>
  <c r="I31" i="33" s="1"/>
  <c r="H125" i="32"/>
  <c r="J125" i="33" s="1"/>
  <c r="G124" i="32"/>
  <c r="I124" i="33" s="1"/>
  <c r="M176" i="33"/>
  <c r="M56" i="33"/>
  <c r="H154" i="32"/>
  <c r="J154" i="33" s="1"/>
  <c r="M143" i="33"/>
  <c r="M193" i="33"/>
  <c r="M36" i="33"/>
  <c r="M145" i="33"/>
  <c r="H153" i="32"/>
  <c r="J153" i="33" s="1"/>
  <c r="M4" i="33"/>
  <c r="M61" i="33"/>
  <c r="AD2" i="32"/>
  <c r="AG2" i="32" s="1"/>
  <c r="M2" i="33" s="1"/>
  <c r="M93" i="33"/>
  <c r="M144" i="33"/>
  <c r="M138" i="33"/>
  <c r="M97" i="33"/>
  <c r="M90" i="33"/>
  <c r="M194" i="33"/>
  <c r="M88" i="33"/>
  <c r="M20" i="33"/>
  <c r="M47" i="33"/>
  <c r="M98" i="33"/>
  <c r="AA4" i="33"/>
  <c r="AD6" i="33"/>
  <c r="AB4" i="33"/>
  <c r="AC6" i="33"/>
  <c r="AC4" i="33"/>
  <c r="AE4" i="33"/>
  <c r="AA8" i="33"/>
  <c r="AB8" i="33"/>
  <c r="AC8" i="33"/>
  <c r="AD8" i="33"/>
  <c r="AE8" i="33"/>
  <c r="Z8" i="33"/>
  <c r="AE6" i="33"/>
  <c r="Z6" i="33"/>
  <c r="Z4" i="33"/>
  <c r="AB6" i="33"/>
  <c r="AA6" i="33"/>
  <c r="AD4" i="33"/>
  <c r="AF248" i="16"/>
  <c r="AV248" i="32" s="1"/>
  <c r="AW248" i="32" s="1"/>
  <c r="AF251" i="16"/>
  <c r="AV251" i="32" s="1"/>
  <c r="AW251" i="32" s="1"/>
  <c r="AF286" i="16"/>
  <c r="AV286" i="32" s="1"/>
  <c r="AF270" i="16"/>
  <c r="AV270" i="32" s="1"/>
  <c r="AF242" i="16"/>
  <c r="AV242" i="32" s="1"/>
  <c r="AW242" i="32" s="1"/>
  <c r="O18" i="33"/>
  <c r="N18" i="33"/>
  <c r="N253" i="33"/>
  <c r="O253" i="33"/>
  <c r="O44" i="33"/>
  <c r="N44" i="33"/>
  <c r="O115" i="33"/>
  <c r="N115" i="33"/>
  <c r="O275" i="33"/>
  <c r="N275" i="33"/>
  <c r="O89" i="33"/>
  <c r="N89" i="33"/>
  <c r="N204" i="33"/>
  <c r="O204" i="33"/>
  <c r="O9" i="33"/>
  <c r="N9" i="33"/>
  <c r="O54" i="33"/>
  <c r="N54" i="33"/>
  <c r="O310" i="33"/>
  <c r="N310" i="33"/>
  <c r="O70" i="33"/>
  <c r="N70" i="33"/>
  <c r="O225" i="33"/>
  <c r="N225" i="33"/>
  <c r="O171" i="33"/>
  <c r="N171" i="33"/>
  <c r="N181" i="33"/>
  <c r="O181" i="33"/>
  <c r="O30" i="33"/>
  <c r="N30" i="33"/>
  <c r="O62" i="33"/>
  <c r="N62" i="33"/>
  <c r="AF241" i="16"/>
  <c r="AV241" i="32" s="1"/>
  <c r="AW241" i="32" s="1"/>
  <c r="H156" i="16"/>
  <c r="AF240" i="16"/>
  <c r="AV240" i="32" s="1"/>
  <c r="AW240" i="32" s="1"/>
  <c r="AG219" i="16"/>
  <c r="AG218" i="16"/>
  <c r="AG217" i="16"/>
  <c r="AG216" i="16"/>
  <c r="AG215" i="16"/>
  <c r="Y215" i="16"/>
  <c r="X215" i="16"/>
  <c r="AG214" i="16"/>
  <c r="Y214" i="16"/>
  <c r="X214" i="16"/>
  <c r="AG213" i="16"/>
  <c r="Y213" i="16"/>
  <c r="AG212" i="16"/>
  <c r="Y212" i="16"/>
  <c r="V212" i="16"/>
  <c r="AF211" i="16"/>
  <c r="AV211" i="32" s="1"/>
  <c r="AW211" i="32" s="1"/>
  <c r="Y211" i="16"/>
  <c r="X211" i="16"/>
  <c r="AF210" i="16"/>
  <c r="AV210" i="32" s="1"/>
  <c r="AW210" i="32" s="1"/>
  <c r="Y210" i="16"/>
  <c r="X210" i="16"/>
  <c r="AF209" i="16"/>
  <c r="AV209" i="32" s="1"/>
  <c r="AW209" i="32" s="1"/>
  <c r="Y209" i="16"/>
  <c r="X209" i="16"/>
  <c r="AF208" i="16"/>
  <c r="AV208" i="32" s="1"/>
  <c r="AW208" i="32" s="1"/>
  <c r="Y208" i="16"/>
  <c r="X208" i="16"/>
  <c r="W208" i="16"/>
  <c r="AF207" i="16"/>
  <c r="AV207" i="32" s="1"/>
  <c r="AW207" i="32" s="1"/>
  <c r="Y207" i="16"/>
  <c r="X207" i="16"/>
  <c r="W207" i="16"/>
  <c r="AF206" i="16"/>
  <c r="AV206" i="32" s="1"/>
  <c r="AW206" i="32" s="1"/>
  <c r="Y206" i="16"/>
  <c r="X206" i="16"/>
  <c r="W206" i="16"/>
  <c r="AF205" i="16"/>
  <c r="AV205" i="32" s="1"/>
  <c r="AW205" i="32" s="1"/>
  <c r="Y205" i="16"/>
  <c r="X205" i="16"/>
  <c r="W205" i="16"/>
  <c r="W185" i="32" l="1"/>
  <c r="W260" i="32"/>
  <c r="W170" i="32"/>
  <c r="Z261" i="32"/>
  <c r="AB261" i="32" s="1"/>
  <c r="X262" i="32"/>
  <c r="S261" i="32"/>
  <c r="U261" i="32"/>
  <c r="V261" i="32"/>
  <c r="T261" i="32"/>
  <c r="AC261" i="32"/>
  <c r="AF261" i="32" s="1"/>
  <c r="L261" i="33" s="1"/>
  <c r="W275" i="32"/>
  <c r="Z276" i="32"/>
  <c r="X277" i="32"/>
  <c r="T276" i="32"/>
  <c r="V276" i="32"/>
  <c r="U276" i="32"/>
  <c r="S276" i="32"/>
  <c r="AC201" i="32"/>
  <c r="AF201" i="32" s="1"/>
  <c r="M139" i="33"/>
  <c r="L112" i="33"/>
  <c r="M141" i="33"/>
  <c r="M18" i="33"/>
  <c r="M14" i="33"/>
  <c r="AA226" i="32"/>
  <c r="Y227" i="32"/>
  <c r="AA227" i="32" s="1"/>
  <c r="AA288" i="32"/>
  <c r="AD288" i="32" s="1"/>
  <c r="Y289" i="32"/>
  <c r="AA272" i="32"/>
  <c r="AC272" i="32"/>
  <c r="AF272" i="32" s="1"/>
  <c r="L272" i="33" s="1"/>
  <c r="Y273" i="32"/>
  <c r="M16" i="33"/>
  <c r="AD203" i="32"/>
  <c r="AG203" i="32" s="1"/>
  <c r="M203" i="33" s="1"/>
  <c r="AA204" i="32"/>
  <c r="AC204" i="32"/>
  <c r="AF204" i="32" s="1"/>
  <c r="L204" i="33" s="1"/>
  <c r="AA312" i="32"/>
  <c r="Z295" i="32"/>
  <c r="X296" i="32"/>
  <c r="L201" i="33"/>
  <c r="M123" i="33"/>
  <c r="AB184" i="32"/>
  <c r="L115" i="33"/>
  <c r="F184" i="32"/>
  <c r="I183" i="32"/>
  <c r="H183" i="33" s="1"/>
  <c r="N152" i="33"/>
  <c r="L168" i="33"/>
  <c r="M30" i="33"/>
  <c r="AA185" i="32"/>
  <c r="AC185" i="32"/>
  <c r="M225" i="33"/>
  <c r="AC226" i="32"/>
  <c r="AF226" i="32" s="1"/>
  <c r="L226" i="33" s="1"/>
  <c r="M81" i="33"/>
  <c r="M89" i="33"/>
  <c r="M54" i="33"/>
  <c r="L169" i="33"/>
  <c r="L170" i="33" s="1"/>
  <c r="AD200" i="32"/>
  <c r="AG200" i="32" s="1"/>
  <c r="M200" i="33" s="1"/>
  <c r="AV230" i="32"/>
  <c r="AW229" i="32"/>
  <c r="AD287" i="32"/>
  <c r="AB287" i="32"/>
  <c r="AD129" i="32"/>
  <c r="AG129" i="32" s="1"/>
  <c r="M129" i="33" s="1"/>
  <c r="AB129" i="32"/>
  <c r="AD73" i="32"/>
  <c r="AB73" i="32"/>
  <c r="AD96" i="32"/>
  <c r="AG96" i="32" s="1"/>
  <c r="M96" i="33" s="1"/>
  <c r="AB96" i="32"/>
  <c r="AD26" i="32"/>
  <c r="AG26" i="32" s="1"/>
  <c r="M26" i="33" s="1"/>
  <c r="AB26" i="32"/>
  <c r="AD124" i="32"/>
  <c r="AG124" i="32" s="1"/>
  <c r="M124" i="33" s="1"/>
  <c r="AB124" i="32"/>
  <c r="AD83" i="32"/>
  <c r="AG83" i="32" s="1"/>
  <c r="M83" i="33" s="1"/>
  <c r="AB83" i="32"/>
  <c r="AD221" i="32"/>
  <c r="AG221" i="32" s="1"/>
  <c r="M221" i="33" s="1"/>
  <c r="AD118" i="32"/>
  <c r="AG118" i="32" s="1"/>
  <c r="AB118" i="32"/>
  <c r="AD87" i="32"/>
  <c r="AG87" i="32" s="1"/>
  <c r="M87" i="33" s="1"/>
  <c r="AB87" i="32"/>
  <c r="AC130" i="32"/>
  <c r="AF130" i="32" s="1"/>
  <c r="L130" i="33" s="1"/>
  <c r="AA130" i="32"/>
  <c r="AA74" i="32"/>
  <c r="AC74" i="32"/>
  <c r="AD222" i="32"/>
  <c r="AG222" i="32" s="1"/>
  <c r="AD52" i="32"/>
  <c r="AG52" i="32" s="1"/>
  <c r="M52" i="33" s="1"/>
  <c r="AB52" i="32"/>
  <c r="AD44" i="32"/>
  <c r="AG44" i="32" s="1"/>
  <c r="M44" i="33" s="1"/>
  <c r="AB44" i="32"/>
  <c r="AD230" i="32"/>
  <c r="AB230" i="32"/>
  <c r="L222" i="33"/>
  <c r="AA180" i="32"/>
  <c r="AC180" i="32"/>
  <c r="AF180" i="32" s="1"/>
  <c r="AD167" i="32"/>
  <c r="AG167" i="32" s="1"/>
  <c r="M167" i="33" s="1"/>
  <c r="AB167" i="32"/>
  <c r="AD178" i="32"/>
  <c r="AG178" i="32" s="1"/>
  <c r="AB178" i="32"/>
  <c r="AD77" i="32"/>
  <c r="AB77" i="32"/>
  <c r="AA133" i="32"/>
  <c r="AC133" i="32"/>
  <c r="AD168" i="32"/>
  <c r="AG168" i="32" s="1"/>
  <c r="AB168" i="32"/>
  <c r="AD42" i="32"/>
  <c r="AG42" i="32" s="1"/>
  <c r="M42" i="33" s="1"/>
  <c r="AB42" i="32"/>
  <c r="AD78" i="32"/>
  <c r="AB78" i="32"/>
  <c r="L178" i="33"/>
  <c r="L179" i="33" s="1"/>
  <c r="AD100" i="32"/>
  <c r="AG100" i="32" s="1"/>
  <c r="M100" i="33" s="1"/>
  <c r="AB100" i="32"/>
  <c r="AB132" i="32"/>
  <c r="AD132" i="32"/>
  <c r="AD135" i="32"/>
  <c r="AG135" i="32" s="1"/>
  <c r="M135" i="33" s="1"/>
  <c r="AB135" i="32"/>
  <c r="AC69" i="32"/>
  <c r="AF69" i="32" s="1"/>
  <c r="L69" i="33" s="1"/>
  <c r="AA69" i="32"/>
  <c r="AD127" i="32"/>
  <c r="AB127" i="32"/>
  <c r="AD137" i="32"/>
  <c r="AG137" i="32" s="1"/>
  <c r="M137" i="33" s="1"/>
  <c r="AB137" i="32"/>
  <c r="AD121" i="32"/>
  <c r="AB121" i="32"/>
  <c r="AA101" i="32"/>
  <c r="AC101" i="32"/>
  <c r="AF101" i="32" s="1"/>
  <c r="L101" i="33" s="1"/>
  <c r="AD40" i="32"/>
  <c r="AG40" i="32" s="1"/>
  <c r="M40" i="33" s="1"/>
  <c r="AB40" i="32"/>
  <c r="AD170" i="32"/>
  <c r="AG170" i="32" s="1"/>
  <c r="AB170" i="32"/>
  <c r="AD179" i="32"/>
  <c r="AG179" i="32" s="1"/>
  <c r="AB179" i="32"/>
  <c r="AV287" i="32"/>
  <c r="AW286" i="32"/>
  <c r="M94" i="33"/>
  <c r="AA174" i="32"/>
  <c r="AC174" i="32"/>
  <c r="Y175" i="32"/>
  <c r="AD117" i="32"/>
  <c r="AG117" i="32" s="1"/>
  <c r="M117" i="33" s="1"/>
  <c r="AB117" i="32"/>
  <c r="AD67" i="32"/>
  <c r="AG67" i="32" s="1"/>
  <c r="M67" i="33" s="1"/>
  <c r="AB67" i="32"/>
  <c r="AD111" i="32"/>
  <c r="AG111" i="32" s="1"/>
  <c r="M111" i="33" s="1"/>
  <c r="AB111" i="32"/>
  <c r="AD201" i="32"/>
  <c r="AG201" i="32" s="1"/>
  <c r="AD68" i="32"/>
  <c r="AG68" i="32" s="1"/>
  <c r="M68" i="33" s="1"/>
  <c r="AB68" i="32"/>
  <c r="AV226" i="32"/>
  <c r="AW225" i="32"/>
  <c r="AD85" i="32"/>
  <c r="AG85" i="32" s="1"/>
  <c r="M85" i="33" s="1"/>
  <c r="AB85" i="32"/>
  <c r="AD28" i="32"/>
  <c r="AG28" i="32" s="1"/>
  <c r="M28" i="33" s="1"/>
  <c r="AB28" i="32"/>
  <c r="AV222" i="32"/>
  <c r="AW221" i="32"/>
  <c r="AD197" i="32"/>
  <c r="AG197" i="32" s="1"/>
  <c r="M197" i="33" s="1"/>
  <c r="AD169" i="32"/>
  <c r="AG169" i="32" s="1"/>
  <c r="AB169" i="32"/>
  <c r="AD50" i="32"/>
  <c r="AG50" i="32" s="1"/>
  <c r="M50" i="33" s="1"/>
  <c r="AB50" i="32"/>
  <c r="AC223" i="32"/>
  <c r="AF223" i="32" s="1"/>
  <c r="AD231" i="32"/>
  <c r="AB231" i="32"/>
  <c r="AD177" i="32"/>
  <c r="AG177" i="32" s="1"/>
  <c r="M177" i="33" s="1"/>
  <c r="AB177" i="32"/>
  <c r="AD173" i="32"/>
  <c r="AG173" i="32" s="1"/>
  <c r="M173" i="33" s="1"/>
  <c r="AB173" i="32"/>
  <c r="AD7" i="32"/>
  <c r="AG7" i="32" s="1"/>
  <c r="M7" i="33" s="1"/>
  <c r="AB7" i="32"/>
  <c r="AD5" i="32"/>
  <c r="AG5" i="32" s="1"/>
  <c r="M5" i="33" s="1"/>
  <c r="AB5" i="32"/>
  <c r="AV271" i="32"/>
  <c r="AW270" i="32"/>
  <c r="M271" i="33"/>
  <c r="AD32" i="32"/>
  <c r="AG32" i="32" s="1"/>
  <c r="M32" i="33" s="1"/>
  <c r="AB32" i="32"/>
  <c r="AC198" i="32"/>
  <c r="AF198" i="32" s="1"/>
  <c r="L198" i="33" s="1"/>
  <c r="AB9" i="32"/>
  <c r="AD9" i="32"/>
  <c r="AG9" i="32" s="1"/>
  <c r="M9" i="33" s="1"/>
  <c r="AD79" i="32"/>
  <c r="AB79" i="32"/>
  <c r="AD114" i="32"/>
  <c r="AG114" i="32" s="1"/>
  <c r="M114" i="33" s="1"/>
  <c r="AB114" i="32"/>
  <c r="AD115" i="32"/>
  <c r="AG115" i="32" s="1"/>
  <c r="AB115" i="32"/>
  <c r="AD112" i="32"/>
  <c r="AG112" i="32" s="1"/>
  <c r="AB112" i="32"/>
  <c r="M58" i="33"/>
  <c r="M59" i="33" s="1"/>
  <c r="N119" i="33"/>
  <c r="J72" i="33"/>
  <c r="AF72" i="32"/>
  <c r="L72" i="33" s="1"/>
  <c r="H73" i="32"/>
  <c r="AG72" i="32"/>
  <c r="M72" i="33" s="1"/>
  <c r="G72" i="32"/>
  <c r="I72" i="33" s="1"/>
  <c r="N124" i="33"/>
  <c r="O124" i="33"/>
  <c r="W294" i="32"/>
  <c r="N130" i="33"/>
  <c r="O130" i="33"/>
  <c r="N151" i="33"/>
  <c r="O151" i="33"/>
  <c r="J312" i="33"/>
  <c r="G312" i="32"/>
  <c r="I312" i="33" s="1"/>
  <c r="M62" i="33"/>
  <c r="T295" i="32"/>
  <c r="V295" i="32"/>
  <c r="S295" i="32"/>
  <c r="U295" i="32"/>
  <c r="M60" i="33"/>
  <c r="G64" i="32"/>
  <c r="I64" i="33" s="1"/>
  <c r="AF64" i="32"/>
  <c r="L64" i="33" s="1"/>
  <c r="AG64" i="32"/>
  <c r="AG120" i="32"/>
  <c r="M120" i="33" s="1"/>
  <c r="AF120" i="32"/>
  <c r="L120" i="33" s="1"/>
  <c r="G32" i="32"/>
  <c r="I32" i="33" s="1"/>
  <c r="AF32" i="32"/>
  <c r="L32" i="33" s="1"/>
  <c r="G154" i="32"/>
  <c r="I154" i="33" s="1"/>
  <c r="N154" i="33" s="1"/>
  <c r="AG154" i="32"/>
  <c r="M154" i="33" s="1"/>
  <c r="AF154" i="32"/>
  <c r="L154" i="33" s="1"/>
  <c r="AF173" i="32"/>
  <c r="L173" i="33" s="1"/>
  <c r="AG183" i="32"/>
  <c r="M183" i="33" s="1"/>
  <c r="AF183" i="32"/>
  <c r="L183" i="33" s="1"/>
  <c r="AF131" i="32"/>
  <c r="L131" i="33" s="1"/>
  <c r="AG131" i="32"/>
  <c r="M131" i="33" s="1"/>
  <c r="AG125" i="32"/>
  <c r="M125" i="33" s="1"/>
  <c r="AF125" i="32"/>
  <c r="L125" i="33" s="1"/>
  <c r="G153" i="32"/>
  <c r="I153" i="33" s="1"/>
  <c r="O153" i="33" s="1"/>
  <c r="AF153" i="32"/>
  <c r="L153" i="33" s="1"/>
  <c r="AG153" i="32"/>
  <c r="M153" i="33" s="1"/>
  <c r="M63" i="33"/>
  <c r="J174" i="33"/>
  <c r="G173" i="32"/>
  <c r="I173" i="33" s="1"/>
  <c r="G125" i="32"/>
  <c r="I125" i="33" s="1"/>
  <c r="H126" i="32"/>
  <c r="J126" i="33" s="1"/>
  <c r="H279" i="32"/>
  <c r="J279" i="33" s="1"/>
  <c r="G278" i="32"/>
  <c r="I278" i="33" s="1"/>
  <c r="G131" i="32"/>
  <c r="I131" i="33" s="1"/>
  <c r="H132" i="32"/>
  <c r="J132" i="33" s="1"/>
  <c r="H121" i="32"/>
  <c r="J121" i="33" s="1"/>
  <c r="G120" i="32"/>
  <c r="I120" i="33" s="1"/>
  <c r="O120" i="33" s="1"/>
  <c r="H228" i="32"/>
  <c r="J228" i="33" s="1"/>
  <c r="G227" i="32"/>
  <c r="I227" i="33" s="1"/>
  <c r="J184" i="33"/>
  <c r="G183" i="32"/>
  <c r="I183" i="33" s="1"/>
  <c r="H155" i="32"/>
  <c r="J155" i="33" s="1"/>
  <c r="H156" i="32"/>
  <c r="J156" i="33" s="1"/>
  <c r="Z16" i="33"/>
  <c r="AA5" i="33"/>
  <c r="AD5" i="33"/>
  <c r="AE20" i="33"/>
  <c r="AE15" i="33"/>
  <c r="AC12" i="33"/>
  <c r="AD17" i="33"/>
  <c r="AD16" i="33"/>
  <c r="AE19" i="33"/>
  <c r="AC20" i="33"/>
  <c r="AC17" i="33"/>
  <c r="AD21" i="33"/>
  <c r="Z12" i="33"/>
  <c r="AB10" i="33"/>
  <c r="Z11" i="33"/>
  <c r="AC14" i="33"/>
  <c r="AB5" i="33"/>
  <c r="AB7" i="33"/>
  <c r="AB21" i="33"/>
  <c r="AD7" i="33"/>
  <c r="AE16" i="33"/>
  <c r="AE18" i="33"/>
  <c r="Z18" i="33"/>
  <c r="AA18" i="33"/>
  <c r="AB18" i="33"/>
  <c r="AC18" i="33"/>
  <c r="AD18" i="33"/>
  <c r="AA12" i="33"/>
  <c r="AA7" i="33"/>
  <c r="AD20" i="33"/>
  <c r="AE11" i="33"/>
  <c r="AC7" i="33"/>
  <c r="AC13" i="33"/>
  <c r="AB15" i="33"/>
  <c r="AA11" i="33"/>
  <c r="AC15" i="33"/>
  <c r="AE5" i="33"/>
  <c r="AA14" i="33"/>
  <c r="AD15" i="33"/>
  <c r="AB17" i="33"/>
  <c r="AD12" i="33"/>
  <c r="AE7" i="33"/>
  <c r="AE12" i="33"/>
  <c r="Z20" i="33"/>
  <c r="AB11" i="33"/>
  <c r="AD19" i="33"/>
  <c r="Z21" i="33"/>
  <c r="AC21" i="33"/>
  <c r="AA17" i="33"/>
  <c r="AB14" i="33"/>
  <c r="AD10" i="33"/>
  <c r="Z5" i="33"/>
  <c r="Z7" i="33"/>
  <c r="Z15" i="33"/>
  <c r="Z14" i="33"/>
  <c r="AA20" i="33"/>
  <c r="AA16" i="33"/>
  <c r="Z17" i="33"/>
  <c r="AE21" i="33"/>
  <c r="Z13" i="33"/>
  <c r="AC16" i="33"/>
  <c r="AC11" i="33"/>
  <c r="AA21" i="33"/>
  <c r="AB20" i="33"/>
  <c r="AC5" i="33"/>
  <c r="AC9" i="33"/>
  <c r="AD9" i="33"/>
  <c r="AE9" i="33"/>
  <c r="Z9" i="33"/>
  <c r="AA9" i="33"/>
  <c r="AB9" i="33"/>
  <c r="AD14" i="33"/>
  <c r="AB12" i="33"/>
  <c r="AD11" i="33"/>
  <c r="AE14" i="33"/>
  <c r="AA15" i="33"/>
  <c r="AE17" i="33"/>
  <c r="AB16" i="33"/>
  <c r="AE10" i="33"/>
  <c r="AF219" i="16"/>
  <c r="AV219" i="32" s="1"/>
  <c r="AW219" i="32" s="1"/>
  <c r="AF218" i="16"/>
  <c r="AV218" i="32" s="1"/>
  <c r="AW218" i="32" s="1"/>
  <c r="AF214" i="16"/>
  <c r="AV214" i="32" s="1"/>
  <c r="AW214" i="32" s="1"/>
  <c r="AF212" i="16"/>
  <c r="AV212" i="32" s="1"/>
  <c r="AW212" i="32" s="1"/>
  <c r="AF215" i="16"/>
  <c r="AV215" i="32" s="1"/>
  <c r="AW215" i="32" s="1"/>
  <c r="AF216" i="16"/>
  <c r="AV216" i="32" s="1"/>
  <c r="AW216" i="32" s="1"/>
  <c r="AF213" i="16"/>
  <c r="AV213" i="32" s="1"/>
  <c r="AW213" i="32" s="1"/>
  <c r="AF217" i="16"/>
  <c r="AV217" i="32" s="1"/>
  <c r="AW217" i="32" s="1"/>
  <c r="O63" i="33"/>
  <c r="N63" i="33"/>
  <c r="O31" i="33"/>
  <c r="N31" i="33"/>
  <c r="O182" i="33"/>
  <c r="N182" i="33"/>
  <c r="N172" i="33"/>
  <c r="O172" i="33"/>
  <c r="O311" i="33"/>
  <c r="N311" i="33"/>
  <c r="O254" i="33"/>
  <c r="N254" i="33"/>
  <c r="N276" i="33"/>
  <c r="O276" i="33"/>
  <c r="O71" i="33"/>
  <c r="N71" i="33"/>
  <c r="O226" i="33"/>
  <c r="N226" i="33"/>
  <c r="H158" i="16"/>
  <c r="AQ192" i="28"/>
  <c r="AP192" i="28"/>
  <c r="AQ189" i="28"/>
  <c r="AP189" i="28"/>
  <c r="A194" i="20"/>
  <c r="B194" i="20"/>
  <c r="C194" i="20"/>
  <c r="E194" i="20"/>
  <c r="F194" i="20"/>
  <c r="G194" i="20"/>
  <c r="H194" i="20"/>
  <c r="I194" i="20" s="1"/>
  <c r="J194" i="20"/>
  <c r="K194" i="20"/>
  <c r="L194" i="20"/>
  <c r="M194" i="20"/>
  <c r="N194" i="20"/>
  <c r="O194" i="20"/>
  <c r="P194" i="20"/>
  <c r="Q194" i="20"/>
  <c r="R194" i="20"/>
  <c r="S194" i="20" s="1"/>
  <c r="T194" i="20"/>
  <c r="U194" i="20"/>
  <c r="V194" i="20"/>
  <c r="W194" i="20"/>
  <c r="Y194" i="20"/>
  <c r="Z194" i="20"/>
  <c r="AA194" i="20"/>
  <c r="AB194" i="20"/>
  <c r="AC194" i="20"/>
  <c r="AD194" i="20"/>
  <c r="AF194" i="20"/>
  <c r="AG194" i="20"/>
  <c r="AH194" i="20"/>
  <c r="AI194" i="20"/>
  <c r="AJ194" i="20"/>
  <c r="AK194" i="20"/>
  <c r="AL194" i="20"/>
  <c r="AM194" i="20"/>
  <c r="A195" i="20"/>
  <c r="B195" i="20"/>
  <c r="C195" i="20"/>
  <c r="E195" i="20"/>
  <c r="F195" i="20"/>
  <c r="G195" i="20"/>
  <c r="H195" i="20"/>
  <c r="I195" i="20" s="1"/>
  <c r="J195" i="20"/>
  <c r="K195" i="20"/>
  <c r="L195" i="20"/>
  <c r="M195" i="20"/>
  <c r="N195" i="20"/>
  <c r="O195" i="20"/>
  <c r="P195" i="20"/>
  <c r="Q195" i="20"/>
  <c r="R195" i="20"/>
  <c r="S195" i="20" s="1"/>
  <c r="T195" i="20"/>
  <c r="U195" i="20"/>
  <c r="V195" i="20"/>
  <c r="W195" i="20"/>
  <c r="Y195" i="20"/>
  <c r="Z195" i="20"/>
  <c r="AA195" i="20"/>
  <c r="AB195" i="20"/>
  <c r="AC195" i="20"/>
  <c r="AD195" i="20"/>
  <c r="AF195" i="20"/>
  <c r="AG195" i="20"/>
  <c r="AH195" i="20"/>
  <c r="AI195" i="20"/>
  <c r="AJ195" i="20"/>
  <c r="AK195" i="20"/>
  <c r="AL195" i="20"/>
  <c r="AM195" i="20"/>
  <c r="A196" i="20"/>
  <c r="B196" i="20"/>
  <c r="C196" i="20"/>
  <c r="E196" i="20"/>
  <c r="F196" i="20"/>
  <c r="H196" i="20"/>
  <c r="I196" i="20" s="1"/>
  <c r="J196" i="20"/>
  <c r="K196" i="20"/>
  <c r="L196" i="20"/>
  <c r="N196" i="20"/>
  <c r="O196" i="20"/>
  <c r="R196" i="20"/>
  <c r="S196" i="20" s="1"/>
  <c r="T196" i="20"/>
  <c r="U196" i="20"/>
  <c r="V196" i="20"/>
  <c r="W196" i="20"/>
  <c r="Y196" i="20"/>
  <c r="Z196" i="20"/>
  <c r="AA196" i="20"/>
  <c r="AB196" i="20"/>
  <c r="AC196" i="20"/>
  <c r="AD196" i="20"/>
  <c r="AF196" i="20"/>
  <c r="AG196" i="20"/>
  <c r="AH196" i="20"/>
  <c r="AI196" i="20"/>
  <c r="AJ196" i="20"/>
  <c r="AK196" i="20"/>
  <c r="AL196" i="20"/>
  <c r="AM196" i="20"/>
  <c r="A197" i="20"/>
  <c r="B197" i="20"/>
  <c r="C197" i="20"/>
  <c r="E197" i="20"/>
  <c r="F197" i="20"/>
  <c r="G197" i="20"/>
  <c r="H197" i="20"/>
  <c r="I197" i="20" s="1"/>
  <c r="J197" i="20"/>
  <c r="K197" i="20"/>
  <c r="L197" i="20"/>
  <c r="N197" i="20"/>
  <c r="O197" i="20"/>
  <c r="R197" i="20"/>
  <c r="S197" i="20" s="1"/>
  <c r="T197" i="20"/>
  <c r="U197" i="20"/>
  <c r="V197" i="20"/>
  <c r="W197" i="20"/>
  <c r="Y197" i="20"/>
  <c r="Z197" i="20"/>
  <c r="AA197" i="20"/>
  <c r="AB197" i="20"/>
  <c r="AC197" i="20"/>
  <c r="AD197" i="20"/>
  <c r="AF197" i="20"/>
  <c r="AG197" i="20"/>
  <c r="AH197" i="20"/>
  <c r="AI197" i="20"/>
  <c r="AJ197" i="20"/>
  <c r="AK197" i="20"/>
  <c r="AL197" i="20"/>
  <c r="AM197" i="20"/>
  <c r="A198" i="20"/>
  <c r="B198" i="20"/>
  <c r="C198" i="20"/>
  <c r="E198" i="20"/>
  <c r="F198" i="20"/>
  <c r="G198" i="20"/>
  <c r="H198" i="20"/>
  <c r="I198" i="20" s="1"/>
  <c r="J198" i="20"/>
  <c r="K198" i="20"/>
  <c r="L198" i="20"/>
  <c r="M198" i="20"/>
  <c r="N198" i="20"/>
  <c r="O198" i="20"/>
  <c r="P198" i="20"/>
  <c r="R198" i="20"/>
  <c r="S198" i="20" s="1"/>
  <c r="T198" i="20"/>
  <c r="U198" i="20"/>
  <c r="V198" i="20"/>
  <c r="W198" i="20"/>
  <c r="Y198" i="20"/>
  <c r="Z198" i="20"/>
  <c r="AA198" i="20"/>
  <c r="AB198" i="20"/>
  <c r="AC198" i="20"/>
  <c r="AD198" i="20"/>
  <c r="AF198" i="20"/>
  <c r="AG198" i="20"/>
  <c r="AH198" i="20"/>
  <c r="AI198" i="20"/>
  <c r="AJ198" i="20"/>
  <c r="AK198" i="20"/>
  <c r="AL198" i="20"/>
  <c r="AM198" i="20"/>
  <c r="A199" i="20"/>
  <c r="B199" i="20"/>
  <c r="C199" i="20"/>
  <c r="E199" i="20"/>
  <c r="F199" i="20"/>
  <c r="G199" i="20"/>
  <c r="H199" i="20"/>
  <c r="I199" i="20" s="1"/>
  <c r="J199" i="20"/>
  <c r="K199" i="20"/>
  <c r="L199" i="20"/>
  <c r="M199" i="20"/>
  <c r="N199" i="20"/>
  <c r="O199" i="20"/>
  <c r="P199" i="20"/>
  <c r="R199" i="20"/>
  <c r="S199" i="20" s="1"/>
  <c r="T199" i="20"/>
  <c r="U199" i="20"/>
  <c r="V199" i="20"/>
  <c r="W199" i="20"/>
  <c r="X199" i="20"/>
  <c r="Y199" i="20"/>
  <c r="Z199" i="20"/>
  <c r="AA199" i="20"/>
  <c r="AB199" i="20"/>
  <c r="AC199" i="20"/>
  <c r="AD199" i="20"/>
  <c r="AF199" i="20"/>
  <c r="AG199" i="20"/>
  <c r="AH199" i="20"/>
  <c r="AI199" i="20"/>
  <c r="AJ199" i="20"/>
  <c r="AK199" i="20"/>
  <c r="AL199" i="20"/>
  <c r="AM199" i="20"/>
  <c r="B200" i="20"/>
  <c r="C200" i="20"/>
  <c r="E200" i="20"/>
  <c r="F200" i="20"/>
  <c r="G200" i="20"/>
  <c r="H200" i="20"/>
  <c r="I200" i="20" s="1"/>
  <c r="J200" i="20"/>
  <c r="K200" i="20"/>
  <c r="L200" i="20"/>
  <c r="M200" i="20"/>
  <c r="N200" i="20"/>
  <c r="O200" i="20"/>
  <c r="P200" i="20"/>
  <c r="Q200" i="20"/>
  <c r="R200" i="20"/>
  <c r="S200" i="20" s="1"/>
  <c r="T200" i="20"/>
  <c r="U200" i="20"/>
  <c r="V200" i="20"/>
  <c r="W200" i="20"/>
  <c r="Z200" i="20"/>
  <c r="AA200" i="20"/>
  <c r="AB200" i="20"/>
  <c r="AC200" i="20"/>
  <c r="AD200" i="20"/>
  <c r="AF200" i="20"/>
  <c r="AG200" i="20"/>
  <c r="AH200" i="20"/>
  <c r="AI200" i="20"/>
  <c r="AJ200" i="20"/>
  <c r="AK200" i="20"/>
  <c r="AL200" i="20"/>
  <c r="AM200" i="20"/>
  <c r="A201" i="20"/>
  <c r="B201" i="20"/>
  <c r="C201" i="20"/>
  <c r="E201" i="20"/>
  <c r="F201" i="20"/>
  <c r="G201" i="20"/>
  <c r="H201" i="20"/>
  <c r="I201" i="20" s="1"/>
  <c r="J201" i="20"/>
  <c r="K201" i="20"/>
  <c r="L201" i="20"/>
  <c r="M201" i="20"/>
  <c r="N201" i="20"/>
  <c r="O201" i="20"/>
  <c r="P201" i="20"/>
  <c r="Q201" i="20"/>
  <c r="R201" i="20"/>
  <c r="S201" i="20" s="1"/>
  <c r="T201" i="20"/>
  <c r="U201" i="20"/>
  <c r="V201" i="20"/>
  <c r="W201" i="20"/>
  <c r="X201" i="20"/>
  <c r="Y201" i="20"/>
  <c r="Z201" i="20"/>
  <c r="AA201" i="20"/>
  <c r="AB201" i="20"/>
  <c r="AC201" i="20"/>
  <c r="AD201" i="20"/>
  <c r="AF201" i="20"/>
  <c r="AG201" i="20"/>
  <c r="AH201" i="20"/>
  <c r="AI201" i="20"/>
  <c r="AJ201" i="20"/>
  <c r="AK201" i="20"/>
  <c r="AL201" i="20"/>
  <c r="AM201" i="20"/>
  <c r="A202" i="20"/>
  <c r="B202" i="20"/>
  <c r="C202" i="20"/>
  <c r="E202" i="20"/>
  <c r="F202" i="20"/>
  <c r="G202" i="20"/>
  <c r="H202" i="20"/>
  <c r="I202" i="20" s="1"/>
  <c r="J202" i="20"/>
  <c r="K202" i="20"/>
  <c r="L202" i="20"/>
  <c r="M202" i="20"/>
  <c r="N202" i="20"/>
  <c r="O202" i="20"/>
  <c r="P202" i="20"/>
  <c r="Q202" i="20"/>
  <c r="R202" i="20"/>
  <c r="S202" i="20" s="1"/>
  <c r="T202" i="20"/>
  <c r="U202" i="20"/>
  <c r="V202" i="20"/>
  <c r="W202" i="20"/>
  <c r="X202" i="20"/>
  <c r="Y202" i="20"/>
  <c r="Z202" i="20"/>
  <c r="AA202" i="20"/>
  <c r="AB202" i="20"/>
  <c r="AC202" i="20"/>
  <c r="AD202" i="20"/>
  <c r="AF202" i="20"/>
  <c r="AG202" i="20"/>
  <c r="AH202" i="20"/>
  <c r="AI202" i="20"/>
  <c r="AJ202" i="20"/>
  <c r="AK202" i="20"/>
  <c r="AL202" i="20"/>
  <c r="AM202" i="20"/>
  <c r="A203" i="20"/>
  <c r="B203" i="20"/>
  <c r="C203" i="20"/>
  <c r="E203" i="20"/>
  <c r="F203" i="20"/>
  <c r="G203" i="20"/>
  <c r="H203" i="20"/>
  <c r="I203" i="20" s="1"/>
  <c r="J203" i="20"/>
  <c r="K203" i="20"/>
  <c r="L203" i="20"/>
  <c r="M203" i="20"/>
  <c r="N203" i="20"/>
  <c r="O203" i="20"/>
  <c r="P203" i="20"/>
  <c r="Q203" i="20"/>
  <c r="R203" i="20"/>
  <c r="S203" i="20" s="1"/>
  <c r="T203" i="20"/>
  <c r="U203" i="20"/>
  <c r="V203" i="20"/>
  <c r="W203" i="20"/>
  <c r="X203" i="20"/>
  <c r="Y203" i="20"/>
  <c r="Z203" i="20"/>
  <c r="AA203" i="20"/>
  <c r="AB203" i="20"/>
  <c r="AC203" i="20"/>
  <c r="AD203" i="20"/>
  <c r="AF203" i="20"/>
  <c r="AG203" i="20"/>
  <c r="AH203" i="20"/>
  <c r="AI203" i="20"/>
  <c r="AJ203" i="20"/>
  <c r="AK203" i="20"/>
  <c r="AL203" i="20"/>
  <c r="AM203" i="20"/>
  <c r="I204" i="20"/>
  <c r="J204" i="20"/>
  <c r="K204" i="20"/>
  <c r="L204" i="20"/>
  <c r="M204" i="20"/>
  <c r="N204" i="20"/>
  <c r="O204" i="20"/>
  <c r="P204" i="20"/>
  <c r="Q204" i="20"/>
  <c r="R204" i="20"/>
  <c r="S204" i="20" s="1"/>
  <c r="T204" i="20"/>
  <c r="U204" i="20"/>
  <c r="V204" i="20"/>
  <c r="W204" i="20"/>
  <c r="X204" i="20"/>
  <c r="Y204" i="20"/>
  <c r="Z204" i="20"/>
  <c r="AA204" i="20"/>
  <c r="AB204" i="20"/>
  <c r="AC204" i="20"/>
  <c r="AD204" i="20"/>
  <c r="AF204" i="20"/>
  <c r="AG204" i="20"/>
  <c r="AH204" i="20"/>
  <c r="AI204" i="20"/>
  <c r="AJ204" i="20"/>
  <c r="AK204" i="20"/>
  <c r="AL204" i="20"/>
  <c r="AM204" i="20"/>
  <c r="I205" i="20"/>
  <c r="J205" i="20"/>
  <c r="K205" i="20"/>
  <c r="L205" i="20"/>
  <c r="M205" i="20"/>
  <c r="N205" i="20"/>
  <c r="O205" i="20"/>
  <c r="P205" i="20"/>
  <c r="Q205" i="20"/>
  <c r="R205" i="20"/>
  <c r="S205" i="20" s="1"/>
  <c r="T205" i="20"/>
  <c r="U205" i="20"/>
  <c r="V205" i="20"/>
  <c r="W205" i="20"/>
  <c r="X205" i="20"/>
  <c r="Y205" i="20"/>
  <c r="Z205" i="20"/>
  <c r="AA205" i="20"/>
  <c r="AB205" i="20"/>
  <c r="AC205" i="20"/>
  <c r="AD205" i="20"/>
  <c r="AF205" i="20"/>
  <c r="AG205" i="20"/>
  <c r="AH205" i="20"/>
  <c r="AI205" i="20"/>
  <c r="AJ205" i="20"/>
  <c r="AK205" i="20"/>
  <c r="AL205" i="20"/>
  <c r="AM205" i="20"/>
  <c r="AA200" i="18"/>
  <c r="Y200" i="20" s="1"/>
  <c r="Z200" i="18"/>
  <c r="X200" i="20" s="1"/>
  <c r="S199" i="18"/>
  <c r="Q199" i="20" s="1"/>
  <c r="Z198" i="18"/>
  <c r="X198" i="20" s="1"/>
  <c r="S198" i="18"/>
  <c r="Q198" i="20" s="1"/>
  <c r="Z197" i="18"/>
  <c r="X197" i="20" s="1"/>
  <c r="S197" i="18"/>
  <c r="Q197" i="20" s="1"/>
  <c r="R197" i="18"/>
  <c r="P197" i="20" s="1"/>
  <c r="O197" i="18"/>
  <c r="M197" i="20" s="1"/>
  <c r="Z196" i="18"/>
  <c r="X196" i="20" s="1"/>
  <c r="S196" i="18"/>
  <c r="Q196" i="20" s="1"/>
  <c r="R196" i="18"/>
  <c r="P196" i="20" s="1"/>
  <c r="O196" i="18"/>
  <c r="M196" i="20" s="1"/>
  <c r="Z195" i="18"/>
  <c r="X195" i="20" s="1"/>
  <c r="Z194" i="18"/>
  <c r="X194" i="20" s="1"/>
  <c r="Z193" i="18"/>
  <c r="Z192" i="18"/>
  <c r="S192" i="18"/>
  <c r="R192" i="18"/>
  <c r="Z191" i="18"/>
  <c r="S191" i="18"/>
  <c r="R191" i="18"/>
  <c r="Z190" i="18"/>
  <c r="S190" i="18"/>
  <c r="R190" i="18"/>
  <c r="Z189" i="18"/>
  <c r="S189" i="18"/>
  <c r="R189" i="18"/>
  <c r="W276" i="32" l="1"/>
  <c r="W261" i="32"/>
  <c r="Z277" i="32"/>
  <c r="X278" i="32"/>
  <c r="V277" i="32"/>
  <c r="U277" i="32"/>
  <c r="S277" i="32"/>
  <c r="T277" i="32"/>
  <c r="Z262" i="32"/>
  <c r="AB262" i="32" s="1"/>
  <c r="X263" i="32"/>
  <c r="U262" i="32"/>
  <c r="V262" i="32"/>
  <c r="T262" i="32"/>
  <c r="S262" i="32"/>
  <c r="AC262" i="32"/>
  <c r="AF262" i="32" s="1"/>
  <c r="L262" i="33" s="1"/>
  <c r="AD262" i="32"/>
  <c r="AG262" i="32" s="1"/>
  <c r="M262" i="33" s="1"/>
  <c r="AB288" i="32"/>
  <c r="AA273" i="32"/>
  <c r="Y274" i="32"/>
  <c r="AC273" i="32"/>
  <c r="AF273" i="32" s="1"/>
  <c r="L273" i="33" s="1"/>
  <c r="AD272" i="32"/>
  <c r="AG272" i="32" s="1"/>
  <c r="M272" i="33" s="1"/>
  <c r="AB272" i="32"/>
  <c r="AA289" i="32"/>
  <c r="Y290" i="32"/>
  <c r="AC289" i="32"/>
  <c r="M118" i="33"/>
  <c r="AB204" i="32"/>
  <c r="AD204" i="32"/>
  <c r="AG204" i="32" s="1"/>
  <c r="M204" i="33" s="1"/>
  <c r="X297" i="32"/>
  <c r="Z296" i="32"/>
  <c r="M201" i="33"/>
  <c r="F185" i="32"/>
  <c r="I184" i="32"/>
  <c r="H184" i="33" s="1"/>
  <c r="M115" i="33"/>
  <c r="M178" i="33"/>
  <c r="M179" i="33" s="1"/>
  <c r="M168" i="33"/>
  <c r="M169" i="33" s="1"/>
  <c r="M170" i="33" s="1"/>
  <c r="M222" i="33"/>
  <c r="AC227" i="32"/>
  <c r="AF227" i="32" s="1"/>
  <c r="L227" i="33" s="1"/>
  <c r="AD226" i="32"/>
  <c r="AG226" i="32" s="1"/>
  <c r="M226" i="33" s="1"/>
  <c r="AB226" i="32"/>
  <c r="AB185" i="32"/>
  <c r="AD185" i="32"/>
  <c r="AV272" i="32"/>
  <c r="AW271" i="32"/>
  <c r="AD74" i="32"/>
  <c r="AB74" i="32"/>
  <c r="AD198" i="32"/>
  <c r="AG198" i="32" s="1"/>
  <c r="M198" i="33" s="1"/>
  <c r="AV288" i="32"/>
  <c r="AW287" i="32"/>
  <c r="AD101" i="32"/>
  <c r="AG101" i="32" s="1"/>
  <c r="M101" i="33" s="1"/>
  <c r="AB101" i="32"/>
  <c r="AD130" i="32"/>
  <c r="AG130" i="32" s="1"/>
  <c r="M130" i="33" s="1"/>
  <c r="AB130" i="32"/>
  <c r="AA175" i="32"/>
  <c r="AC175" i="32"/>
  <c r="AD69" i="32"/>
  <c r="AG69" i="32" s="1"/>
  <c r="M69" i="33" s="1"/>
  <c r="AB69" i="32"/>
  <c r="L180" i="33"/>
  <c r="AD133" i="32"/>
  <c r="AB133" i="32"/>
  <c r="AV231" i="32"/>
  <c r="AW231" i="32" s="1"/>
  <c r="AW230" i="32"/>
  <c r="M112" i="33"/>
  <c r="AV227" i="32"/>
  <c r="AW227" i="32" s="1"/>
  <c r="AW226" i="32"/>
  <c r="AD174" i="32"/>
  <c r="AG174" i="32" s="1"/>
  <c r="M174" i="33" s="1"/>
  <c r="AB174" i="32"/>
  <c r="AD180" i="32"/>
  <c r="AG180" i="32" s="1"/>
  <c r="M180" i="33" s="1"/>
  <c r="AB180" i="32"/>
  <c r="L223" i="33"/>
  <c r="AD223" i="32"/>
  <c r="AG223" i="32" s="1"/>
  <c r="M223" i="33" s="1"/>
  <c r="AV223" i="32"/>
  <c r="AW223" i="32" s="1"/>
  <c r="AW222" i="32"/>
  <c r="O154" i="33"/>
  <c r="W295" i="32"/>
  <c r="N153" i="33"/>
  <c r="O125" i="33"/>
  <c r="N125" i="33"/>
  <c r="J73" i="33"/>
  <c r="H74" i="32"/>
  <c r="AG73" i="32"/>
  <c r="M73" i="33" s="1"/>
  <c r="AF73" i="32"/>
  <c r="L73" i="33" s="1"/>
  <c r="G73" i="32"/>
  <c r="I73" i="33" s="1"/>
  <c r="O131" i="33"/>
  <c r="N131" i="33"/>
  <c r="N120" i="33"/>
  <c r="S296" i="32"/>
  <c r="V296" i="32"/>
  <c r="U296" i="32"/>
  <c r="T296" i="32"/>
  <c r="M64" i="33"/>
  <c r="G156" i="32"/>
  <c r="I156" i="33" s="1"/>
  <c r="O156" i="33" s="1"/>
  <c r="AF156" i="32"/>
  <c r="L156" i="33" s="1"/>
  <c r="AG156" i="32"/>
  <c r="M156" i="33" s="1"/>
  <c r="AF228" i="32"/>
  <c r="L228" i="33" s="1"/>
  <c r="AG228" i="32"/>
  <c r="M228" i="33" s="1"/>
  <c r="AG126" i="32"/>
  <c r="M126" i="33" s="1"/>
  <c r="AF126" i="32"/>
  <c r="L126" i="33" s="1"/>
  <c r="AG184" i="32"/>
  <c r="M184" i="33" s="1"/>
  <c r="AF184" i="32"/>
  <c r="L184" i="33" s="1"/>
  <c r="AG132" i="32"/>
  <c r="M132" i="33" s="1"/>
  <c r="AF132" i="32"/>
  <c r="L132" i="33" s="1"/>
  <c r="AF174" i="32"/>
  <c r="L174" i="33" s="1"/>
  <c r="G155" i="32"/>
  <c r="I155" i="33" s="1"/>
  <c r="N155" i="33" s="1"/>
  <c r="AG155" i="32"/>
  <c r="M155" i="33" s="1"/>
  <c r="AF155" i="32"/>
  <c r="L155" i="33" s="1"/>
  <c r="G121" i="32"/>
  <c r="I121" i="33" s="1"/>
  <c r="N121" i="33" s="1"/>
  <c r="AF121" i="32"/>
  <c r="L121" i="33" s="1"/>
  <c r="AG121" i="32"/>
  <c r="M121" i="33" s="1"/>
  <c r="H229" i="32"/>
  <c r="J229" i="33" s="1"/>
  <c r="G228" i="32"/>
  <c r="I228" i="33" s="1"/>
  <c r="H280" i="32"/>
  <c r="J280" i="33" s="1"/>
  <c r="G279" i="32"/>
  <c r="I279" i="33" s="1"/>
  <c r="J185" i="33"/>
  <c r="G184" i="32"/>
  <c r="I184" i="33" s="1"/>
  <c r="H127" i="32"/>
  <c r="J127" i="33" s="1"/>
  <c r="G126" i="32"/>
  <c r="I126" i="33" s="1"/>
  <c r="H133" i="32"/>
  <c r="J133" i="33" s="1"/>
  <c r="G132" i="32"/>
  <c r="I132" i="33" s="1"/>
  <c r="J175" i="33"/>
  <c r="G174" i="32"/>
  <c r="I174" i="33" s="1"/>
  <c r="H158" i="32"/>
  <c r="J158" i="33" s="1"/>
  <c r="H157" i="32"/>
  <c r="J157" i="33" s="1"/>
  <c r="AE29" i="33"/>
  <c r="AB27" i="33"/>
  <c r="AE27" i="33"/>
  <c r="AC29" i="33"/>
  <c r="Z27" i="33"/>
  <c r="AA29" i="33"/>
  <c r="AB29" i="33"/>
  <c r="AC27" i="33"/>
  <c r="Z29" i="33"/>
  <c r="AD27" i="33"/>
  <c r="Z31" i="33"/>
  <c r="AA31" i="33"/>
  <c r="AB31" i="33"/>
  <c r="AC31" i="33"/>
  <c r="AD31" i="33"/>
  <c r="AE31" i="33"/>
  <c r="AD29" i="33"/>
  <c r="AA27" i="33"/>
  <c r="N277" i="33"/>
  <c r="O277" i="33"/>
  <c r="O227" i="33"/>
  <c r="N227" i="33"/>
  <c r="O255" i="33"/>
  <c r="N255" i="33"/>
  <c r="O183" i="33"/>
  <c r="N183" i="33"/>
  <c r="O64" i="33"/>
  <c r="N64" i="33"/>
  <c r="O32" i="33"/>
  <c r="N32" i="33"/>
  <c r="O72" i="33"/>
  <c r="N72" i="33"/>
  <c r="N173" i="33"/>
  <c r="O173" i="33"/>
  <c r="O312" i="33"/>
  <c r="N312" i="33"/>
  <c r="H160" i="16"/>
  <c r="AR192" i="28"/>
  <c r="AR189" i="28"/>
  <c r="AG142" i="16"/>
  <c r="AH142" i="16"/>
  <c r="X109" i="16"/>
  <c r="X108" i="16"/>
  <c r="AE142" i="18"/>
  <c r="AE140" i="18"/>
  <c r="AE138" i="18"/>
  <c r="AK141" i="16"/>
  <c r="Q141" i="33" s="1"/>
  <c r="AK139" i="16"/>
  <c r="Q139" i="33" s="1"/>
  <c r="AK137" i="16"/>
  <c r="X136" i="20"/>
  <c r="Y136" i="20"/>
  <c r="Z136" i="20"/>
  <c r="Z137" i="20"/>
  <c r="X138" i="20"/>
  <c r="Y138" i="20"/>
  <c r="Z138" i="20"/>
  <c r="Z139" i="20"/>
  <c r="X140" i="20"/>
  <c r="Y140" i="20"/>
  <c r="Z140" i="20"/>
  <c r="Z141" i="20"/>
  <c r="X142" i="20"/>
  <c r="Y142" i="20"/>
  <c r="Z142" i="20"/>
  <c r="X144" i="20"/>
  <c r="Y144" i="20"/>
  <c r="Z144" i="20"/>
  <c r="X146" i="20"/>
  <c r="Y146" i="20"/>
  <c r="Z146" i="20"/>
  <c r="X148" i="20"/>
  <c r="Y148" i="20"/>
  <c r="Z148" i="20"/>
  <c r="X150" i="20"/>
  <c r="Y150" i="20"/>
  <c r="Z150" i="20"/>
  <c r="X152" i="20"/>
  <c r="Y152" i="20"/>
  <c r="Z152" i="20"/>
  <c r="X154" i="20"/>
  <c r="Y154" i="20"/>
  <c r="Z154" i="20"/>
  <c r="X156" i="20"/>
  <c r="Y156" i="20"/>
  <c r="Z156" i="20"/>
  <c r="X158" i="20"/>
  <c r="Y158" i="20"/>
  <c r="Z158" i="20"/>
  <c r="X160" i="20"/>
  <c r="Y160" i="20"/>
  <c r="Z160" i="20"/>
  <c r="X162" i="20"/>
  <c r="Y162" i="20"/>
  <c r="Z162" i="20"/>
  <c r="X164" i="20"/>
  <c r="Y164" i="20"/>
  <c r="Z164" i="20"/>
  <c r="Z165" i="20"/>
  <c r="Z166" i="20"/>
  <c r="X167" i="20"/>
  <c r="Y167" i="20"/>
  <c r="Z167" i="20"/>
  <c r="X168" i="20"/>
  <c r="Y168" i="20"/>
  <c r="Z168" i="20"/>
  <c r="X169" i="20"/>
  <c r="Y169" i="20"/>
  <c r="Z169" i="20"/>
  <c r="X170" i="20"/>
  <c r="Y170" i="20"/>
  <c r="Z170" i="20"/>
  <c r="X171" i="20"/>
  <c r="Y171" i="20"/>
  <c r="Z171" i="20"/>
  <c r="AD110" i="20"/>
  <c r="AD111" i="20"/>
  <c r="AD112" i="20"/>
  <c r="AD113" i="20"/>
  <c r="AD114" i="20"/>
  <c r="AD115" i="20"/>
  <c r="AD116" i="20"/>
  <c r="AD117" i="20"/>
  <c r="AD118" i="20"/>
  <c r="AD119" i="20"/>
  <c r="AD120" i="20"/>
  <c r="AD121" i="20"/>
  <c r="AD122" i="20"/>
  <c r="AD123" i="20"/>
  <c r="AD124" i="20"/>
  <c r="AD125" i="20"/>
  <c r="AD126" i="20"/>
  <c r="AD127" i="20"/>
  <c r="AD128" i="20"/>
  <c r="AD129" i="20"/>
  <c r="AD130" i="20"/>
  <c r="AD131" i="20"/>
  <c r="AD132" i="20"/>
  <c r="AD133" i="20"/>
  <c r="AD134" i="20"/>
  <c r="AD135" i="20"/>
  <c r="AD136" i="20"/>
  <c r="AD137" i="20"/>
  <c r="AD138" i="20"/>
  <c r="AD139" i="20"/>
  <c r="AD140" i="20"/>
  <c r="AD141" i="20"/>
  <c r="AD142" i="20"/>
  <c r="AD143" i="20"/>
  <c r="AD144" i="20"/>
  <c r="AD145" i="20"/>
  <c r="AD146" i="20"/>
  <c r="AD147" i="20"/>
  <c r="AD148" i="20"/>
  <c r="AD149" i="20"/>
  <c r="AD150" i="20"/>
  <c r="AD151" i="20"/>
  <c r="AD152" i="20"/>
  <c r="AD153" i="20"/>
  <c r="AD154" i="20"/>
  <c r="AD155" i="20"/>
  <c r="AD156" i="20"/>
  <c r="AD157" i="20"/>
  <c r="AD158" i="20"/>
  <c r="AD159" i="20"/>
  <c r="AD160" i="20"/>
  <c r="AD161" i="20"/>
  <c r="AD162" i="20"/>
  <c r="AD163" i="20"/>
  <c r="AD164" i="20"/>
  <c r="AD165" i="20"/>
  <c r="AD166" i="20"/>
  <c r="AD167" i="20"/>
  <c r="AD168" i="20"/>
  <c r="AD169" i="20"/>
  <c r="AD170" i="20"/>
  <c r="AD171" i="20"/>
  <c r="AD172" i="20"/>
  <c r="AD173" i="20"/>
  <c r="AD174" i="20"/>
  <c r="AD175" i="20"/>
  <c r="AD176" i="20"/>
  <c r="AD177" i="20"/>
  <c r="AD178" i="20"/>
  <c r="AD179" i="20"/>
  <c r="AD180" i="20"/>
  <c r="AD181" i="20"/>
  <c r="AD182" i="20"/>
  <c r="AD183" i="20"/>
  <c r="AD184" i="20"/>
  <c r="AD185" i="20"/>
  <c r="AD186" i="20"/>
  <c r="AD187" i="20"/>
  <c r="AD188" i="20"/>
  <c r="AD109" i="20"/>
  <c r="A166" i="20"/>
  <c r="B166" i="20"/>
  <c r="C166" i="20"/>
  <c r="E166" i="20"/>
  <c r="F166" i="20"/>
  <c r="G166" i="20"/>
  <c r="H166" i="20"/>
  <c r="I166" i="20" s="1"/>
  <c r="J166" i="20"/>
  <c r="K166" i="20"/>
  <c r="L166" i="20"/>
  <c r="M166" i="20"/>
  <c r="N166" i="20"/>
  <c r="O166" i="20"/>
  <c r="P166" i="20"/>
  <c r="R166" i="20"/>
  <c r="S166" i="20" s="1"/>
  <c r="T166" i="20"/>
  <c r="U166" i="20"/>
  <c r="V166" i="20"/>
  <c r="W166" i="20"/>
  <c r="AA166" i="20"/>
  <c r="AB166" i="20"/>
  <c r="AC166" i="20"/>
  <c r="AF166" i="20"/>
  <c r="AG166" i="20"/>
  <c r="AH166" i="20"/>
  <c r="AI166" i="20"/>
  <c r="AJ166" i="20"/>
  <c r="AK166" i="20"/>
  <c r="AL166" i="20"/>
  <c r="AM166" i="20"/>
  <c r="A167" i="20"/>
  <c r="B167" i="20"/>
  <c r="C167" i="20"/>
  <c r="E167" i="20"/>
  <c r="F167" i="20"/>
  <c r="G167" i="20"/>
  <c r="H167" i="20"/>
  <c r="I167" i="20" s="1"/>
  <c r="J167" i="20"/>
  <c r="K167" i="20"/>
  <c r="L167" i="20"/>
  <c r="M167" i="20"/>
  <c r="N167" i="20"/>
  <c r="O167" i="20"/>
  <c r="P167" i="20"/>
  <c r="R167" i="20"/>
  <c r="S167" i="20" s="1"/>
  <c r="T167" i="20"/>
  <c r="U167" i="20"/>
  <c r="V167" i="20"/>
  <c r="W167" i="20"/>
  <c r="AA167" i="20"/>
  <c r="AB167" i="20"/>
  <c r="AC167" i="20"/>
  <c r="AF167" i="20"/>
  <c r="AG167" i="20"/>
  <c r="AH167" i="20"/>
  <c r="AI167" i="20"/>
  <c r="AJ167" i="20"/>
  <c r="AK167" i="20"/>
  <c r="AL167" i="20"/>
  <c r="AM167" i="20"/>
  <c r="A168" i="20"/>
  <c r="B168" i="20"/>
  <c r="C168" i="20"/>
  <c r="E168" i="20"/>
  <c r="F168" i="20"/>
  <c r="G168" i="20"/>
  <c r="H168" i="20"/>
  <c r="I168" i="20" s="1"/>
  <c r="J168" i="20"/>
  <c r="K168" i="20"/>
  <c r="L168" i="20"/>
  <c r="M168" i="20"/>
  <c r="N168" i="20"/>
  <c r="O168" i="20"/>
  <c r="P168" i="20"/>
  <c r="Q168" i="20"/>
  <c r="R168" i="20"/>
  <c r="S168" i="20" s="1"/>
  <c r="T168" i="20"/>
  <c r="U168" i="20"/>
  <c r="V168" i="20"/>
  <c r="W168" i="20"/>
  <c r="AA168" i="20"/>
  <c r="AB168" i="20"/>
  <c r="AC168" i="20"/>
  <c r="AF168" i="20"/>
  <c r="AG168" i="20"/>
  <c r="AH168" i="20"/>
  <c r="AI168" i="20"/>
  <c r="AJ168" i="20"/>
  <c r="AK168" i="20"/>
  <c r="AL168" i="20"/>
  <c r="AM168" i="20"/>
  <c r="A169" i="20"/>
  <c r="B169" i="20"/>
  <c r="C169" i="20"/>
  <c r="E169" i="20"/>
  <c r="F169" i="20"/>
  <c r="G169" i="20"/>
  <c r="H169" i="20"/>
  <c r="I169" i="20" s="1"/>
  <c r="J169" i="20"/>
  <c r="K169" i="20"/>
  <c r="L169" i="20"/>
  <c r="M169" i="20"/>
  <c r="N169" i="20"/>
  <c r="O169" i="20"/>
  <c r="P169" i="20"/>
  <c r="Q169" i="20"/>
  <c r="R169" i="20"/>
  <c r="S169" i="20" s="1"/>
  <c r="T169" i="20"/>
  <c r="U169" i="20"/>
  <c r="V169" i="20"/>
  <c r="W169" i="20"/>
  <c r="AA169" i="20"/>
  <c r="AB169" i="20"/>
  <c r="AC169" i="20"/>
  <c r="AF169" i="20"/>
  <c r="AG169" i="20"/>
  <c r="AH169" i="20"/>
  <c r="AI169" i="20"/>
  <c r="AJ169" i="20"/>
  <c r="AK169" i="20"/>
  <c r="AL169" i="20"/>
  <c r="AM169" i="20"/>
  <c r="A170" i="20"/>
  <c r="B170" i="20"/>
  <c r="C170" i="20"/>
  <c r="E170" i="20"/>
  <c r="F170" i="20"/>
  <c r="G170" i="20"/>
  <c r="H170" i="20"/>
  <c r="I170" i="20" s="1"/>
  <c r="J170" i="20"/>
  <c r="K170" i="20"/>
  <c r="L170" i="20"/>
  <c r="M170" i="20"/>
  <c r="N170" i="20"/>
  <c r="O170" i="20"/>
  <c r="P170" i="20"/>
  <c r="Q170" i="20"/>
  <c r="R170" i="20"/>
  <c r="S170" i="20" s="1"/>
  <c r="T170" i="20"/>
  <c r="U170" i="20"/>
  <c r="V170" i="20"/>
  <c r="W170" i="20"/>
  <c r="AA170" i="20"/>
  <c r="AB170" i="20"/>
  <c r="AC170" i="20"/>
  <c r="AF170" i="20"/>
  <c r="AG170" i="20"/>
  <c r="AH170" i="20"/>
  <c r="AI170" i="20"/>
  <c r="AJ170" i="20"/>
  <c r="AK170" i="20"/>
  <c r="AL170" i="20"/>
  <c r="AM170" i="20"/>
  <c r="A171" i="20"/>
  <c r="B171" i="20"/>
  <c r="C171" i="20"/>
  <c r="E171" i="20"/>
  <c r="F171" i="20"/>
  <c r="G171" i="20"/>
  <c r="H171" i="20"/>
  <c r="I171" i="20" s="1"/>
  <c r="J171" i="20"/>
  <c r="K171" i="20"/>
  <c r="L171" i="20"/>
  <c r="M171" i="20"/>
  <c r="N171" i="20"/>
  <c r="O171" i="20"/>
  <c r="P171" i="20"/>
  <c r="Q171" i="20"/>
  <c r="R171" i="20"/>
  <c r="S171" i="20" s="1"/>
  <c r="T171" i="20"/>
  <c r="U171" i="20"/>
  <c r="V171" i="20"/>
  <c r="W171" i="20"/>
  <c r="AA171" i="20"/>
  <c r="AB171" i="20"/>
  <c r="AC171" i="20"/>
  <c r="AF171" i="20"/>
  <c r="AG171" i="20"/>
  <c r="AH171" i="20"/>
  <c r="AI171" i="20"/>
  <c r="AJ171" i="20"/>
  <c r="AK171" i="20"/>
  <c r="AL171" i="20"/>
  <c r="AM171" i="20"/>
  <c r="A172" i="20"/>
  <c r="B172" i="20"/>
  <c r="C172" i="20"/>
  <c r="E172" i="20"/>
  <c r="F172" i="20"/>
  <c r="G172" i="20"/>
  <c r="H172" i="20"/>
  <c r="I172" i="20" s="1"/>
  <c r="J172" i="20"/>
  <c r="K172" i="20"/>
  <c r="L172" i="20"/>
  <c r="M172" i="20"/>
  <c r="N172" i="20"/>
  <c r="O172" i="20"/>
  <c r="P172" i="20"/>
  <c r="R172" i="20"/>
  <c r="S172" i="20" s="1"/>
  <c r="T172" i="20"/>
  <c r="U172" i="20"/>
  <c r="V172" i="20"/>
  <c r="W172" i="20"/>
  <c r="X172" i="20"/>
  <c r="Y172" i="20"/>
  <c r="Z172" i="20"/>
  <c r="AA172" i="20"/>
  <c r="AB172" i="20"/>
  <c r="AC172" i="20"/>
  <c r="AF172" i="20"/>
  <c r="AG172" i="20"/>
  <c r="AH172" i="20"/>
  <c r="AI172" i="20"/>
  <c r="AJ172" i="20"/>
  <c r="AK172" i="20"/>
  <c r="AL172" i="20"/>
  <c r="AM172" i="20"/>
  <c r="A173" i="20"/>
  <c r="B173" i="20"/>
  <c r="C173" i="20"/>
  <c r="E173" i="20"/>
  <c r="F173" i="20"/>
  <c r="G173" i="20"/>
  <c r="H173" i="20"/>
  <c r="I173" i="20" s="1"/>
  <c r="J173" i="20"/>
  <c r="K173" i="20"/>
  <c r="L173" i="20"/>
  <c r="M173" i="20"/>
  <c r="N173" i="20"/>
  <c r="O173" i="20"/>
  <c r="P173" i="20"/>
  <c r="Q173" i="20"/>
  <c r="R173" i="20"/>
  <c r="S173" i="20" s="1"/>
  <c r="T173" i="20"/>
  <c r="U173" i="20"/>
  <c r="V173" i="20"/>
  <c r="W173" i="20"/>
  <c r="X173" i="20"/>
  <c r="Y173" i="20"/>
  <c r="Z173" i="20"/>
  <c r="AA173" i="20"/>
  <c r="AB173" i="20"/>
  <c r="AC173" i="20"/>
  <c r="AF173" i="20"/>
  <c r="AG173" i="20"/>
  <c r="AH173" i="20"/>
  <c r="AI173" i="20"/>
  <c r="AJ173" i="20"/>
  <c r="AK173" i="20"/>
  <c r="AL173" i="20"/>
  <c r="AM173" i="20"/>
  <c r="A174" i="20"/>
  <c r="B174" i="20"/>
  <c r="C174" i="20"/>
  <c r="E174" i="20"/>
  <c r="F174" i="20"/>
  <c r="G174" i="20"/>
  <c r="H174" i="20"/>
  <c r="I174" i="20" s="1"/>
  <c r="J174" i="20"/>
  <c r="K174" i="20"/>
  <c r="L174" i="20"/>
  <c r="M174" i="20"/>
  <c r="N174" i="20"/>
  <c r="O174" i="20"/>
  <c r="P174" i="20"/>
  <c r="Q174" i="20"/>
  <c r="R174" i="20"/>
  <c r="S174" i="20" s="1"/>
  <c r="T174" i="20"/>
  <c r="U174" i="20"/>
  <c r="V174" i="20"/>
  <c r="W174" i="20"/>
  <c r="X174" i="20"/>
  <c r="Y174" i="20"/>
  <c r="Z174" i="20"/>
  <c r="AA174" i="20"/>
  <c r="AB174" i="20"/>
  <c r="AC174" i="20"/>
  <c r="AF174" i="20"/>
  <c r="AG174" i="20"/>
  <c r="AH174" i="20"/>
  <c r="AI174" i="20"/>
  <c r="AJ174" i="20"/>
  <c r="AK174" i="20"/>
  <c r="AL174" i="20"/>
  <c r="AM174" i="20"/>
  <c r="A175" i="20"/>
  <c r="B175" i="20"/>
  <c r="C175" i="20"/>
  <c r="E175" i="20"/>
  <c r="F175" i="20"/>
  <c r="G175" i="20"/>
  <c r="H175" i="20"/>
  <c r="I175" i="20" s="1"/>
  <c r="J175" i="20"/>
  <c r="K175" i="20"/>
  <c r="L175" i="20"/>
  <c r="M175" i="20"/>
  <c r="N175" i="20"/>
  <c r="O175" i="20"/>
  <c r="P175" i="20"/>
  <c r="Q175" i="20"/>
  <c r="R175" i="20"/>
  <c r="S175" i="20" s="1"/>
  <c r="T175" i="20"/>
  <c r="U175" i="20"/>
  <c r="V175" i="20"/>
  <c r="W175" i="20"/>
  <c r="X175" i="20"/>
  <c r="Y175" i="20"/>
  <c r="Z175" i="20"/>
  <c r="AA175" i="20"/>
  <c r="AB175" i="20"/>
  <c r="AC175" i="20"/>
  <c r="AF175" i="20"/>
  <c r="AG175" i="20"/>
  <c r="AH175" i="20"/>
  <c r="AI175" i="20"/>
  <c r="AJ175" i="20"/>
  <c r="AK175" i="20"/>
  <c r="AL175" i="20"/>
  <c r="AM175" i="20"/>
  <c r="A176" i="20"/>
  <c r="B176" i="20"/>
  <c r="C176" i="20"/>
  <c r="E176" i="20"/>
  <c r="F176" i="20"/>
  <c r="G176" i="20"/>
  <c r="H176" i="20"/>
  <c r="I176" i="20" s="1"/>
  <c r="J176" i="20"/>
  <c r="K176" i="20"/>
  <c r="L176" i="20"/>
  <c r="M176" i="20"/>
  <c r="N176" i="20"/>
  <c r="O176" i="20"/>
  <c r="P176" i="20"/>
  <c r="Q176" i="20"/>
  <c r="R176" i="20"/>
  <c r="S176" i="20" s="1"/>
  <c r="T176" i="20"/>
  <c r="U176" i="20"/>
  <c r="V176" i="20"/>
  <c r="W176" i="20"/>
  <c r="X176" i="20"/>
  <c r="Y176" i="20"/>
  <c r="Z176" i="20"/>
  <c r="AA176" i="20"/>
  <c r="AB176" i="20"/>
  <c r="AC176" i="20"/>
  <c r="AF176" i="20"/>
  <c r="AG176" i="20"/>
  <c r="AH176" i="20"/>
  <c r="AI176" i="20"/>
  <c r="AJ176" i="20"/>
  <c r="AK176" i="20"/>
  <c r="AL176" i="20"/>
  <c r="AM176" i="20"/>
  <c r="A177" i="20"/>
  <c r="B177" i="20"/>
  <c r="C177" i="20"/>
  <c r="E177" i="20"/>
  <c r="F177" i="20"/>
  <c r="G177" i="20"/>
  <c r="H177" i="20"/>
  <c r="I177" i="20" s="1"/>
  <c r="J177" i="20"/>
  <c r="K177" i="20"/>
  <c r="L177" i="20"/>
  <c r="M177" i="20"/>
  <c r="N177" i="20"/>
  <c r="O177" i="20"/>
  <c r="P177" i="20"/>
  <c r="R177" i="20"/>
  <c r="S177" i="20" s="1"/>
  <c r="T177" i="20"/>
  <c r="U177" i="20"/>
  <c r="V177" i="20"/>
  <c r="W177" i="20"/>
  <c r="X177" i="20"/>
  <c r="Y177" i="20"/>
  <c r="Z177" i="20"/>
  <c r="AA177" i="20"/>
  <c r="AB177" i="20"/>
  <c r="AC177" i="20"/>
  <c r="AF177" i="20"/>
  <c r="AG177" i="20"/>
  <c r="AH177" i="20"/>
  <c r="AI177" i="20"/>
  <c r="AJ177" i="20"/>
  <c r="AK177" i="20"/>
  <c r="AL177" i="20"/>
  <c r="AM177" i="20"/>
  <c r="A178" i="20"/>
  <c r="B178" i="20"/>
  <c r="C178" i="20"/>
  <c r="E178" i="20"/>
  <c r="F178" i="20"/>
  <c r="G178" i="20"/>
  <c r="H178" i="20"/>
  <c r="I178" i="20" s="1"/>
  <c r="J178" i="20"/>
  <c r="K178" i="20"/>
  <c r="L178" i="20"/>
  <c r="M178" i="20"/>
  <c r="N178" i="20"/>
  <c r="O178" i="20"/>
  <c r="P178" i="20"/>
  <c r="Q178" i="20"/>
  <c r="R178" i="20"/>
  <c r="S178" i="20" s="1"/>
  <c r="T178" i="20"/>
  <c r="U178" i="20"/>
  <c r="V178" i="20"/>
  <c r="W178" i="20"/>
  <c r="X178" i="20"/>
  <c r="Y178" i="20"/>
  <c r="Z178" i="20"/>
  <c r="AA178" i="20"/>
  <c r="AB178" i="20"/>
  <c r="AC178" i="20"/>
  <c r="AF178" i="20"/>
  <c r="AG178" i="20"/>
  <c r="AH178" i="20"/>
  <c r="AI178" i="20"/>
  <c r="AJ178" i="20"/>
  <c r="AK178" i="20"/>
  <c r="AL178" i="20"/>
  <c r="AM178" i="20"/>
  <c r="A179" i="20"/>
  <c r="B179" i="20"/>
  <c r="C179" i="20"/>
  <c r="E179" i="20"/>
  <c r="F179" i="20"/>
  <c r="G179" i="20"/>
  <c r="H179" i="20"/>
  <c r="I179" i="20" s="1"/>
  <c r="J179" i="20"/>
  <c r="K179" i="20"/>
  <c r="L179" i="20"/>
  <c r="M179" i="20"/>
  <c r="N179" i="20"/>
  <c r="O179" i="20"/>
  <c r="P179" i="20"/>
  <c r="Q179" i="20"/>
  <c r="R179" i="20"/>
  <c r="S179" i="20" s="1"/>
  <c r="T179" i="20"/>
  <c r="U179" i="20"/>
  <c r="V179" i="20"/>
  <c r="W179" i="20"/>
  <c r="X179" i="20"/>
  <c r="Y179" i="20"/>
  <c r="Z179" i="20"/>
  <c r="AA179" i="20"/>
  <c r="AB179" i="20"/>
  <c r="AC179" i="20"/>
  <c r="AF179" i="20"/>
  <c r="AG179" i="20"/>
  <c r="AH179" i="20"/>
  <c r="AI179" i="20"/>
  <c r="AJ179" i="20"/>
  <c r="AK179" i="20"/>
  <c r="AL179" i="20"/>
  <c r="AM179" i="20"/>
  <c r="A180" i="20"/>
  <c r="B180" i="20"/>
  <c r="C180" i="20"/>
  <c r="E180" i="20"/>
  <c r="F180" i="20"/>
  <c r="G180" i="20"/>
  <c r="H180" i="20"/>
  <c r="I180" i="20" s="1"/>
  <c r="J180" i="20"/>
  <c r="K180" i="20"/>
  <c r="L180" i="20"/>
  <c r="M180" i="20"/>
  <c r="N180" i="20"/>
  <c r="O180" i="20"/>
  <c r="P180" i="20"/>
  <c r="Q180" i="20"/>
  <c r="R180" i="20"/>
  <c r="S180" i="20" s="1"/>
  <c r="T180" i="20"/>
  <c r="U180" i="20"/>
  <c r="V180" i="20"/>
  <c r="W180" i="20"/>
  <c r="X180" i="20"/>
  <c r="Y180" i="20"/>
  <c r="Z180" i="20"/>
  <c r="AA180" i="20"/>
  <c r="AB180" i="20"/>
  <c r="AC180" i="20"/>
  <c r="AF180" i="20"/>
  <c r="AG180" i="20"/>
  <c r="AH180" i="20"/>
  <c r="AI180" i="20"/>
  <c r="AJ180" i="20"/>
  <c r="AK180" i="20"/>
  <c r="AL180" i="20"/>
  <c r="AM180" i="20"/>
  <c r="A181" i="20"/>
  <c r="B181" i="20"/>
  <c r="C181" i="20"/>
  <c r="E181" i="20"/>
  <c r="F181" i="20"/>
  <c r="G181" i="20"/>
  <c r="H181" i="20"/>
  <c r="I181" i="20" s="1"/>
  <c r="J181" i="20"/>
  <c r="K181" i="20"/>
  <c r="L181" i="20"/>
  <c r="M181" i="20"/>
  <c r="N181" i="20"/>
  <c r="O181" i="20"/>
  <c r="P181" i="20"/>
  <c r="Q181" i="20"/>
  <c r="R181" i="20"/>
  <c r="S181" i="20" s="1"/>
  <c r="T181" i="20"/>
  <c r="U181" i="20"/>
  <c r="V181" i="20"/>
  <c r="W181" i="20"/>
  <c r="X181" i="20"/>
  <c r="Y181" i="20"/>
  <c r="Z181" i="20"/>
  <c r="AA181" i="20"/>
  <c r="AB181" i="20"/>
  <c r="AC181" i="20"/>
  <c r="AF181" i="20"/>
  <c r="AG181" i="20"/>
  <c r="AH181" i="20"/>
  <c r="AI181" i="20"/>
  <c r="AJ181" i="20"/>
  <c r="AK181" i="20"/>
  <c r="AL181" i="20"/>
  <c r="AM181" i="20"/>
  <c r="A182" i="20"/>
  <c r="B182" i="20"/>
  <c r="C182" i="20"/>
  <c r="E182" i="20"/>
  <c r="F182" i="20"/>
  <c r="G182" i="20"/>
  <c r="H182" i="20"/>
  <c r="I182" i="20" s="1"/>
  <c r="J182" i="20"/>
  <c r="K182" i="20"/>
  <c r="L182" i="20"/>
  <c r="M182" i="20"/>
  <c r="N182" i="20"/>
  <c r="O182" i="20"/>
  <c r="P182" i="20"/>
  <c r="R182" i="20"/>
  <c r="S182" i="20" s="1"/>
  <c r="T182" i="20"/>
  <c r="U182" i="20"/>
  <c r="V182" i="20"/>
  <c r="W182" i="20"/>
  <c r="X182" i="20"/>
  <c r="Y182" i="20"/>
  <c r="Z182" i="20"/>
  <c r="AA182" i="20"/>
  <c r="AB182" i="20"/>
  <c r="AC182" i="20"/>
  <c r="AF182" i="20"/>
  <c r="AG182" i="20"/>
  <c r="AH182" i="20"/>
  <c r="AI182" i="20"/>
  <c r="AJ182" i="20"/>
  <c r="AK182" i="20"/>
  <c r="AL182" i="20"/>
  <c r="AM182" i="20"/>
  <c r="A183" i="20"/>
  <c r="B183" i="20"/>
  <c r="C183" i="20"/>
  <c r="E183" i="20"/>
  <c r="F183" i="20"/>
  <c r="G183" i="20"/>
  <c r="H183" i="20"/>
  <c r="I183" i="20" s="1"/>
  <c r="J183" i="20"/>
  <c r="K183" i="20"/>
  <c r="L183" i="20"/>
  <c r="M183" i="20"/>
  <c r="N183" i="20"/>
  <c r="O183" i="20"/>
  <c r="P183" i="20"/>
  <c r="Q183" i="20"/>
  <c r="R183" i="20"/>
  <c r="S183" i="20" s="1"/>
  <c r="T183" i="20"/>
  <c r="U183" i="20"/>
  <c r="V183" i="20"/>
  <c r="W183" i="20"/>
  <c r="X183" i="20"/>
  <c r="Y183" i="20"/>
  <c r="Z183" i="20"/>
  <c r="AA183" i="20"/>
  <c r="AB183" i="20"/>
  <c r="AC183" i="20"/>
  <c r="AF183" i="20"/>
  <c r="AG183" i="20"/>
  <c r="AH183" i="20"/>
  <c r="AI183" i="20"/>
  <c r="AJ183" i="20"/>
  <c r="AK183" i="20"/>
  <c r="AL183" i="20"/>
  <c r="AM183" i="20"/>
  <c r="A184" i="20"/>
  <c r="B184" i="20"/>
  <c r="C184" i="20"/>
  <c r="E184" i="20"/>
  <c r="F184" i="20"/>
  <c r="G184" i="20"/>
  <c r="H184" i="20"/>
  <c r="I184" i="20" s="1"/>
  <c r="J184" i="20"/>
  <c r="K184" i="20"/>
  <c r="L184" i="20"/>
  <c r="M184" i="20"/>
  <c r="N184" i="20"/>
  <c r="O184" i="20"/>
  <c r="P184" i="20"/>
  <c r="Q184" i="20"/>
  <c r="R184" i="20"/>
  <c r="S184" i="20" s="1"/>
  <c r="T184" i="20"/>
  <c r="U184" i="20"/>
  <c r="V184" i="20"/>
  <c r="W184" i="20"/>
  <c r="X184" i="20"/>
  <c r="Y184" i="20"/>
  <c r="Z184" i="20"/>
  <c r="AA184" i="20"/>
  <c r="AB184" i="20"/>
  <c r="AC184" i="20"/>
  <c r="AF184" i="20"/>
  <c r="AG184" i="20"/>
  <c r="AH184" i="20"/>
  <c r="AI184" i="20"/>
  <c r="AJ184" i="20"/>
  <c r="AK184" i="20"/>
  <c r="AL184" i="20"/>
  <c r="AM184" i="20"/>
  <c r="A185" i="20"/>
  <c r="B185" i="20"/>
  <c r="C185" i="20"/>
  <c r="E185" i="20"/>
  <c r="F185" i="20"/>
  <c r="G185" i="20"/>
  <c r="H185" i="20"/>
  <c r="I185" i="20" s="1"/>
  <c r="J185" i="20"/>
  <c r="K185" i="20"/>
  <c r="L185" i="20"/>
  <c r="M185" i="20"/>
  <c r="N185" i="20"/>
  <c r="O185" i="20"/>
  <c r="P185" i="20"/>
  <c r="Q185" i="20"/>
  <c r="R185" i="20"/>
  <c r="S185" i="20" s="1"/>
  <c r="T185" i="20"/>
  <c r="U185" i="20"/>
  <c r="V185" i="20"/>
  <c r="W185" i="20"/>
  <c r="X185" i="20"/>
  <c r="Y185" i="20"/>
  <c r="Z185" i="20"/>
  <c r="AA185" i="20"/>
  <c r="AB185" i="20"/>
  <c r="AC185" i="20"/>
  <c r="AF185" i="20"/>
  <c r="AG185" i="20"/>
  <c r="AH185" i="20"/>
  <c r="AI185" i="20"/>
  <c r="AJ185" i="20"/>
  <c r="AK185" i="20"/>
  <c r="AL185" i="20"/>
  <c r="AM185" i="20"/>
  <c r="A186" i="20"/>
  <c r="B186" i="20"/>
  <c r="C186" i="20"/>
  <c r="E186" i="20"/>
  <c r="F186" i="20"/>
  <c r="G186" i="20"/>
  <c r="H186" i="20"/>
  <c r="I186" i="20" s="1"/>
  <c r="J186" i="20"/>
  <c r="K186" i="20"/>
  <c r="L186" i="20"/>
  <c r="M186" i="20"/>
  <c r="N186" i="20"/>
  <c r="O186" i="20"/>
  <c r="P186" i="20"/>
  <c r="Q186" i="20"/>
  <c r="R186" i="20"/>
  <c r="S186" i="20" s="1"/>
  <c r="T186" i="20"/>
  <c r="U186" i="20"/>
  <c r="V186" i="20"/>
  <c r="W186" i="20"/>
  <c r="X186" i="20"/>
  <c r="Y186" i="20"/>
  <c r="Z186" i="20"/>
  <c r="AA186" i="20"/>
  <c r="AB186" i="20"/>
  <c r="AC186" i="20"/>
  <c r="AF186" i="20"/>
  <c r="AG186" i="20"/>
  <c r="AH186" i="20"/>
  <c r="AI186" i="20"/>
  <c r="AJ186" i="20"/>
  <c r="AK186" i="20"/>
  <c r="AL186" i="20"/>
  <c r="AM186" i="20"/>
  <c r="A187" i="20"/>
  <c r="B187" i="20"/>
  <c r="C187" i="20"/>
  <c r="E187" i="20"/>
  <c r="F187" i="20"/>
  <c r="G187" i="20"/>
  <c r="H187" i="20"/>
  <c r="I187" i="20" s="1"/>
  <c r="J187" i="20"/>
  <c r="K187" i="20"/>
  <c r="L187" i="20"/>
  <c r="M187" i="20"/>
  <c r="O187" i="20"/>
  <c r="Q187" i="20"/>
  <c r="R187" i="20"/>
  <c r="S187" i="20" s="1"/>
  <c r="T187" i="20"/>
  <c r="U187" i="20"/>
  <c r="V187" i="20"/>
  <c r="W187" i="20"/>
  <c r="Z187" i="20"/>
  <c r="AA187" i="20"/>
  <c r="AB187" i="20"/>
  <c r="AC187" i="20"/>
  <c r="AF187" i="20"/>
  <c r="AG187" i="20"/>
  <c r="AH187" i="20"/>
  <c r="AI187" i="20"/>
  <c r="AJ187" i="20"/>
  <c r="AK187" i="20"/>
  <c r="AL187" i="20"/>
  <c r="AM187" i="20"/>
  <c r="A188" i="20"/>
  <c r="B188" i="20"/>
  <c r="C188" i="20"/>
  <c r="E188" i="20"/>
  <c r="F188" i="20"/>
  <c r="G188" i="20"/>
  <c r="H188" i="20"/>
  <c r="I188" i="20" s="1"/>
  <c r="J188" i="20"/>
  <c r="K188" i="20"/>
  <c r="L188" i="20"/>
  <c r="M188" i="20"/>
  <c r="O188" i="20"/>
  <c r="Q188" i="20"/>
  <c r="R188" i="20"/>
  <c r="S188" i="20" s="1"/>
  <c r="T188" i="20"/>
  <c r="U188" i="20"/>
  <c r="V188" i="20"/>
  <c r="W188" i="20"/>
  <c r="X188" i="20"/>
  <c r="Y188" i="20"/>
  <c r="Z188" i="20"/>
  <c r="AA188" i="20"/>
  <c r="AB188" i="20"/>
  <c r="AC188" i="20"/>
  <c r="AF188" i="20"/>
  <c r="AG188" i="20"/>
  <c r="AH188" i="20"/>
  <c r="AI188" i="20"/>
  <c r="AJ188" i="20"/>
  <c r="AK188" i="20"/>
  <c r="AL188" i="20"/>
  <c r="AM188" i="20"/>
  <c r="A189" i="20"/>
  <c r="B189" i="20"/>
  <c r="C189" i="20"/>
  <c r="E189" i="20"/>
  <c r="F189" i="20"/>
  <c r="G189" i="20"/>
  <c r="H189" i="20"/>
  <c r="I189" i="20" s="1"/>
  <c r="J189" i="20"/>
  <c r="K189" i="20"/>
  <c r="L189" i="20"/>
  <c r="M189" i="20"/>
  <c r="N189" i="20"/>
  <c r="O189" i="20"/>
  <c r="P189" i="20"/>
  <c r="Q189" i="20"/>
  <c r="R189" i="20"/>
  <c r="S189" i="20" s="1"/>
  <c r="T189" i="20"/>
  <c r="U189" i="20"/>
  <c r="V189" i="20"/>
  <c r="W189" i="20"/>
  <c r="X189" i="20"/>
  <c r="Y189" i="20"/>
  <c r="Z189" i="20"/>
  <c r="AA189" i="20"/>
  <c r="AB189" i="20"/>
  <c r="AC189" i="20"/>
  <c r="AD189" i="20"/>
  <c r="AF189" i="20"/>
  <c r="AG189" i="20"/>
  <c r="AH189" i="20"/>
  <c r="AI189" i="20"/>
  <c r="AJ189" i="20"/>
  <c r="AK189" i="20"/>
  <c r="AL189" i="20"/>
  <c r="AM189" i="20"/>
  <c r="A190" i="20"/>
  <c r="B190" i="20"/>
  <c r="E190" i="20"/>
  <c r="F190" i="20"/>
  <c r="G190" i="20"/>
  <c r="H190" i="20"/>
  <c r="I190" i="20" s="1"/>
  <c r="J190" i="20"/>
  <c r="K190" i="20"/>
  <c r="L190" i="20"/>
  <c r="M190" i="20"/>
  <c r="N190" i="20"/>
  <c r="O190" i="20"/>
  <c r="P190" i="20"/>
  <c r="Q190" i="20"/>
  <c r="R190" i="20"/>
  <c r="S190" i="20" s="1"/>
  <c r="T190" i="20"/>
  <c r="U190" i="20"/>
  <c r="V190" i="20"/>
  <c r="W190" i="20"/>
  <c r="X190" i="20"/>
  <c r="Y190" i="20"/>
  <c r="Z190" i="20"/>
  <c r="AA190" i="20"/>
  <c r="AB190" i="20"/>
  <c r="AC190" i="20"/>
  <c r="AD190" i="20"/>
  <c r="AF190" i="20"/>
  <c r="AG190" i="20"/>
  <c r="AH190" i="20"/>
  <c r="AI190" i="20"/>
  <c r="AJ190" i="20"/>
  <c r="AK190" i="20"/>
  <c r="AL190" i="20"/>
  <c r="AM190" i="20"/>
  <c r="A191" i="20"/>
  <c r="B191" i="20"/>
  <c r="C191" i="20"/>
  <c r="E191" i="20"/>
  <c r="F191" i="20"/>
  <c r="G191" i="20"/>
  <c r="H191" i="20"/>
  <c r="I191" i="20" s="1"/>
  <c r="J191" i="20"/>
  <c r="K191" i="20"/>
  <c r="L191" i="20"/>
  <c r="M191" i="20"/>
  <c r="N191" i="20"/>
  <c r="O191" i="20"/>
  <c r="P191" i="20"/>
  <c r="Q191" i="20"/>
  <c r="R191" i="20"/>
  <c r="S191" i="20" s="1"/>
  <c r="T191" i="20"/>
  <c r="U191" i="20"/>
  <c r="V191" i="20"/>
  <c r="W191" i="20"/>
  <c r="X191" i="20"/>
  <c r="Y191" i="20"/>
  <c r="Z191" i="20"/>
  <c r="AA191" i="20"/>
  <c r="AB191" i="20"/>
  <c r="AC191" i="20"/>
  <c r="AD191" i="20"/>
  <c r="AF191" i="20"/>
  <c r="AG191" i="20"/>
  <c r="AH191" i="20"/>
  <c r="AI191" i="20"/>
  <c r="AJ191" i="20"/>
  <c r="AK191" i="20"/>
  <c r="AL191" i="20"/>
  <c r="AM191" i="20"/>
  <c r="A192" i="20"/>
  <c r="B192" i="20"/>
  <c r="C192" i="20"/>
  <c r="E192" i="20"/>
  <c r="F192" i="20"/>
  <c r="G192" i="20"/>
  <c r="I192" i="20"/>
  <c r="J192" i="20"/>
  <c r="K192" i="20"/>
  <c r="L192" i="20"/>
  <c r="M192" i="20"/>
  <c r="N192" i="20"/>
  <c r="O192" i="20"/>
  <c r="P192" i="20"/>
  <c r="Q192" i="20"/>
  <c r="R192" i="20"/>
  <c r="S192" i="20" s="1"/>
  <c r="T192" i="20"/>
  <c r="U192" i="20"/>
  <c r="V192" i="20"/>
  <c r="W192" i="20"/>
  <c r="X192" i="20"/>
  <c r="Y192" i="20"/>
  <c r="Z192" i="20"/>
  <c r="AA192" i="20"/>
  <c r="AB192" i="20"/>
  <c r="AC192" i="20"/>
  <c r="AD192" i="20"/>
  <c r="AF192" i="20"/>
  <c r="AG192" i="20"/>
  <c r="AH192" i="20"/>
  <c r="AI192" i="20"/>
  <c r="AJ192" i="20"/>
  <c r="AK192" i="20"/>
  <c r="AL192" i="20"/>
  <c r="AM192" i="20"/>
  <c r="A193" i="20"/>
  <c r="B193" i="20"/>
  <c r="C193" i="20"/>
  <c r="E193" i="20"/>
  <c r="F193" i="20"/>
  <c r="G193" i="20"/>
  <c r="I193" i="20"/>
  <c r="J193" i="20"/>
  <c r="K193" i="20"/>
  <c r="L193" i="20"/>
  <c r="M193" i="20"/>
  <c r="N193" i="20"/>
  <c r="O193" i="20"/>
  <c r="P193" i="20"/>
  <c r="Q193" i="20"/>
  <c r="R193" i="20"/>
  <c r="S193" i="20" s="1"/>
  <c r="T193" i="20"/>
  <c r="U193" i="20"/>
  <c r="V193" i="20"/>
  <c r="W193" i="20"/>
  <c r="X193" i="20"/>
  <c r="Y193" i="20"/>
  <c r="Z193" i="20"/>
  <c r="AA193" i="20"/>
  <c r="AB193" i="20"/>
  <c r="AC193" i="20"/>
  <c r="AD193" i="20"/>
  <c r="AF193" i="20"/>
  <c r="AG193" i="20"/>
  <c r="AH193" i="20"/>
  <c r="AI193" i="20"/>
  <c r="AJ193" i="20"/>
  <c r="AK193" i="20"/>
  <c r="AL193" i="20"/>
  <c r="AM193" i="20"/>
  <c r="A110" i="20"/>
  <c r="B110" i="20"/>
  <c r="C110" i="20"/>
  <c r="E110" i="20"/>
  <c r="F110" i="20"/>
  <c r="G110" i="20"/>
  <c r="H110" i="20"/>
  <c r="I110" i="20" s="1"/>
  <c r="J110" i="20"/>
  <c r="L110" i="20"/>
  <c r="N110" i="20"/>
  <c r="O110" i="20"/>
  <c r="Q110" i="20"/>
  <c r="R110" i="20"/>
  <c r="S110" i="20" s="1"/>
  <c r="T110" i="20"/>
  <c r="U110" i="20"/>
  <c r="V110" i="20"/>
  <c r="W110" i="20"/>
  <c r="X110" i="20"/>
  <c r="Y110" i="20"/>
  <c r="Z110" i="20"/>
  <c r="AA110" i="20"/>
  <c r="AB110" i="20"/>
  <c r="AC110" i="20"/>
  <c r="AF110" i="20"/>
  <c r="AG110" i="20"/>
  <c r="AH110" i="20"/>
  <c r="AI110" i="20"/>
  <c r="AJ110" i="20"/>
  <c r="AK110" i="20"/>
  <c r="AL110" i="20"/>
  <c r="AM110" i="20"/>
  <c r="A111" i="20"/>
  <c r="B111" i="20"/>
  <c r="C111" i="20"/>
  <c r="E111" i="20"/>
  <c r="F111" i="20"/>
  <c r="G111" i="20"/>
  <c r="H111" i="20"/>
  <c r="I111" i="20" s="1"/>
  <c r="J111" i="20"/>
  <c r="K111" i="20"/>
  <c r="L111" i="20"/>
  <c r="M111" i="20"/>
  <c r="N111" i="20"/>
  <c r="O111" i="20"/>
  <c r="Q111" i="20"/>
  <c r="R111" i="20"/>
  <c r="S111" i="20" s="1"/>
  <c r="T111" i="20"/>
  <c r="U111" i="20"/>
  <c r="V111" i="20"/>
  <c r="W111" i="20"/>
  <c r="X111" i="20"/>
  <c r="Y111" i="20"/>
  <c r="Z111" i="20"/>
  <c r="AA111" i="20"/>
  <c r="AB111" i="20"/>
  <c r="AC111" i="20"/>
  <c r="AF111" i="20"/>
  <c r="AG111" i="20"/>
  <c r="AH111" i="20"/>
  <c r="AI111" i="20"/>
  <c r="AJ111" i="20"/>
  <c r="AK111" i="20"/>
  <c r="AL111" i="20"/>
  <c r="AM111" i="20"/>
  <c r="A112" i="20"/>
  <c r="B112" i="20"/>
  <c r="C112" i="20"/>
  <c r="E112" i="20"/>
  <c r="F112" i="20"/>
  <c r="G112" i="20"/>
  <c r="H112" i="20"/>
  <c r="I112" i="20" s="1"/>
  <c r="J112" i="20"/>
  <c r="K112" i="20"/>
  <c r="L112" i="20"/>
  <c r="M112" i="20"/>
  <c r="N112" i="20"/>
  <c r="O112" i="20"/>
  <c r="P112" i="20"/>
  <c r="Q112" i="20"/>
  <c r="R112" i="20"/>
  <c r="S112" i="20" s="1"/>
  <c r="T112" i="20"/>
  <c r="U112" i="20"/>
  <c r="V112" i="20"/>
  <c r="W112" i="20"/>
  <c r="X112" i="20"/>
  <c r="Y112" i="20"/>
  <c r="Z112" i="20"/>
  <c r="AA112" i="20"/>
  <c r="AB112" i="20"/>
  <c r="AC112" i="20"/>
  <c r="AF112" i="20"/>
  <c r="AG112" i="20"/>
  <c r="AH112" i="20"/>
  <c r="AI112" i="20"/>
  <c r="AJ112" i="20"/>
  <c r="AK112" i="20"/>
  <c r="AL112" i="20"/>
  <c r="AM112" i="20"/>
  <c r="A113" i="20"/>
  <c r="B113" i="20"/>
  <c r="C113" i="20"/>
  <c r="E113" i="20"/>
  <c r="F113" i="20"/>
  <c r="G113" i="20"/>
  <c r="H113" i="20"/>
  <c r="I113" i="20" s="1"/>
  <c r="J113" i="20"/>
  <c r="K113" i="20"/>
  <c r="L113" i="20"/>
  <c r="M113" i="20"/>
  <c r="N113" i="20"/>
  <c r="O113" i="20"/>
  <c r="P113" i="20"/>
  <c r="Q113" i="20"/>
  <c r="R113" i="20"/>
  <c r="S113" i="20" s="1"/>
  <c r="T113" i="20"/>
  <c r="U113" i="20"/>
  <c r="V113" i="20"/>
  <c r="W113" i="20"/>
  <c r="X113" i="20"/>
  <c r="Y113" i="20"/>
  <c r="Z113" i="20"/>
  <c r="AA113" i="20"/>
  <c r="AB113" i="20"/>
  <c r="AC113" i="20"/>
  <c r="AF113" i="20"/>
  <c r="AG113" i="20"/>
  <c r="AH113" i="20"/>
  <c r="AI113" i="20"/>
  <c r="AJ113" i="20"/>
  <c r="AK113" i="20"/>
  <c r="AL113" i="20"/>
  <c r="AM113" i="20"/>
  <c r="A114" i="20"/>
  <c r="B114" i="20"/>
  <c r="C114" i="20"/>
  <c r="E114" i="20"/>
  <c r="F114" i="20"/>
  <c r="G114" i="20"/>
  <c r="H114" i="20"/>
  <c r="I114" i="20" s="1"/>
  <c r="J114" i="20"/>
  <c r="K114" i="20"/>
  <c r="L114" i="20"/>
  <c r="M114" i="20"/>
  <c r="N114" i="20"/>
  <c r="O114" i="20"/>
  <c r="Q114" i="20"/>
  <c r="R114" i="20"/>
  <c r="S114" i="20" s="1"/>
  <c r="T114" i="20"/>
  <c r="U114" i="20"/>
  <c r="V114" i="20"/>
  <c r="W114" i="20"/>
  <c r="X114" i="20"/>
  <c r="Y114" i="20"/>
  <c r="Z114" i="20"/>
  <c r="AA114" i="20"/>
  <c r="AB114" i="20"/>
  <c r="AC114" i="20"/>
  <c r="AF114" i="20"/>
  <c r="AG114" i="20"/>
  <c r="AH114" i="20"/>
  <c r="AI114" i="20"/>
  <c r="AJ114" i="20"/>
  <c r="AK114" i="20"/>
  <c r="AL114" i="20"/>
  <c r="AM114" i="20"/>
  <c r="A115" i="20"/>
  <c r="B115" i="20"/>
  <c r="C115" i="20"/>
  <c r="E115" i="20"/>
  <c r="F115" i="20"/>
  <c r="G115" i="20"/>
  <c r="H115" i="20"/>
  <c r="I115" i="20" s="1"/>
  <c r="J115" i="20"/>
  <c r="K115" i="20"/>
  <c r="L115" i="20"/>
  <c r="M115" i="20"/>
  <c r="N115" i="20"/>
  <c r="O115" i="20"/>
  <c r="P115" i="20"/>
  <c r="Q115" i="20"/>
  <c r="R115" i="20"/>
  <c r="S115" i="20" s="1"/>
  <c r="T115" i="20"/>
  <c r="U115" i="20"/>
  <c r="V115" i="20"/>
  <c r="W115" i="20"/>
  <c r="X115" i="20"/>
  <c r="Y115" i="20"/>
  <c r="Z115" i="20"/>
  <c r="AA115" i="20"/>
  <c r="AB115" i="20"/>
  <c r="AC115" i="20"/>
  <c r="AF115" i="20"/>
  <c r="AG115" i="20"/>
  <c r="AH115" i="20"/>
  <c r="AI115" i="20"/>
  <c r="AJ115" i="20"/>
  <c r="AK115" i="20"/>
  <c r="AL115" i="20"/>
  <c r="AM115" i="20"/>
  <c r="A116" i="20"/>
  <c r="B116" i="20"/>
  <c r="C116" i="20"/>
  <c r="E116" i="20"/>
  <c r="F116" i="20"/>
  <c r="G116" i="20"/>
  <c r="H116" i="20"/>
  <c r="I116" i="20" s="1"/>
  <c r="J116" i="20"/>
  <c r="K116" i="20"/>
  <c r="L116" i="20"/>
  <c r="M116" i="20"/>
  <c r="N116" i="20"/>
  <c r="O116" i="20"/>
  <c r="P116" i="20"/>
  <c r="Q116" i="20"/>
  <c r="R116" i="20"/>
  <c r="S116" i="20" s="1"/>
  <c r="T116" i="20"/>
  <c r="U116" i="20"/>
  <c r="V116" i="20"/>
  <c r="W116" i="20"/>
  <c r="X116" i="20"/>
  <c r="Y116" i="20"/>
  <c r="Z116" i="20"/>
  <c r="AA116" i="20"/>
  <c r="AB116" i="20"/>
  <c r="AC116" i="20"/>
  <c r="AF116" i="20"/>
  <c r="AG116" i="20"/>
  <c r="AH116" i="20"/>
  <c r="AI116" i="20"/>
  <c r="AJ116" i="20"/>
  <c r="AK116" i="20"/>
  <c r="AL116" i="20"/>
  <c r="AM116" i="20"/>
  <c r="A117" i="20"/>
  <c r="B117" i="20"/>
  <c r="C117" i="20"/>
  <c r="E117" i="20"/>
  <c r="F117" i="20"/>
  <c r="G117" i="20"/>
  <c r="H117" i="20"/>
  <c r="I117" i="20" s="1"/>
  <c r="J117" i="20"/>
  <c r="K117" i="20"/>
  <c r="L117" i="20"/>
  <c r="M117" i="20"/>
  <c r="N117" i="20"/>
  <c r="O117" i="20"/>
  <c r="Q117" i="20"/>
  <c r="R117" i="20"/>
  <c r="S117" i="20" s="1"/>
  <c r="T117" i="20"/>
  <c r="U117" i="20"/>
  <c r="V117" i="20"/>
  <c r="W117" i="20"/>
  <c r="X117" i="20"/>
  <c r="Y117" i="20"/>
  <c r="Z117" i="20"/>
  <c r="AA117" i="20"/>
  <c r="AB117" i="20"/>
  <c r="AC117" i="20"/>
  <c r="AF117" i="20"/>
  <c r="AG117" i="20"/>
  <c r="AH117" i="20"/>
  <c r="AI117" i="20"/>
  <c r="AJ117" i="20"/>
  <c r="AK117" i="20"/>
  <c r="AL117" i="20"/>
  <c r="AM117" i="20"/>
  <c r="A118" i="20"/>
  <c r="B118" i="20"/>
  <c r="C118" i="20"/>
  <c r="E118" i="20"/>
  <c r="F118" i="20"/>
  <c r="G118" i="20"/>
  <c r="H118" i="20"/>
  <c r="I118" i="20" s="1"/>
  <c r="J118" i="20"/>
  <c r="K118" i="20"/>
  <c r="L118" i="20"/>
  <c r="M118" i="20"/>
  <c r="N118" i="20"/>
  <c r="O118" i="20"/>
  <c r="P118" i="20"/>
  <c r="Q118" i="20"/>
  <c r="R118" i="20"/>
  <c r="S118" i="20" s="1"/>
  <c r="T118" i="20"/>
  <c r="U118" i="20"/>
  <c r="V118" i="20"/>
  <c r="W118" i="20"/>
  <c r="X118" i="20"/>
  <c r="Y118" i="20"/>
  <c r="Z118" i="20"/>
  <c r="AA118" i="20"/>
  <c r="AB118" i="20"/>
  <c r="AC118" i="20"/>
  <c r="AF118" i="20"/>
  <c r="AG118" i="20"/>
  <c r="AH118" i="20"/>
  <c r="AI118" i="20"/>
  <c r="AJ118" i="20"/>
  <c r="AK118" i="20"/>
  <c r="AL118" i="20"/>
  <c r="AM118" i="20"/>
  <c r="A119" i="20"/>
  <c r="B119" i="20"/>
  <c r="C119" i="20"/>
  <c r="E119" i="20"/>
  <c r="F119" i="20"/>
  <c r="G119" i="20"/>
  <c r="H119" i="20"/>
  <c r="I119" i="20" s="1"/>
  <c r="J119" i="20"/>
  <c r="K119" i="20"/>
  <c r="L119" i="20"/>
  <c r="M119" i="20"/>
  <c r="N119" i="20"/>
  <c r="O119" i="20"/>
  <c r="P119" i="20"/>
  <c r="Q119" i="20"/>
  <c r="R119" i="20"/>
  <c r="S119" i="20" s="1"/>
  <c r="T119" i="20"/>
  <c r="U119" i="20"/>
  <c r="V119" i="20"/>
  <c r="W119" i="20"/>
  <c r="X119" i="20"/>
  <c r="Y119" i="20"/>
  <c r="Z119" i="20"/>
  <c r="AA119" i="20"/>
  <c r="AB119" i="20"/>
  <c r="AC119" i="20"/>
  <c r="AF119" i="20"/>
  <c r="AG119" i="20"/>
  <c r="AH119" i="20"/>
  <c r="AI119" i="20"/>
  <c r="AJ119" i="20"/>
  <c r="AK119" i="20"/>
  <c r="AL119" i="20"/>
  <c r="AM119" i="20"/>
  <c r="A120" i="20"/>
  <c r="B120" i="20"/>
  <c r="C120" i="20"/>
  <c r="E120" i="20"/>
  <c r="F120" i="20"/>
  <c r="G120" i="20"/>
  <c r="H120" i="20"/>
  <c r="I120" i="20" s="1"/>
  <c r="J120" i="20"/>
  <c r="K120" i="20"/>
  <c r="L120" i="20"/>
  <c r="M120" i="20"/>
  <c r="N120" i="20"/>
  <c r="O120" i="20"/>
  <c r="Q120" i="20"/>
  <c r="R120" i="20"/>
  <c r="S120" i="20" s="1"/>
  <c r="T120" i="20"/>
  <c r="U120" i="20"/>
  <c r="V120" i="20"/>
  <c r="W120" i="20"/>
  <c r="X120" i="20"/>
  <c r="Y120" i="20"/>
  <c r="Z120" i="20"/>
  <c r="AA120" i="20"/>
  <c r="AB120" i="20"/>
  <c r="AC120" i="20"/>
  <c r="AF120" i="20"/>
  <c r="AG120" i="20"/>
  <c r="AH120" i="20"/>
  <c r="AI120" i="20"/>
  <c r="AJ120" i="20"/>
  <c r="AK120" i="20"/>
  <c r="AL120" i="20"/>
  <c r="AM120" i="20"/>
  <c r="A121" i="20"/>
  <c r="B121" i="20"/>
  <c r="C121" i="20"/>
  <c r="E121" i="20"/>
  <c r="F121" i="20"/>
  <c r="G121" i="20"/>
  <c r="H121" i="20"/>
  <c r="I121" i="20" s="1"/>
  <c r="J121" i="20"/>
  <c r="K121" i="20"/>
  <c r="L121" i="20"/>
  <c r="M121" i="20"/>
  <c r="N121" i="20"/>
  <c r="O121" i="20"/>
  <c r="P121" i="20"/>
  <c r="Q121" i="20"/>
  <c r="R121" i="20"/>
  <c r="S121" i="20" s="1"/>
  <c r="T121" i="20"/>
  <c r="U121" i="20"/>
  <c r="V121" i="20"/>
  <c r="W121" i="20"/>
  <c r="X121" i="20"/>
  <c r="Y121" i="20"/>
  <c r="Z121" i="20"/>
  <c r="AA121" i="20"/>
  <c r="AB121" i="20"/>
  <c r="AC121" i="20"/>
  <c r="AF121" i="20"/>
  <c r="AG121" i="20"/>
  <c r="AH121" i="20"/>
  <c r="AI121" i="20"/>
  <c r="AJ121" i="20"/>
  <c r="AK121" i="20"/>
  <c r="AL121" i="20"/>
  <c r="AM121" i="20"/>
  <c r="A122" i="20"/>
  <c r="B122" i="20"/>
  <c r="C122" i="20"/>
  <c r="E122" i="20"/>
  <c r="F122" i="20"/>
  <c r="G122" i="20"/>
  <c r="H122" i="20"/>
  <c r="I122" i="20" s="1"/>
  <c r="J122" i="20"/>
  <c r="K122" i="20"/>
  <c r="L122" i="20"/>
  <c r="M122" i="20"/>
  <c r="N122" i="20"/>
  <c r="O122" i="20"/>
  <c r="P122" i="20"/>
  <c r="Q122" i="20"/>
  <c r="R122" i="20"/>
  <c r="S122" i="20" s="1"/>
  <c r="T122" i="20"/>
  <c r="U122" i="20"/>
  <c r="V122" i="20"/>
  <c r="W122" i="20"/>
  <c r="X122" i="20"/>
  <c r="Y122" i="20"/>
  <c r="Z122" i="20"/>
  <c r="AA122" i="20"/>
  <c r="AB122" i="20"/>
  <c r="AC122" i="20"/>
  <c r="AF122" i="20"/>
  <c r="AG122" i="20"/>
  <c r="AH122" i="20"/>
  <c r="AI122" i="20"/>
  <c r="AJ122" i="20"/>
  <c r="AK122" i="20"/>
  <c r="AL122" i="20"/>
  <c r="AM122" i="20"/>
  <c r="A123" i="20"/>
  <c r="B123" i="20"/>
  <c r="C123" i="20"/>
  <c r="E123" i="20"/>
  <c r="F123" i="20"/>
  <c r="G123" i="20"/>
  <c r="H123" i="20"/>
  <c r="I123" i="20" s="1"/>
  <c r="J123" i="20"/>
  <c r="K123" i="20"/>
  <c r="L123" i="20"/>
  <c r="M123" i="20"/>
  <c r="N123" i="20"/>
  <c r="O123" i="20"/>
  <c r="Q123" i="20"/>
  <c r="R123" i="20"/>
  <c r="S123" i="20" s="1"/>
  <c r="T123" i="20"/>
  <c r="U123" i="20"/>
  <c r="V123" i="20"/>
  <c r="W123" i="20"/>
  <c r="X123" i="20"/>
  <c r="Y123" i="20"/>
  <c r="Z123" i="20"/>
  <c r="AA123" i="20"/>
  <c r="AB123" i="20"/>
  <c r="AC123" i="20"/>
  <c r="AF123" i="20"/>
  <c r="AG123" i="20"/>
  <c r="AH123" i="20"/>
  <c r="AI123" i="20"/>
  <c r="AJ123" i="20"/>
  <c r="AK123" i="20"/>
  <c r="AL123" i="20"/>
  <c r="AM123" i="20"/>
  <c r="A124" i="20"/>
  <c r="B124" i="20"/>
  <c r="C124" i="20"/>
  <c r="E124" i="20"/>
  <c r="F124" i="20"/>
  <c r="G124" i="20"/>
  <c r="H124" i="20"/>
  <c r="I124" i="20" s="1"/>
  <c r="J124" i="20"/>
  <c r="K124" i="20"/>
  <c r="L124" i="20"/>
  <c r="M124" i="20"/>
  <c r="N124" i="20"/>
  <c r="O124" i="20"/>
  <c r="P124" i="20"/>
  <c r="Q124" i="20"/>
  <c r="R124" i="20"/>
  <c r="S124" i="20" s="1"/>
  <c r="T124" i="20"/>
  <c r="U124" i="20"/>
  <c r="V124" i="20"/>
  <c r="W124" i="20"/>
  <c r="X124" i="20"/>
  <c r="Y124" i="20"/>
  <c r="Z124" i="20"/>
  <c r="AA124" i="20"/>
  <c r="AB124" i="20"/>
  <c r="AC124" i="20"/>
  <c r="AF124" i="20"/>
  <c r="AG124" i="20"/>
  <c r="AH124" i="20"/>
  <c r="AI124" i="20"/>
  <c r="AJ124" i="20"/>
  <c r="AK124" i="20"/>
  <c r="AL124" i="20"/>
  <c r="AM124" i="20"/>
  <c r="A125" i="20"/>
  <c r="B125" i="20"/>
  <c r="C125" i="20"/>
  <c r="E125" i="20"/>
  <c r="F125" i="20"/>
  <c r="G125" i="20"/>
  <c r="H125" i="20"/>
  <c r="I125" i="20" s="1"/>
  <c r="J125" i="20"/>
  <c r="K125" i="20"/>
  <c r="L125" i="20"/>
  <c r="M125" i="20"/>
  <c r="N125" i="20"/>
  <c r="O125" i="20"/>
  <c r="P125" i="20"/>
  <c r="Q125" i="20"/>
  <c r="R125" i="20"/>
  <c r="S125" i="20" s="1"/>
  <c r="T125" i="20"/>
  <c r="U125" i="20"/>
  <c r="V125" i="20"/>
  <c r="W125" i="20"/>
  <c r="X125" i="20"/>
  <c r="Y125" i="20"/>
  <c r="Z125" i="20"/>
  <c r="AA125" i="20"/>
  <c r="AB125" i="20"/>
  <c r="AC125" i="20"/>
  <c r="AF125" i="20"/>
  <c r="AG125" i="20"/>
  <c r="AH125" i="20"/>
  <c r="AI125" i="20"/>
  <c r="AJ125" i="20"/>
  <c r="AK125" i="20"/>
  <c r="AL125" i="20"/>
  <c r="AM125" i="20"/>
  <c r="A126" i="20"/>
  <c r="B126" i="20"/>
  <c r="C126" i="20"/>
  <c r="E126" i="20"/>
  <c r="F126" i="20"/>
  <c r="G126" i="20"/>
  <c r="H126" i="20"/>
  <c r="I126" i="20" s="1"/>
  <c r="J126" i="20"/>
  <c r="K126" i="20"/>
  <c r="L126" i="20"/>
  <c r="M126" i="20"/>
  <c r="N126" i="20"/>
  <c r="O126" i="20"/>
  <c r="Q126" i="20"/>
  <c r="R126" i="20"/>
  <c r="S126" i="20" s="1"/>
  <c r="T126" i="20"/>
  <c r="U126" i="20"/>
  <c r="V126" i="20"/>
  <c r="W126" i="20"/>
  <c r="X126" i="20"/>
  <c r="Y126" i="20"/>
  <c r="Z126" i="20"/>
  <c r="AA126" i="20"/>
  <c r="AB126" i="20"/>
  <c r="AC126" i="20"/>
  <c r="AF126" i="20"/>
  <c r="AG126" i="20"/>
  <c r="AH126" i="20"/>
  <c r="AI126" i="20"/>
  <c r="AJ126" i="20"/>
  <c r="AK126" i="20"/>
  <c r="AL126" i="20"/>
  <c r="AM126" i="20"/>
  <c r="A127" i="20"/>
  <c r="B127" i="20"/>
  <c r="C127" i="20"/>
  <c r="E127" i="20"/>
  <c r="F127" i="20"/>
  <c r="G127" i="20"/>
  <c r="H127" i="20"/>
  <c r="I127" i="20" s="1"/>
  <c r="J127" i="20"/>
  <c r="K127" i="20"/>
  <c r="L127" i="20"/>
  <c r="M127" i="20"/>
  <c r="N127" i="20"/>
  <c r="O127" i="20"/>
  <c r="P127" i="20"/>
  <c r="Q127" i="20"/>
  <c r="R127" i="20"/>
  <c r="S127" i="20" s="1"/>
  <c r="T127" i="20"/>
  <c r="U127" i="20"/>
  <c r="V127" i="20"/>
  <c r="W127" i="20"/>
  <c r="X127" i="20"/>
  <c r="Y127" i="20"/>
  <c r="Z127" i="20"/>
  <c r="AA127" i="20"/>
  <c r="AB127" i="20"/>
  <c r="AC127" i="20"/>
  <c r="AF127" i="20"/>
  <c r="AG127" i="20"/>
  <c r="AH127" i="20"/>
  <c r="AI127" i="20"/>
  <c r="AJ127" i="20"/>
  <c r="AK127" i="20"/>
  <c r="AL127" i="20"/>
  <c r="AM127" i="20"/>
  <c r="A128" i="20"/>
  <c r="B128" i="20"/>
  <c r="C128" i="20"/>
  <c r="E128" i="20"/>
  <c r="F128" i="20"/>
  <c r="G128" i="20"/>
  <c r="H128" i="20"/>
  <c r="I128" i="20" s="1"/>
  <c r="J128" i="20"/>
  <c r="K128" i="20"/>
  <c r="L128" i="20"/>
  <c r="M128" i="20"/>
  <c r="N128" i="20"/>
  <c r="O128" i="20"/>
  <c r="P128" i="20"/>
  <c r="Q128" i="20"/>
  <c r="R128" i="20"/>
  <c r="S128" i="20" s="1"/>
  <c r="T128" i="20"/>
  <c r="U128" i="20"/>
  <c r="V128" i="20"/>
  <c r="W128" i="20"/>
  <c r="X128" i="20"/>
  <c r="Y128" i="20"/>
  <c r="Z128" i="20"/>
  <c r="AA128" i="20"/>
  <c r="AB128" i="20"/>
  <c r="AC128" i="20"/>
  <c r="AF128" i="20"/>
  <c r="AG128" i="20"/>
  <c r="AH128" i="20"/>
  <c r="AI128" i="20"/>
  <c r="AJ128" i="20"/>
  <c r="AK128" i="20"/>
  <c r="AL128" i="20"/>
  <c r="AM128" i="20"/>
  <c r="A129" i="20"/>
  <c r="B129" i="20"/>
  <c r="C129" i="20"/>
  <c r="E129" i="20"/>
  <c r="F129" i="20"/>
  <c r="G129" i="20"/>
  <c r="H129" i="20"/>
  <c r="I129" i="20" s="1"/>
  <c r="J129" i="20"/>
  <c r="K129" i="20"/>
  <c r="L129" i="20"/>
  <c r="M129" i="20"/>
  <c r="N129" i="20"/>
  <c r="O129" i="20"/>
  <c r="Q129" i="20"/>
  <c r="R129" i="20"/>
  <c r="S129" i="20" s="1"/>
  <c r="T129" i="20"/>
  <c r="U129" i="20"/>
  <c r="V129" i="20"/>
  <c r="W129" i="20"/>
  <c r="X129" i="20"/>
  <c r="Y129" i="20"/>
  <c r="Z129" i="20"/>
  <c r="AA129" i="20"/>
  <c r="AB129" i="20"/>
  <c r="AC129" i="20"/>
  <c r="AF129" i="20"/>
  <c r="AG129" i="20"/>
  <c r="AH129" i="20"/>
  <c r="AI129" i="20"/>
  <c r="AJ129" i="20"/>
  <c r="AK129" i="20"/>
  <c r="AL129" i="20"/>
  <c r="AM129" i="20"/>
  <c r="A130" i="20"/>
  <c r="B130" i="20"/>
  <c r="C130" i="20"/>
  <c r="E130" i="20"/>
  <c r="F130" i="20"/>
  <c r="G130" i="20"/>
  <c r="H130" i="20"/>
  <c r="I130" i="20" s="1"/>
  <c r="J130" i="20"/>
  <c r="K130" i="20"/>
  <c r="L130" i="20"/>
  <c r="M130" i="20"/>
  <c r="N130" i="20"/>
  <c r="O130" i="20"/>
  <c r="P130" i="20"/>
  <c r="Q130" i="20"/>
  <c r="R130" i="20"/>
  <c r="S130" i="20" s="1"/>
  <c r="T130" i="20"/>
  <c r="U130" i="20"/>
  <c r="V130" i="20"/>
  <c r="W130" i="20"/>
  <c r="X130" i="20"/>
  <c r="Y130" i="20"/>
  <c r="Z130" i="20"/>
  <c r="AA130" i="20"/>
  <c r="AB130" i="20"/>
  <c r="AC130" i="20"/>
  <c r="AF130" i="20"/>
  <c r="AG130" i="20"/>
  <c r="AH130" i="20"/>
  <c r="AI130" i="20"/>
  <c r="AJ130" i="20"/>
  <c r="AK130" i="20"/>
  <c r="AL130" i="20"/>
  <c r="AM130" i="20"/>
  <c r="A131" i="20"/>
  <c r="B131" i="20"/>
  <c r="C131" i="20"/>
  <c r="E131" i="20"/>
  <c r="F131" i="20"/>
  <c r="G131" i="20"/>
  <c r="H131" i="20"/>
  <c r="I131" i="20" s="1"/>
  <c r="J131" i="20"/>
  <c r="K131" i="20"/>
  <c r="L131" i="20"/>
  <c r="M131" i="20"/>
  <c r="N131" i="20"/>
  <c r="O131" i="20"/>
  <c r="P131" i="20"/>
  <c r="Q131" i="20"/>
  <c r="R131" i="20"/>
  <c r="S131" i="20" s="1"/>
  <c r="T131" i="20"/>
  <c r="U131" i="20"/>
  <c r="V131" i="20"/>
  <c r="W131" i="20"/>
  <c r="X131" i="20"/>
  <c r="Y131" i="20"/>
  <c r="Z131" i="20"/>
  <c r="AA131" i="20"/>
  <c r="AB131" i="20"/>
  <c r="AC131" i="20"/>
  <c r="AF131" i="20"/>
  <c r="AG131" i="20"/>
  <c r="AH131" i="20"/>
  <c r="AI131" i="20"/>
  <c r="AJ131" i="20"/>
  <c r="AK131" i="20"/>
  <c r="AL131" i="20"/>
  <c r="AM131" i="20"/>
  <c r="A132" i="20"/>
  <c r="B132" i="20"/>
  <c r="C132" i="20"/>
  <c r="E132" i="20"/>
  <c r="F132" i="20"/>
  <c r="G132" i="20"/>
  <c r="H132" i="20"/>
  <c r="I132" i="20" s="1"/>
  <c r="J132" i="20"/>
  <c r="K132" i="20"/>
  <c r="L132" i="20"/>
  <c r="M132" i="20"/>
  <c r="N132" i="20"/>
  <c r="O132" i="20"/>
  <c r="Q132" i="20"/>
  <c r="R132" i="20"/>
  <c r="S132" i="20" s="1"/>
  <c r="T132" i="20"/>
  <c r="U132" i="20"/>
  <c r="V132" i="20"/>
  <c r="W132" i="20"/>
  <c r="X132" i="20"/>
  <c r="Y132" i="20"/>
  <c r="Z132" i="20"/>
  <c r="AA132" i="20"/>
  <c r="AB132" i="20"/>
  <c r="AC132" i="20"/>
  <c r="AF132" i="20"/>
  <c r="AG132" i="20"/>
  <c r="AH132" i="20"/>
  <c r="AI132" i="20"/>
  <c r="AJ132" i="20"/>
  <c r="AK132" i="20"/>
  <c r="AL132" i="20"/>
  <c r="AM132" i="20"/>
  <c r="A133" i="20"/>
  <c r="B133" i="20"/>
  <c r="C133" i="20"/>
  <c r="E133" i="20"/>
  <c r="F133" i="20"/>
  <c r="G133" i="20"/>
  <c r="H133" i="20"/>
  <c r="I133" i="20" s="1"/>
  <c r="J133" i="20"/>
  <c r="K133" i="20"/>
  <c r="L133" i="20"/>
  <c r="M133" i="20"/>
  <c r="N133" i="20"/>
  <c r="O133" i="20"/>
  <c r="P133" i="20"/>
  <c r="Q133" i="20"/>
  <c r="R133" i="20"/>
  <c r="S133" i="20" s="1"/>
  <c r="T133" i="20"/>
  <c r="U133" i="20"/>
  <c r="V133" i="20"/>
  <c r="W133" i="20"/>
  <c r="X133" i="20"/>
  <c r="Y133" i="20"/>
  <c r="Z133" i="20"/>
  <c r="AA133" i="20"/>
  <c r="AB133" i="20"/>
  <c r="AC133" i="20"/>
  <c r="AF133" i="20"/>
  <c r="AG133" i="20"/>
  <c r="AH133" i="20"/>
  <c r="AI133" i="20"/>
  <c r="AJ133" i="20"/>
  <c r="AK133" i="20"/>
  <c r="AL133" i="20"/>
  <c r="AM133" i="20"/>
  <c r="A134" i="20"/>
  <c r="B134" i="20"/>
  <c r="C134" i="20"/>
  <c r="E134" i="20"/>
  <c r="F134" i="20"/>
  <c r="G134" i="20"/>
  <c r="H134" i="20"/>
  <c r="I134" i="20" s="1"/>
  <c r="J134" i="20"/>
  <c r="K134" i="20"/>
  <c r="L134" i="20"/>
  <c r="M134" i="20"/>
  <c r="N134" i="20"/>
  <c r="O134" i="20"/>
  <c r="P134" i="20"/>
  <c r="Q134" i="20"/>
  <c r="R134" i="20"/>
  <c r="S134" i="20" s="1"/>
  <c r="T134" i="20"/>
  <c r="U134" i="20"/>
  <c r="V134" i="20"/>
  <c r="W134" i="20"/>
  <c r="X134" i="20"/>
  <c r="Y134" i="20"/>
  <c r="Z134" i="20"/>
  <c r="AA134" i="20"/>
  <c r="AB134" i="20"/>
  <c r="AC134" i="20"/>
  <c r="AF134" i="20"/>
  <c r="AG134" i="20"/>
  <c r="AH134" i="20"/>
  <c r="AI134" i="20"/>
  <c r="AJ134" i="20"/>
  <c r="AK134" i="20"/>
  <c r="AL134" i="20"/>
  <c r="AM134" i="20"/>
  <c r="A135" i="20"/>
  <c r="B135" i="20"/>
  <c r="C135" i="20"/>
  <c r="E135" i="20"/>
  <c r="F135" i="20"/>
  <c r="G135" i="20"/>
  <c r="H135" i="20"/>
  <c r="I135" i="20" s="1"/>
  <c r="J135" i="20"/>
  <c r="K135" i="20"/>
  <c r="L135" i="20"/>
  <c r="M135" i="20"/>
  <c r="N135" i="20"/>
  <c r="O135" i="20"/>
  <c r="P135" i="20"/>
  <c r="R135" i="20"/>
  <c r="S135" i="20" s="1"/>
  <c r="T135" i="20"/>
  <c r="U135" i="20"/>
  <c r="V135" i="20"/>
  <c r="W135" i="20"/>
  <c r="Z135" i="20"/>
  <c r="AA135" i="20"/>
  <c r="AB135" i="20"/>
  <c r="AC135" i="20"/>
  <c r="AF135" i="20"/>
  <c r="AG135" i="20"/>
  <c r="AH135" i="20"/>
  <c r="AI135" i="20"/>
  <c r="AJ135" i="20"/>
  <c r="AK135" i="20"/>
  <c r="AL135" i="20"/>
  <c r="AM135" i="20"/>
  <c r="A136" i="20"/>
  <c r="B136" i="20"/>
  <c r="C136" i="20"/>
  <c r="E136" i="20"/>
  <c r="F136" i="20"/>
  <c r="G136" i="20"/>
  <c r="H136" i="20"/>
  <c r="I136" i="20" s="1"/>
  <c r="J136" i="20"/>
  <c r="K136" i="20"/>
  <c r="L136" i="20"/>
  <c r="M136" i="20"/>
  <c r="N136" i="20"/>
  <c r="O136" i="20"/>
  <c r="P136" i="20"/>
  <c r="Q136" i="20"/>
  <c r="R136" i="20"/>
  <c r="S136" i="20" s="1"/>
  <c r="T136" i="20"/>
  <c r="U136" i="20"/>
  <c r="V136" i="20"/>
  <c r="W136" i="20"/>
  <c r="AA136" i="20"/>
  <c r="AB136" i="20"/>
  <c r="AC136" i="20"/>
  <c r="AF136" i="20"/>
  <c r="AG136" i="20"/>
  <c r="AH136" i="20"/>
  <c r="AI136" i="20"/>
  <c r="AJ136" i="20"/>
  <c r="AK136" i="20"/>
  <c r="AL136" i="20"/>
  <c r="AM136" i="20"/>
  <c r="A137" i="20"/>
  <c r="B137" i="20"/>
  <c r="C137" i="20"/>
  <c r="E137" i="20"/>
  <c r="F137" i="20"/>
  <c r="G137" i="20"/>
  <c r="H137" i="20"/>
  <c r="I137" i="20" s="1"/>
  <c r="J137" i="20"/>
  <c r="K137" i="20"/>
  <c r="L137" i="20"/>
  <c r="M137" i="20"/>
  <c r="N137" i="20"/>
  <c r="O137" i="20"/>
  <c r="P137" i="20"/>
  <c r="R137" i="20"/>
  <c r="S137" i="20" s="1"/>
  <c r="T137" i="20"/>
  <c r="U137" i="20"/>
  <c r="V137" i="20"/>
  <c r="W137" i="20"/>
  <c r="AA137" i="20"/>
  <c r="AB137" i="20"/>
  <c r="AC137" i="20"/>
  <c r="AF137" i="20"/>
  <c r="AG137" i="20"/>
  <c r="AH137" i="20"/>
  <c r="AI137" i="20"/>
  <c r="AJ137" i="20"/>
  <c r="AK137" i="20"/>
  <c r="AL137" i="20"/>
  <c r="AM137" i="20"/>
  <c r="A138" i="20"/>
  <c r="B138" i="20"/>
  <c r="C138" i="20"/>
  <c r="E138" i="20"/>
  <c r="F138" i="20"/>
  <c r="G138" i="20"/>
  <c r="H138" i="20"/>
  <c r="I138" i="20" s="1"/>
  <c r="J138" i="20"/>
  <c r="K138" i="20"/>
  <c r="L138" i="20"/>
  <c r="M138" i="20"/>
  <c r="N138" i="20"/>
  <c r="O138" i="20"/>
  <c r="P138" i="20"/>
  <c r="Q138" i="20"/>
  <c r="R138" i="20"/>
  <c r="S138" i="20" s="1"/>
  <c r="T138" i="20"/>
  <c r="U138" i="20"/>
  <c r="V138" i="20"/>
  <c r="W138" i="20"/>
  <c r="AA138" i="20"/>
  <c r="AB138" i="20"/>
  <c r="AF138" i="20"/>
  <c r="AG138" i="20"/>
  <c r="AH138" i="20"/>
  <c r="AI138" i="20"/>
  <c r="AJ138" i="20"/>
  <c r="AK138" i="20"/>
  <c r="AL138" i="20"/>
  <c r="AM138" i="20"/>
  <c r="A139" i="20"/>
  <c r="B139" i="20"/>
  <c r="C139" i="20"/>
  <c r="E139" i="20"/>
  <c r="F139" i="20"/>
  <c r="G139" i="20"/>
  <c r="H139" i="20"/>
  <c r="I139" i="20" s="1"/>
  <c r="J139" i="20"/>
  <c r="K139" i="20"/>
  <c r="L139" i="20"/>
  <c r="M139" i="20"/>
  <c r="N139" i="20"/>
  <c r="O139" i="20"/>
  <c r="P139" i="20"/>
  <c r="R139" i="20"/>
  <c r="S139" i="20" s="1"/>
  <c r="T139" i="20"/>
  <c r="U139" i="20"/>
  <c r="V139" i="20"/>
  <c r="W139" i="20"/>
  <c r="AA139" i="20"/>
  <c r="AB139" i="20"/>
  <c r="AC139" i="20"/>
  <c r="AF139" i="20"/>
  <c r="AG139" i="20"/>
  <c r="AH139" i="20"/>
  <c r="AI139" i="20"/>
  <c r="AJ139" i="20"/>
  <c r="AK139" i="20"/>
  <c r="AL139" i="20"/>
  <c r="AM139" i="20"/>
  <c r="A140" i="20"/>
  <c r="B140" i="20"/>
  <c r="C140" i="20"/>
  <c r="E140" i="20"/>
  <c r="F140" i="20"/>
  <c r="G140" i="20"/>
  <c r="H140" i="20"/>
  <c r="I140" i="20" s="1"/>
  <c r="J140" i="20"/>
  <c r="K140" i="20"/>
  <c r="L140" i="20"/>
  <c r="M140" i="20"/>
  <c r="N140" i="20"/>
  <c r="O140" i="20"/>
  <c r="P140" i="20"/>
  <c r="Q140" i="20"/>
  <c r="R140" i="20"/>
  <c r="S140" i="20" s="1"/>
  <c r="T140" i="20"/>
  <c r="U140" i="20"/>
  <c r="V140" i="20"/>
  <c r="W140" i="20"/>
  <c r="AA140" i="20"/>
  <c r="AB140" i="20"/>
  <c r="AF140" i="20"/>
  <c r="AG140" i="20"/>
  <c r="AH140" i="20"/>
  <c r="AI140" i="20"/>
  <c r="AJ140" i="20"/>
  <c r="AK140" i="20"/>
  <c r="AL140" i="20"/>
  <c r="AM140" i="20"/>
  <c r="A141" i="20"/>
  <c r="B141" i="20"/>
  <c r="C141" i="20"/>
  <c r="E141" i="20"/>
  <c r="F141" i="20"/>
  <c r="G141" i="20"/>
  <c r="H141" i="20"/>
  <c r="I141" i="20" s="1"/>
  <c r="J141" i="20"/>
  <c r="K141" i="20"/>
  <c r="L141" i="20"/>
  <c r="M141" i="20"/>
  <c r="N141" i="20"/>
  <c r="O141" i="20"/>
  <c r="P141" i="20"/>
  <c r="R141" i="20"/>
  <c r="S141" i="20" s="1"/>
  <c r="T141" i="20"/>
  <c r="U141" i="20"/>
  <c r="V141" i="20"/>
  <c r="W141" i="20"/>
  <c r="AA141" i="20"/>
  <c r="AB141" i="20"/>
  <c r="AC141" i="20"/>
  <c r="AF141" i="20"/>
  <c r="AG141" i="20"/>
  <c r="AH141" i="20"/>
  <c r="AI141" i="20"/>
  <c r="AJ141" i="20"/>
  <c r="AK141" i="20"/>
  <c r="AL141" i="20"/>
  <c r="AM141" i="20"/>
  <c r="A142" i="20"/>
  <c r="B142" i="20"/>
  <c r="C142" i="20"/>
  <c r="E142" i="20"/>
  <c r="F142" i="20"/>
  <c r="G142" i="20"/>
  <c r="H142" i="20"/>
  <c r="I142" i="20" s="1"/>
  <c r="J142" i="20"/>
  <c r="K142" i="20"/>
  <c r="L142" i="20"/>
  <c r="M142" i="20"/>
  <c r="N142" i="20"/>
  <c r="O142" i="20"/>
  <c r="P142" i="20"/>
  <c r="Q142" i="20"/>
  <c r="R142" i="20"/>
  <c r="S142" i="20" s="1"/>
  <c r="T142" i="20"/>
  <c r="U142" i="20"/>
  <c r="V142" i="20"/>
  <c r="W142" i="20"/>
  <c r="AA142" i="20"/>
  <c r="AB142" i="20"/>
  <c r="AF142" i="20"/>
  <c r="AG142" i="20"/>
  <c r="AH142" i="20"/>
  <c r="AI142" i="20"/>
  <c r="AJ142" i="20"/>
  <c r="AK142" i="20"/>
  <c r="AL142" i="20"/>
  <c r="AM142" i="20"/>
  <c r="A143" i="20"/>
  <c r="B143" i="20"/>
  <c r="C143" i="20"/>
  <c r="E143" i="20"/>
  <c r="F143" i="20"/>
  <c r="G143" i="20"/>
  <c r="H143" i="20"/>
  <c r="I143" i="20" s="1"/>
  <c r="J143" i="20"/>
  <c r="K143" i="20"/>
  <c r="L143" i="20"/>
  <c r="M143" i="20"/>
  <c r="N143" i="20"/>
  <c r="O143" i="20"/>
  <c r="P143" i="20"/>
  <c r="R143" i="20"/>
  <c r="S143" i="20" s="1"/>
  <c r="T143" i="20"/>
  <c r="U143" i="20"/>
  <c r="V143" i="20"/>
  <c r="W143" i="20"/>
  <c r="AA143" i="20"/>
  <c r="AB143" i="20"/>
  <c r="AC143" i="20"/>
  <c r="AF143" i="20"/>
  <c r="AG143" i="20"/>
  <c r="AH143" i="20"/>
  <c r="AI143" i="20"/>
  <c r="AJ143" i="20"/>
  <c r="AK143" i="20"/>
  <c r="AL143" i="20"/>
  <c r="AM143" i="20"/>
  <c r="A144" i="20"/>
  <c r="B144" i="20"/>
  <c r="C144" i="20"/>
  <c r="E144" i="20"/>
  <c r="F144" i="20"/>
  <c r="G144" i="20"/>
  <c r="H144" i="20"/>
  <c r="I144" i="20" s="1"/>
  <c r="J144" i="20"/>
  <c r="K144" i="20"/>
  <c r="L144" i="20"/>
  <c r="M144" i="20"/>
  <c r="N144" i="20"/>
  <c r="O144" i="20"/>
  <c r="P144" i="20"/>
  <c r="R144" i="20"/>
  <c r="S144" i="20" s="1"/>
  <c r="T144" i="20"/>
  <c r="U144" i="20"/>
  <c r="V144" i="20"/>
  <c r="W144" i="20"/>
  <c r="AA144" i="20"/>
  <c r="AB144" i="20"/>
  <c r="AC144" i="20"/>
  <c r="AF144" i="20"/>
  <c r="AG144" i="20"/>
  <c r="AH144" i="20"/>
  <c r="AI144" i="20"/>
  <c r="AJ144" i="20"/>
  <c r="AK144" i="20"/>
  <c r="AL144" i="20"/>
  <c r="AM144" i="20"/>
  <c r="A145" i="20"/>
  <c r="B145" i="20"/>
  <c r="C145" i="20"/>
  <c r="E145" i="20"/>
  <c r="F145" i="20"/>
  <c r="G145" i="20"/>
  <c r="H145" i="20"/>
  <c r="I145" i="20" s="1"/>
  <c r="J145" i="20"/>
  <c r="K145" i="20"/>
  <c r="L145" i="20"/>
  <c r="M145" i="20"/>
  <c r="N145" i="20"/>
  <c r="O145" i="20"/>
  <c r="P145" i="20"/>
  <c r="R145" i="20"/>
  <c r="S145" i="20" s="1"/>
  <c r="T145" i="20"/>
  <c r="U145" i="20"/>
  <c r="V145" i="20"/>
  <c r="W145" i="20"/>
  <c r="AA145" i="20"/>
  <c r="AB145" i="20"/>
  <c r="AC145" i="20"/>
  <c r="AF145" i="20"/>
  <c r="AG145" i="20"/>
  <c r="AH145" i="20"/>
  <c r="AI145" i="20"/>
  <c r="AJ145" i="20"/>
  <c r="AK145" i="20"/>
  <c r="AL145" i="20"/>
  <c r="AM145" i="20"/>
  <c r="A146" i="20"/>
  <c r="B146" i="20"/>
  <c r="C146" i="20"/>
  <c r="E146" i="20"/>
  <c r="F146" i="20"/>
  <c r="G146" i="20"/>
  <c r="H146" i="20"/>
  <c r="I146" i="20" s="1"/>
  <c r="J146" i="20"/>
  <c r="K146" i="20"/>
  <c r="L146" i="20"/>
  <c r="M146" i="20"/>
  <c r="N146" i="20"/>
  <c r="O146" i="20"/>
  <c r="P146" i="20"/>
  <c r="R146" i="20"/>
  <c r="S146" i="20" s="1"/>
  <c r="T146" i="20"/>
  <c r="U146" i="20"/>
  <c r="V146" i="20"/>
  <c r="W146" i="20"/>
  <c r="AA146" i="20"/>
  <c r="AB146" i="20"/>
  <c r="AC146" i="20"/>
  <c r="AF146" i="20"/>
  <c r="AG146" i="20"/>
  <c r="AH146" i="20"/>
  <c r="AI146" i="20"/>
  <c r="AJ146" i="20"/>
  <c r="AK146" i="20"/>
  <c r="AL146" i="20"/>
  <c r="AM146" i="20"/>
  <c r="A147" i="20"/>
  <c r="B147" i="20"/>
  <c r="C147" i="20"/>
  <c r="E147" i="20"/>
  <c r="F147" i="20"/>
  <c r="G147" i="20"/>
  <c r="H147" i="20"/>
  <c r="I147" i="20" s="1"/>
  <c r="J147" i="20"/>
  <c r="K147" i="20"/>
  <c r="L147" i="20"/>
  <c r="M147" i="20"/>
  <c r="N147" i="20"/>
  <c r="O147" i="20"/>
  <c r="P147" i="20"/>
  <c r="R147" i="20"/>
  <c r="S147" i="20" s="1"/>
  <c r="T147" i="20"/>
  <c r="U147" i="20"/>
  <c r="V147" i="20"/>
  <c r="W147" i="20"/>
  <c r="AA147" i="20"/>
  <c r="AB147" i="20"/>
  <c r="AC147" i="20"/>
  <c r="AF147" i="20"/>
  <c r="AG147" i="20"/>
  <c r="AH147" i="20"/>
  <c r="AI147" i="20"/>
  <c r="AJ147" i="20"/>
  <c r="AK147" i="20"/>
  <c r="AL147" i="20"/>
  <c r="AM147" i="20"/>
  <c r="A148" i="20"/>
  <c r="B148" i="20"/>
  <c r="C148" i="20"/>
  <c r="E148" i="20"/>
  <c r="F148" i="20"/>
  <c r="G148" i="20"/>
  <c r="H148" i="20"/>
  <c r="I148" i="20" s="1"/>
  <c r="J148" i="20"/>
  <c r="K148" i="20"/>
  <c r="L148" i="20"/>
  <c r="M148" i="20"/>
  <c r="N148" i="20"/>
  <c r="O148" i="20"/>
  <c r="P148" i="20"/>
  <c r="R148" i="20"/>
  <c r="S148" i="20" s="1"/>
  <c r="T148" i="20"/>
  <c r="U148" i="20"/>
  <c r="V148" i="20"/>
  <c r="W148" i="20"/>
  <c r="AA148" i="20"/>
  <c r="AB148" i="20"/>
  <c r="AC148" i="20"/>
  <c r="AF148" i="20"/>
  <c r="AG148" i="20"/>
  <c r="AH148" i="20"/>
  <c r="AI148" i="20"/>
  <c r="AJ148" i="20"/>
  <c r="AK148" i="20"/>
  <c r="AL148" i="20"/>
  <c r="AM148" i="20"/>
  <c r="A149" i="20"/>
  <c r="B149" i="20"/>
  <c r="C149" i="20"/>
  <c r="E149" i="20"/>
  <c r="F149" i="20"/>
  <c r="G149" i="20"/>
  <c r="H149" i="20"/>
  <c r="I149" i="20" s="1"/>
  <c r="J149" i="20"/>
  <c r="K149" i="20"/>
  <c r="L149" i="20"/>
  <c r="M149" i="20"/>
  <c r="N149" i="20"/>
  <c r="O149" i="20"/>
  <c r="P149" i="20"/>
  <c r="R149" i="20"/>
  <c r="S149" i="20" s="1"/>
  <c r="T149" i="20"/>
  <c r="U149" i="20"/>
  <c r="V149" i="20"/>
  <c r="W149" i="20"/>
  <c r="AA149" i="20"/>
  <c r="AB149" i="20"/>
  <c r="AC149" i="20"/>
  <c r="AF149" i="20"/>
  <c r="AG149" i="20"/>
  <c r="AH149" i="20"/>
  <c r="AI149" i="20"/>
  <c r="AJ149" i="20"/>
  <c r="AK149" i="20"/>
  <c r="AL149" i="20"/>
  <c r="AM149" i="20"/>
  <c r="A150" i="20"/>
  <c r="B150" i="20"/>
  <c r="C150" i="20"/>
  <c r="E150" i="20"/>
  <c r="F150" i="20"/>
  <c r="G150" i="20"/>
  <c r="H150" i="20"/>
  <c r="I150" i="20" s="1"/>
  <c r="J150" i="20"/>
  <c r="K150" i="20"/>
  <c r="L150" i="20"/>
  <c r="M150" i="20"/>
  <c r="N150" i="20"/>
  <c r="O150" i="20"/>
  <c r="P150" i="20"/>
  <c r="R150" i="20"/>
  <c r="S150" i="20" s="1"/>
  <c r="T150" i="20"/>
  <c r="U150" i="20"/>
  <c r="V150" i="20"/>
  <c r="W150" i="20"/>
  <c r="AA150" i="20"/>
  <c r="AB150" i="20"/>
  <c r="AC150" i="20"/>
  <c r="AF150" i="20"/>
  <c r="AG150" i="20"/>
  <c r="AH150" i="20"/>
  <c r="AI150" i="20"/>
  <c r="AJ150" i="20"/>
  <c r="AK150" i="20"/>
  <c r="AL150" i="20"/>
  <c r="AM150" i="20"/>
  <c r="A151" i="20"/>
  <c r="B151" i="20"/>
  <c r="C151" i="20"/>
  <c r="E151" i="20"/>
  <c r="F151" i="20"/>
  <c r="G151" i="20"/>
  <c r="H151" i="20"/>
  <c r="I151" i="20" s="1"/>
  <c r="J151" i="20"/>
  <c r="K151" i="20"/>
  <c r="L151" i="20"/>
  <c r="M151" i="20"/>
  <c r="N151" i="20"/>
  <c r="O151" i="20"/>
  <c r="P151" i="20"/>
  <c r="R151" i="20"/>
  <c r="S151" i="20" s="1"/>
  <c r="T151" i="20"/>
  <c r="U151" i="20"/>
  <c r="V151" i="20"/>
  <c r="W151" i="20"/>
  <c r="AA151" i="20"/>
  <c r="AB151" i="20"/>
  <c r="AC151" i="20"/>
  <c r="AF151" i="20"/>
  <c r="AG151" i="20"/>
  <c r="AH151" i="20"/>
  <c r="AI151" i="20"/>
  <c r="AJ151" i="20"/>
  <c r="AK151" i="20"/>
  <c r="AL151" i="20"/>
  <c r="AM151" i="20"/>
  <c r="A152" i="20"/>
  <c r="B152" i="20"/>
  <c r="C152" i="20"/>
  <c r="E152" i="20"/>
  <c r="F152" i="20"/>
  <c r="G152" i="20"/>
  <c r="H152" i="20"/>
  <c r="I152" i="20" s="1"/>
  <c r="J152" i="20"/>
  <c r="K152" i="20"/>
  <c r="L152" i="20"/>
  <c r="M152" i="20"/>
  <c r="N152" i="20"/>
  <c r="O152" i="20"/>
  <c r="P152" i="20"/>
  <c r="R152" i="20"/>
  <c r="S152" i="20" s="1"/>
  <c r="T152" i="20"/>
  <c r="U152" i="20"/>
  <c r="V152" i="20"/>
  <c r="W152" i="20"/>
  <c r="AA152" i="20"/>
  <c r="AB152" i="20"/>
  <c r="AC152" i="20"/>
  <c r="AF152" i="20"/>
  <c r="AG152" i="20"/>
  <c r="AH152" i="20"/>
  <c r="AI152" i="20"/>
  <c r="AJ152" i="20"/>
  <c r="AK152" i="20"/>
  <c r="AL152" i="20"/>
  <c r="AM152" i="20"/>
  <c r="A153" i="20"/>
  <c r="B153" i="20"/>
  <c r="C153" i="20"/>
  <c r="E153" i="20"/>
  <c r="F153" i="20"/>
  <c r="G153" i="20"/>
  <c r="H153" i="20"/>
  <c r="I153" i="20" s="1"/>
  <c r="J153" i="20"/>
  <c r="K153" i="20"/>
  <c r="L153" i="20"/>
  <c r="M153" i="20"/>
  <c r="N153" i="20"/>
  <c r="O153" i="20"/>
  <c r="P153" i="20"/>
  <c r="Q153" i="20"/>
  <c r="R153" i="20"/>
  <c r="S153" i="20" s="1"/>
  <c r="T153" i="20"/>
  <c r="U153" i="20"/>
  <c r="V153" i="20"/>
  <c r="W153" i="20"/>
  <c r="AA153" i="20"/>
  <c r="AB153" i="20"/>
  <c r="AC153" i="20"/>
  <c r="AF153" i="20"/>
  <c r="AG153" i="20"/>
  <c r="AH153" i="20"/>
  <c r="AI153" i="20"/>
  <c r="AJ153" i="20"/>
  <c r="AK153" i="20"/>
  <c r="AL153" i="20"/>
  <c r="AM153" i="20"/>
  <c r="A154" i="20"/>
  <c r="B154" i="20"/>
  <c r="C154" i="20"/>
  <c r="E154" i="20"/>
  <c r="F154" i="20"/>
  <c r="G154" i="20"/>
  <c r="H154" i="20"/>
  <c r="I154" i="20" s="1"/>
  <c r="J154" i="20"/>
  <c r="K154" i="20"/>
  <c r="L154" i="20"/>
  <c r="M154" i="20"/>
  <c r="N154" i="20"/>
  <c r="O154" i="20"/>
  <c r="P154" i="20"/>
  <c r="Q154" i="20"/>
  <c r="R154" i="20"/>
  <c r="S154" i="20" s="1"/>
  <c r="T154" i="20"/>
  <c r="U154" i="20"/>
  <c r="V154" i="20"/>
  <c r="W154" i="20"/>
  <c r="AA154" i="20"/>
  <c r="AB154" i="20"/>
  <c r="AC154" i="20"/>
  <c r="AF154" i="20"/>
  <c r="AG154" i="20"/>
  <c r="AH154" i="20"/>
  <c r="AI154" i="20"/>
  <c r="AJ154" i="20"/>
  <c r="AK154" i="20"/>
  <c r="AL154" i="20"/>
  <c r="AM154" i="20"/>
  <c r="A155" i="20"/>
  <c r="B155" i="20"/>
  <c r="C155" i="20"/>
  <c r="E155" i="20"/>
  <c r="F155" i="20"/>
  <c r="G155" i="20"/>
  <c r="H155" i="20"/>
  <c r="I155" i="20" s="1"/>
  <c r="J155" i="20"/>
  <c r="K155" i="20"/>
  <c r="L155" i="20"/>
  <c r="M155" i="20"/>
  <c r="N155" i="20"/>
  <c r="O155" i="20"/>
  <c r="P155" i="20"/>
  <c r="Q155" i="20"/>
  <c r="R155" i="20"/>
  <c r="S155" i="20" s="1"/>
  <c r="T155" i="20"/>
  <c r="U155" i="20"/>
  <c r="V155" i="20"/>
  <c r="W155" i="20"/>
  <c r="AA155" i="20"/>
  <c r="AB155" i="20"/>
  <c r="AC155" i="20"/>
  <c r="AF155" i="20"/>
  <c r="AG155" i="20"/>
  <c r="AH155" i="20"/>
  <c r="AI155" i="20"/>
  <c r="AJ155" i="20"/>
  <c r="AK155" i="20"/>
  <c r="AL155" i="20"/>
  <c r="AM155" i="20"/>
  <c r="A156" i="20"/>
  <c r="B156" i="20"/>
  <c r="C156" i="20"/>
  <c r="E156" i="20"/>
  <c r="F156" i="20"/>
  <c r="G156" i="20"/>
  <c r="H156" i="20"/>
  <c r="I156" i="20" s="1"/>
  <c r="J156" i="20"/>
  <c r="K156" i="20"/>
  <c r="L156" i="20"/>
  <c r="M156" i="20"/>
  <c r="N156" i="20"/>
  <c r="O156" i="20"/>
  <c r="P156" i="20"/>
  <c r="Q156" i="20"/>
  <c r="R156" i="20"/>
  <c r="S156" i="20" s="1"/>
  <c r="T156" i="20"/>
  <c r="U156" i="20"/>
  <c r="V156" i="20"/>
  <c r="W156" i="20"/>
  <c r="AA156" i="20"/>
  <c r="AB156" i="20"/>
  <c r="AC156" i="20"/>
  <c r="AF156" i="20"/>
  <c r="AG156" i="20"/>
  <c r="AH156" i="20"/>
  <c r="AI156" i="20"/>
  <c r="AJ156" i="20"/>
  <c r="AK156" i="20"/>
  <c r="AL156" i="20"/>
  <c r="AM156" i="20"/>
  <c r="A157" i="20"/>
  <c r="B157" i="20"/>
  <c r="C157" i="20"/>
  <c r="E157" i="20"/>
  <c r="F157" i="20"/>
  <c r="G157" i="20"/>
  <c r="H157" i="20"/>
  <c r="I157" i="20" s="1"/>
  <c r="J157" i="20"/>
  <c r="K157" i="20"/>
  <c r="L157" i="20"/>
  <c r="M157" i="20"/>
  <c r="N157" i="20"/>
  <c r="O157" i="20"/>
  <c r="P157" i="20"/>
  <c r="Q157" i="20"/>
  <c r="R157" i="20"/>
  <c r="S157" i="20" s="1"/>
  <c r="T157" i="20"/>
  <c r="U157" i="20"/>
  <c r="V157" i="20"/>
  <c r="W157" i="20"/>
  <c r="AA157" i="20"/>
  <c r="AB157" i="20"/>
  <c r="AC157" i="20"/>
  <c r="AF157" i="20"/>
  <c r="AG157" i="20"/>
  <c r="AH157" i="20"/>
  <c r="AI157" i="20"/>
  <c r="AJ157" i="20"/>
  <c r="AK157" i="20"/>
  <c r="AL157" i="20"/>
  <c r="AM157" i="20"/>
  <c r="A158" i="20"/>
  <c r="B158" i="20"/>
  <c r="C158" i="20"/>
  <c r="E158" i="20"/>
  <c r="F158" i="20"/>
  <c r="G158" i="20"/>
  <c r="H158" i="20"/>
  <c r="I158" i="20" s="1"/>
  <c r="J158" i="20"/>
  <c r="K158" i="20"/>
  <c r="L158" i="20"/>
  <c r="M158" i="20"/>
  <c r="N158" i="20"/>
  <c r="O158" i="20"/>
  <c r="P158" i="20"/>
  <c r="Q158" i="20"/>
  <c r="R158" i="20"/>
  <c r="S158" i="20" s="1"/>
  <c r="T158" i="20"/>
  <c r="U158" i="20"/>
  <c r="V158" i="20"/>
  <c r="W158" i="20"/>
  <c r="AA158" i="20"/>
  <c r="AB158" i="20"/>
  <c r="AC158" i="20"/>
  <c r="AF158" i="20"/>
  <c r="AG158" i="20"/>
  <c r="AH158" i="20"/>
  <c r="AI158" i="20"/>
  <c r="AJ158" i="20"/>
  <c r="AK158" i="20"/>
  <c r="AL158" i="20"/>
  <c r="AM158" i="20"/>
  <c r="A159" i="20"/>
  <c r="B159" i="20"/>
  <c r="C159" i="20"/>
  <c r="E159" i="20"/>
  <c r="F159" i="20"/>
  <c r="G159" i="20"/>
  <c r="H159" i="20"/>
  <c r="I159" i="20" s="1"/>
  <c r="J159" i="20"/>
  <c r="K159" i="20"/>
  <c r="L159" i="20"/>
  <c r="M159" i="20"/>
  <c r="N159" i="20"/>
  <c r="O159" i="20"/>
  <c r="P159" i="20"/>
  <c r="R159" i="20"/>
  <c r="S159" i="20" s="1"/>
  <c r="T159" i="20"/>
  <c r="U159" i="20"/>
  <c r="V159" i="20"/>
  <c r="W159" i="20"/>
  <c r="AA159" i="20"/>
  <c r="AB159" i="20"/>
  <c r="AC159" i="20"/>
  <c r="AF159" i="20"/>
  <c r="AG159" i="20"/>
  <c r="AH159" i="20"/>
  <c r="AI159" i="20"/>
  <c r="AJ159" i="20"/>
  <c r="AK159" i="20"/>
  <c r="AL159" i="20"/>
  <c r="AM159" i="20"/>
  <c r="A160" i="20"/>
  <c r="B160" i="20"/>
  <c r="C160" i="20"/>
  <c r="E160" i="20"/>
  <c r="F160" i="20"/>
  <c r="G160" i="20"/>
  <c r="H160" i="20"/>
  <c r="I160" i="20" s="1"/>
  <c r="J160" i="20"/>
  <c r="K160" i="20"/>
  <c r="L160" i="20"/>
  <c r="M160" i="20"/>
  <c r="N160" i="20"/>
  <c r="O160" i="20"/>
  <c r="P160" i="20"/>
  <c r="R160" i="20"/>
  <c r="S160" i="20" s="1"/>
  <c r="T160" i="20"/>
  <c r="U160" i="20"/>
  <c r="V160" i="20"/>
  <c r="W160" i="20"/>
  <c r="AA160" i="20"/>
  <c r="AB160" i="20"/>
  <c r="AC160" i="20"/>
  <c r="AF160" i="20"/>
  <c r="AG160" i="20"/>
  <c r="AH160" i="20"/>
  <c r="AI160" i="20"/>
  <c r="AJ160" i="20"/>
  <c r="AK160" i="20"/>
  <c r="AL160" i="20"/>
  <c r="AM160" i="20"/>
  <c r="A161" i="20"/>
  <c r="C161" i="20"/>
  <c r="E161" i="20"/>
  <c r="F161" i="20"/>
  <c r="G161" i="20"/>
  <c r="H161" i="20"/>
  <c r="I161" i="20" s="1"/>
  <c r="J161" i="20"/>
  <c r="K161" i="20"/>
  <c r="L161" i="20"/>
  <c r="M161" i="20"/>
  <c r="N161" i="20"/>
  <c r="O161" i="20"/>
  <c r="P161" i="20"/>
  <c r="R161" i="20"/>
  <c r="S161" i="20" s="1"/>
  <c r="T161" i="20"/>
  <c r="U161" i="20"/>
  <c r="V161" i="20"/>
  <c r="W161" i="20"/>
  <c r="AA161" i="20"/>
  <c r="AB161" i="20"/>
  <c r="AC161" i="20"/>
  <c r="AF161" i="20"/>
  <c r="AG161" i="20"/>
  <c r="AH161" i="20"/>
  <c r="AI161" i="20"/>
  <c r="AJ161" i="20"/>
  <c r="AK161" i="20"/>
  <c r="AL161" i="20"/>
  <c r="AM161" i="20"/>
  <c r="A162" i="20"/>
  <c r="B162" i="20"/>
  <c r="C162" i="20"/>
  <c r="E162" i="20"/>
  <c r="F162" i="20"/>
  <c r="G162" i="20"/>
  <c r="H162" i="20"/>
  <c r="I162" i="20" s="1"/>
  <c r="J162" i="20"/>
  <c r="K162" i="20"/>
  <c r="L162" i="20"/>
  <c r="M162" i="20"/>
  <c r="N162" i="20"/>
  <c r="O162" i="20"/>
  <c r="P162" i="20"/>
  <c r="R162" i="20"/>
  <c r="S162" i="20" s="1"/>
  <c r="T162" i="20"/>
  <c r="U162" i="20"/>
  <c r="V162" i="20"/>
  <c r="W162" i="20"/>
  <c r="AA162" i="20"/>
  <c r="AB162" i="20"/>
  <c r="AC162" i="20"/>
  <c r="AF162" i="20"/>
  <c r="AG162" i="20"/>
  <c r="AH162" i="20"/>
  <c r="AI162" i="20"/>
  <c r="AJ162" i="20"/>
  <c r="AK162" i="20"/>
  <c r="AL162" i="20"/>
  <c r="AM162" i="20"/>
  <c r="A163" i="20"/>
  <c r="C163" i="20"/>
  <c r="E163" i="20"/>
  <c r="F163" i="20"/>
  <c r="G163" i="20"/>
  <c r="H163" i="20"/>
  <c r="I163" i="20" s="1"/>
  <c r="J163" i="20"/>
  <c r="K163" i="20"/>
  <c r="L163" i="20"/>
  <c r="M163" i="20"/>
  <c r="N163" i="20"/>
  <c r="O163" i="20"/>
  <c r="P163" i="20"/>
  <c r="R163" i="20"/>
  <c r="S163" i="20" s="1"/>
  <c r="T163" i="20"/>
  <c r="U163" i="20"/>
  <c r="V163" i="20"/>
  <c r="W163" i="20"/>
  <c r="AA163" i="20"/>
  <c r="AB163" i="20"/>
  <c r="AC163" i="20"/>
  <c r="AF163" i="20"/>
  <c r="AG163" i="20"/>
  <c r="AH163" i="20"/>
  <c r="AI163" i="20"/>
  <c r="AJ163" i="20"/>
  <c r="AK163" i="20"/>
  <c r="AL163" i="20"/>
  <c r="AM163" i="20"/>
  <c r="A164" i="20"/>
  <c r="B164" i="20"/>
  <c r="C164" i="20"/>
  <c r="E164" i="20"/>
  <c r="F164" i="20"/>
  <c r="G164" i="20"/>
  <c r="H164" i="20"/>
  <c r="I164" i="20" s="1"/>
  <c r="J164" i="20"/>
  <c r="K164" i="20"/>
  <c r="L164" i="20"/>
  <c r="M164" i="20"/>
  <c r="N164" i="20"/>
  <c r="O164" i="20"/>
  <c r="P164" i="20"/>
  <c r="R164" i="20"/>
  <c r="S164" i="20" s="1"/>
  <c r="T164" i="20"/>
  <c r="U164" i="20"/>
  <c r="V164" i="20"/>
  <c r="W164" i="20"/>
  <c r="AA164" i="20"/>
  <c r="AB164" i="20"/>
  <c r="AC164" i="20"/>
  <c r="AF164" i="20"/>
  <c r="AG164" i="20"/>
  <c r="AH164" i="20"/>
  <c r="AI164" i="20"/>
  <c r="AJ164" i="20"/>
  <c r="AK164" i="20"/>
  <c r="AL164" i="20"/>
  <c r="AM164" i="20"/>
  <c r="A165" i="20"/>
  <c r="B165" i="20"/>
  <c r="C165" i="20"/>
  <c r="E165" i="20"/>
  <c r="F165" i="20"/>
  <c r="G165" i="20"/>
  <c r="H165" i="20"/>
  <c r="I165" i="20" s="1"/>
  <c r="J165" i="20"/>
  <c r="K165" i="20"/>
  <c r="L165" i="20"/>
  <c r="M165" i="20"/>
  <c r="N165" i="20"/>
  <c r="O165" i="20"/>
  <c r="P165" i="20"/>
  <c r="R165" i="20"/>
  <c r="S165" i="20" s="1"/>
  <c r="T165" i="20"/>
  <c r="U165" i="20"/>
  <c r="V165" i="20"/>
  <c r="W165" i="20"/>
  <c r="AA165" i="20"/>
  <c r="AB165" i="20"/>
  <c r="AC165" i="20"/>
  <c r="AF165" i="20"/>
  <c r="AG165" i="20"/>
  <c r="AH165" i="20"/>
  <c r="AI165" i="20"/>
  <c r="AJ165" i="20"/>
  <c r="AK165" i="20"/>
  <c r="AL165" i="20"/>
  <c r="AM165" i="20"/>
  <c r="W277" i="32" l="1"/>
  <c r="W262" i="32"/>
  <c r="Z278" i="32"/>
  <c r="X279" i="32"/>
  <c r="T278" i="32"/>
  <c r="S278" i="32"/>
  <c r="U278" i="32"/>
  <c r="V278" i="32"/>
  <c r="Z263" i="32"/>
  <c r="AB263" i="32" s="1"/>
  <c r="X264" i="32"/>
  <c r="V263" i="32"/>
  <c r="U263" i="32"/>
  <c r="S263" i="32"/>
  <c r="T263" i="32"/>
  <c r="AD263" i="32"/>
  <c r="AG263" i="32" s="1"/>
  <c r="M263" i="33" s="1"/>
  <c r="AC263" i="32"/>
  <c r="AF263" i="32" s="1"/>
  <c r="L263" i="33" s="1"/>
  <c r="AD289" i="32"/>
  <c r="AB289" i="32"/>
  <c r="AA274" i="32"/>
  <c r="Y275" i="32"/>
  <c r="AC274" i="32"/>
  <c r="AF274" i="32" s="1"/>
  <c r="L274" i="33" s="1"/>
  <c r="AA290" i="32"/>
  <c r="Y291" i="32"/>
  <c r="AC290" i="32"/>
  <c r="AD273" i="32"/>
  <c r="AG273" i="32" s="1"/>
  <c r="M273" i="33" s="1"/>
  <c r="AB273" i="32"/>
  <c r="Z297" i="32"/>
  <c r="X298" i="32"/>
  <c r="I185" i="32"/>
  <c r="H185" i="33" s="1"/>
  <c r="O155" i="33"/>
  <c r="AD227" i="32"/>
  <c r="AG227" i="32" s="1"/>
  <c r="M227" i="33" s="1"/>
  <c r="AB227" i="32"/>
  <c r="AD175" i="32"/>
  <c r="AG175" i="32" s="1"/>
  <c r="M175" i="33" s="1"/>
  <c r="AB175" i="32"/>
  <c r="AV289" i="32"/>
  <c r="AW288" i="32"/>
  <c r="AV273" i="32"/>
  <c r="AW272" i="32"/>
  <c r="N156" i="33"/>
  <c r="O121" i="33"/>
  <c r="N132" i="33"/>
  <c r="O132" i="33"/>
  <c r="W296" i="32"/>
  <c r="O126" i="33"/>
  <c r="N126" i="33"/>
  <c r="J74" i="33"/>
  <c r="AG74" i="32"/>
  <c r="M74" i="33" s="1"/>
  <c r="AF74" i="32"/>
  <c r="L74" i="33" s="1"/>
  <c r="H75" i="32"/>
  <c r="G74" i="32"/>
  <c r="I74" i="33" s="1"/>
  <c r="S297" i="32"/>
  <c r="V297" i="32"/>
  <c r="U297" i="32"/>
  <c r="T297" i="32"/>
  <c r="G127" i="32"/>
  <c r="I127" i="33" s="1"/>
  <c r="AG127" i="32"/>
  <c r="M127" i="33" s="1"/>
  <c r="AF127" i="32"/>
  <c r="L127" i="33" s="1"/>
  <c r="G158" i="32"/>
  <c r="I158" i="33" s="1"/>
  <c r="O158" i="33" s="1"/>
  <c r="AF158" i="32"/>
  <c r="L158" i="33" s="1"/>
  <c r="AG158" i="32"/>
  <c r="M158" i="33" s="1"/>
  <c r="G175" i="32"/>
  <c r="I175" i="33" s="1"/>
  <c r="AF175" i="32"/>
  <c r="L175" i="33" s="1"/>
  <c r="AF229" i="32"/>
  <c r="L229" i="33" s="1"/>
  <c r="AG229" i="32"/>
  <c r="M229" i="33" s="1"/>
  <c r="G157" i="32"/>
  <c r="I157" i="33" s="1"/>
  <c r="N157" i="33" s="1"/>
  <c r="AG157" i="32"/>
  <c r="M157" i="33" s="1"/>
  <c r="AF157" i="32"/>
  <c r="L157" i="33" s="1"/>
  <c r="G133" i="32"/>
  <c r="I133" i="33" s="1"/>
  <c r="AF133" i="32"/>
  <c r="L133" i="33" s="1"/>
  <c r="AG133" i="32"/>
  <c r="M133" i="33" s="1"/>
  <c r="G185" i="32"/>
  <c r="I185" i="33" s="1"/>
  <c r="AF185" i="32"/>
  <c r="L185" i="33" s="1"/>
  <c r="AG185" i="32"/>
  <c r="M185" i="33" s="1"/>
  <c r="H281" i="32"/>
  <c r="J281" i="33" s="1"/>
  <c r="G280" i="32"/>
  <c r="I280" i="33" s="1"/>
  <c r="H230" i="32"/>
  <c r="J230" i="33" s="1"/>
  <c r="G229" i="32"/>
  <c r="I229" i="33" s="1"/>
  <c r="B161" i="20"/>
  <c r="H160" i="32"/>
  <c r="J160" i="33" s="1"/>
  <c r="H159" i="32"/>
  <c r="J159" i="33" s="1"/>
  <c r="AD57" i="33"/>
  <c r="Z50" i="33"/>
  <c r="AC58" i="33"/>
  <c r="AE57" i="33"/>
  <c r="Z53" i="33"/>
  <c r="AD58" i="33"/>
  <c r="Z58" i="33"/>
  <c r="AD52" i="33"/>
  <c r="AE58" i="33"/>
  <c r="AE63" i="33"/>
  <c r="AA57" i="33"/>
  <c r="AC57" i="33"/>
  <c r="AB63" i="33"/>
  <c r="AB58" i="33"/>
  <c r="AB51" i="33"/>
  <c r="AA62" i="33"/>
  <c r="AA58" i="33"/>
  <c r="Z57" i="33"/>
  <c r="AB36" i="33"/>
  <c r="AD41" i="33"/>
  <c r="AD63" i="33"/>
  <c r="AC42" i="33"/>
  <c r="AC56" i="33"/>
  <c r="AC51" i="33"/>
  <c r="AC63" i="33"/>
  <c r="AB26" i="33"/>
  <c r="AB30" i="33"/>
  <c r="AC53" i="33"/>
  <c r="AD38" i="33"/>
  <c r="AA63" i="33"/>
  <c r="AA30" i="33"/>
  <c r="Z44" i="33"/>
  <c r="AC40" i="33"/>
  <c r="AD43" i="33"/>
  <c r="AA59" i="33"/>
  <c r="Z28" i="33"/>
  <c r="AC30" i="33"/>
  <c r="AD59" i="33"/>
  <c r="AB52" i="33"/>
  <c r="AA42" i="33"/>
  <c r="AE62" i="33"/>
  <c r="Z61" i="33"/>
  <c r="AC41" i="33"/>
  <c r="AE59" i="33"/>
  <c r="AA50" i="33"/>
  <c r="AD61" i="33"/>
  <c r="Z36" i="33"/>
  <c r="AE28" i="33"/>
  <c r="AE45" i="33"/>
  <c r="AC37" i="33"/>
  <c r="AA13" i="33"/>
  <c r="AC47" i="33"/>
  <c r="AA45" i="33"/>
  <c r="AA10" i="33"/>
  <c r="AC10" i="33"/>
  <c r="AD37" i="33"/>
  <c r="AB19" i="33"/>
  <c r="AC45" i="33"/>
  <c r="Z25" i="33"/>
  <c r="AD45" i="33"/>
  <c r="Z19" i="33"/>
  <c r="AB35" i="33"/>
  <c r="AB33" i="33"/>
  <c r="AE37" i="33"/>
  <c r="AE55" i="33"/>
  <c r="AD39" i="33"/>
  <c r="AB25" i="33"/>
  <c r="AE25" i="33"/>
  <c r="AA19" i="33"/>
  <c r="AE35" i="33"/>
  <c r="AC35" i="33"/>
  <c r="Z33" i="33"/>
  <c r="Z37" i="33"/>
  <c r="AE13" i="33"/>
  <c r="AB13" i="33"/>
  <c r="Z55" i="33"/>
  <c r="AD35" i="33"/>
  <c r="AA35" i="33"/>
  <c r="Z45" i="33"/>
  <c r="Z10" i="33"/>
  <c r="AC19" i="33"/>
  <c r="Z35" i="33"/>
  <c r="AA33" i="33"/>
  <c r="AA49" i="33"/>
  <c r="AD13" i="33"/>
  <c r="AA51" i="33"/>
  <c r="AB34" i="33"/>
  <c r="AD47" i="33"/>
  <c r="AA55" i="33"/>
  <c r="AB46" i="33"/>
  <c r="AD46" i="33"/>
  <c r="Z47" i="33"/>
  <c r="AC25" i="33"/>
  <c r="AB56" i="33"/>
  <c r="AD56" i="33"/>
  <c r="AD49" i="33"/>
  <c r="AA34" i="33"/>
  <c r="AD34" i="33"/>
  <c r="AA48" i="33"/>
  <c r="Z38" i="33"/>
  <c r="AA47" i="33"/>
  <c r="AA38" i="33"/>
  <c r="AA46" i="33"/>
  <c r="AC39" i="33"/>
  <c r="AA25" i="33"/>
  <c r="AB55" i="33"/>
  <c r="AD50" i="33"/>
  <c r="AB45" i="33"/>
  <c r="AD26" i="33"/>
  <c r="Z49" i="33"/>
  <c r="AC49" i="33"/>
  <c r="AC26" i="33"/>
  <c r="AE56" i="33"/>
  <c r="Z40" i="33"/>
  <c r="Z34" i="33"/>
  <c r="AB48" i="33"/>
  <c r="AD33" i="33"/>
  <c r="AC33" i="33"/>
  <c r="Z39" i="33"/>
  <c r="AE36" i="33"/>
  <c r="AA37" i="33"/>
  <c r="AC36" i="33"/>
  <c r="AB47" i="33"/>
  <c r="AC50" i="33"/>
  <c r="AB37" i="33"/>
  <c r="AC55" i="33"/>
  <c r="AC34" i="33"/>
  <c r="AC46" i="33"/>
  <c r="AE33" i="33"/>
  <c r="AD25" i="33"/>
  <c r="AE47" i="33"/>
  <c r="AB49" i="33"/>
  <c r="AB50" i="33"/>
  <c r="AB38" i="33"/>
  <c r="AA39" i="33"/>
  <c r="AC48" i="33"/>
  <c r="AD55" i="33"/>
  <c r="AE46" i="33"/>
  <c r="AD36" i="33"/>
  <c r="AA41" i="33"/>
  <c r="AA61" i="33"/>
  <c r="Z51" i="33"/>
  <c r="Z46" i="33"/>
  <c r="AE48" i="33"/>
  <c r="AD48" i="33"/>
  <c r="AA56" i="33"/>
  <c r="AE26" i="33"/>
  <c r="AD54" i="33"/>
  <c r="AB28" i="33"/>
  <c r="AE30" i="33"/>
  <c r="AE34" i="33"/>
  <c r="AD28" i="33"/>
  <c r="AB54" i="33"/>
  <c r="AC61" i="33"/>
  <c r="AC54" i="33"/>
  <c r="Z43" i="33"/>
  <c r="AC44" i="33"/>
  <c r="Z26" i="33"/>
  <c r="AA44" i="33"/>
  <c r="Z42" i="33"/>
  <c r="Z30" i="33"/>
  <c r="AA32" i="33"/>
  <c r="AB32" i="33"/>
  <c r="AC32" i="33"/>
  <c r="AD32" i="33"/>
  <c r="AE32" i="33"/>
  <c r="Z32" i="33"/>
  <c r="AB59" i="33"/>
  <c r="Z63" i="33"/>
  <c r="AD42" i="33"/>
  <c r="Z41" i="33"/>
  <c r="AC28" i="33"/>
  <c r="AA28" i="33"/>
  <c r="AB53" i="33"/>
  <c r="Z48" i="33"/>
  <c r="AC52" i="33"/>
  <c r="AD53" i="33"/>
  <c r="AA52" i="33"/>
  <c r="AD44" i="33"/>
  <c r="Z59" i="33"/>
  <c r="AE38" i="33"/>
  <c r="AD30" i="33"/>
  <c r="AE61" i="33"/>
  <c r="AC38" i="33"/>
  <c r="AB62" i="33"/>
  <c r="Z56" i="33"/>
  <c r="AA54" i="33"/>
  <c r="AD40" i="33"/>
  <c r="AD62" i="33"/>
  <c r="AC43" i="33"/>
  <c r="AD51" i="33"/>
  <c r="AC62" i="33"/>
  <c r="AC59" i="33"/>
  <c r="AA43" i="33"/>
  <c r="AA36" i="33"/>
  <c r="AA53" i="33"/>
  <c r="Z54" i="33"/>
  <c r="Z52" i="33"/>
  <c r="AA26" i="33"/>
  <c r="Z62" i="33"/>
  <c r="AA40" i="33"/>
  <c r="Z60" i="33"/>
  <c r="AA60" i="33"/>
  <c r="AA64" i="33"/>
  <c r="AB64" i="33"/>
  <c r="AC64" i="33"/>
  <c r="AE64" i="33"/>
  <c r="Z64" i="33"/>
  <c r="AD64" i="33"/>
  <c r="AB60" i="33"/>
  <c r="AE60" i="33"/>
  <c r="AD60" i="33"/>
  <c r="AC60" i="33"/>
  <c r="AG156" i="16"/>
  <c r="AX156" i="32" s="1"/>
  <c r="AC138" i="20"/>
  <c r="Q137" i="33"/>
  <c r="AG144" i="16"/>
  <c r="AX144" i="32" s="1"/>
  <c r="AG162" i="16"/>
  <c r="AX162" i="32" s="1"/>
  <c r="AG146" i="16"/>
  <c r="AX146" i="32" s="1"/>
  <c r="AG148" i="16"/>
  <c r="AX148" i="32" s="1"/>
  <c r="AG158" i="16"/>
  <c r="AX158" i="32" s="1"/>
  <c r="AG160" i="16"/>
  <c r="AX160" i="32" s="1"/>
  <c r="O228" i="33"/>
  <c r="N228" i="33"/>
  <c r="O73" i="33"/>
  <c r="N73" i="33"/>
  <c r="O184" i="33"/>
  <c r="N184" i="33"/>
  <c r="O278" i="33"/>
  <c r="N278" i="33"/>
  <c r="O174" i="33"/>
  <c r="N174" i="33"/>
  <c r="O256" i="33"/>
  <c r="N256" i="33"/>
  <c r="H162" i="16"/>
  <c r="AG150" i="16"/>
  <c r="AX150" i="32" s="1"/>
  <c r="AG152" i="16"/>
  <c r="AX152" i="32" s="1"/>
  <c r="AG154" i="16"/>
  <c r="AX154" i="32" s="1"/>
  <c r="AC140" i="20"/>
  <c r="AC142" i="20"/>
  <c r="AF142" i="16"/>
  <c r="AV142" i="32" s="1"/>
  <c r="AW142" i="32" s="1"/>
  <c r="AH154" i="16"/>
  <c r="AY154" i="32" s="1"/>
  <c r="AH144" i="16"/>
  <c r="AY144" i="32" s="1"/>
  <c r="AH148" i="16"/>
  <c r="AY148" i="32" s="1"/>
  <c r="AH156" i="16"/>
  <c r="AY156" i="32" s="1"/>
  <c r="AH158" i="16"/>
  <c r="AY158" i="32" s="1"/>
  <c r="AH146" i="16"/>
  <c r="AY146" i="32" s="1"/>
  <c r="AH152" i="16"/>
  <c r="AY152" i="32" s="1"/>
  <c r="AH162" i="16"/>
  <c r="AY162" i="32" s="1"/>
  <c r="AH150" i="16"/>
  <c r="AY150" i="32" s="1"/>
  <c r="AH160" i="16"/>
  <c r="AY160" i="32" s="1"/>
  <c r="AD59" i="20"/>
  <c r="AD60" i="20"/>
  <c r="AD61" i="20"/>
  <c r="AD62" i="20"/>
  <c r="AD63" i="20"/>
  <c r="AD64" i="20"/>
  <c r="AD65" i="20"/>
  <c r="AD66" i="20"/>
  <c r="AD67" i="20"/>
  <c r="AD68" i="20"/>
  <c r="AD69" i="20"/>
  <c r="AD70" i="20"/>
  <c r="AD71" i="20"/>
  <c r="AD72" i="20"/>
  <c r="AD73" i="20"/>
  <c r="AD74" i="20"/>
  <c r="AD75" i="20"/>
  <c r="AD76" i="20"/>
  <c r="AD77" i="20"/>
  <c r="AD78" i="20"/>
  <c r="AD79" i="20"/>
  <c r="AD80" i="20"/>
  <c r="AD81" i="20"/>
  <c r="AD82" i="20"/>
  <c r="AD83" i="20"/>
  <c r="AD84" i="20"/>
  <c r="AD85" i="20"/>
  <c r="AD86" i="20"/>
  <c r="AD87" i="20"/>
  <c r="AD88" i="20"/>
  <c r="AD89" i="20"/>
  <c r="AD90" i="20"/>
  <c r="AD91" i="20"/>
  <c r="AD92" i="20"/>
  <c r="AD93" i="20"/>
  <c r="AD94" i="20"/>
  <c r="AD95" i="20"/>
  <c r="AD96" i="20"/>
  <c r="AD97" i="20"/>
  <c r="AD98" i="20"/>
  <c r="AD99" i="20"/>
  <c r="AD100" i="20"/>
  <c r="AD101" i="20"/>
  <c r="AD102" i="20"/>
  <c r="AD103" i="20"/>
  <c r="AD104" i="20"/>
  <c r="AD105" i="20"/>
  <c r="AD106" i="20"/>
  <c r="AD107" i="20"/>
  <c r="AD108" i="20"/>
  <c r="AD58" i="20"/>
  <c r="AD3" i="20"/>
  <c r="AD4"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6" i="20"/>
  <c r="AD37" i="20"/>
  <c r="AD38" i="20"/>
  <c r="AD39" i="20"/>
  <c r="AD40" i="20"/>
  <c r="AD42" i="20"/>
  <c r="AD44" i="20"/>
  <c r="AD46" i="20"/>
  <c r="AD47" i="20"/>
  <c r="AD48" i="20"/>
  <c r="AD49" i="20"/>
  <c r="AD50" i="20"/>
  <c r="AD51" i="20"/>
  <c r="AD52" i="20"/>
  <c r="AD53" i="20"/>
  <c r="AD54" i="20"/>
  <c r="AD55" i="20"/>
  <c r="AD56" i="20"/>
  <c r="AD57" i="20"/>
  <c r="R188" i="18"/>
  <c r="P188" i="20" s="1"/>
  <c r="P188" i="18"/>
  <c r="N188" i="20" s="1"/>
  <c r="AA187" i="18"/>
  <c r="R187" i="18"/>
  <c r="P187" i="20" s="1"/>
  <c r="P187" i="18"/>
  <c r="N187" i="20" s="1"/>
  <c r="S182" i="18"/>
  <c r="Q182" i="20" s="1"/>
  <c r="S177" i="18"/>
  <c r="Q177" i="20" s="1"/>
  <c r="S172" i="18"/>
  <c r="Q172" i="20" s="1"/>
  <c r="S167" i="18"/>
  <c r="Q167" i="20" s="1"/>
  <c r="AA166" i="18"/>
  <c r="Y166" i="20" s="1"/>
  <c r="S166" i="18"/>
  <c r="Q166" i="20" s="1"/>
  <c r="AA165" i="18"/>
  <c r="Y165" i="20" s="1"/>
  <c r="S165" i="18"/>
  <c r="Q165" i="20" s="1"/>
  <c r="S164" i="18"/>
  <c r="Q164" i="20" s="1"/>
  <c r="S163" i="18"/>
  <c r="Q163" i="20" s="1"/>
  <c r="S162" i="18"/>
  <c r="Q162" i="20" s="1"/>
  <c r="S161" i="18"/>
  <c r="Q161" i="20" s="1"/>
  <c r="S160" i="18"/>
  <c r="Q160" i="20" s="1"/>
  <c r="S159" i="18"/>
  <c r="Q159" i="20" s="1"/>
  <c r="S152" i="18"/>
  <c r="Q152" i="20" s="1"/>
  <c r="S151" i="18"/>
  <c r="Q151" i="20" s="1"/>
  <c r="S150" i="18"/>
  <c r="Q150" i="20" s="1"/>
  <c r="S149" i="18"/>
  <c r="Q149" i="20" s="1"/>
  <c r="S148" i="18"/>
  <c r="Q148" i="20" s="1"/>
  <c r="S147" i="18"/>
  <c r="Q147" i="20" s="1"/>
  <c r="S146" i="18"/>
  <c r="Q146" i="20" s="1"/>
  <c r="S145" i="18"/>
  <c r="Q145" i="20" s="1"/>
  <c r="S144" i="18"/>
  <c r="Q144" i="20" s="1"/>
  <c r="AB143" i="18"/>
  <c r="Z143" i="20" s="1"/>
  <c r="AA143" i="18"/>
  <c r="Z143" i="18"/>
  <c r="S143" i="18"/>
  <c r="Q143" i="20" s="1"/>
  <c r="AA141" i="18"/>
  <c r="Y141" i="20" s="1"/>
  <c r="Z141" i="18"/>
  <c r="X141" i="20" s="1"/>
  <c r="S141" i="18"/>
  <c r="Q141" i="20" s="1"/>
  <c r="AA139" i="18"/>
  <c r="Y139" i="20" s="1"/>
  <c r="Z139" i="18"/>
  <c r="X139" i="20" s="1"/>
  <c r="S139" i="18"/>
  <c r="Q139" i="20" s="1"/>
  <c r="AA137" i="18"/>
  <c r="Y137" i="20" s="1"/>
  <c r="Z137" i="18"/>
  <c r="X137" i="20" s="1"/>
  <c r="S137" i="18"/>
  <c r="Q137" i="20" s="1"/>
  <c r="AA135" i="18"/>
  <c r="Y135" i="20" s="1"/>
  <c r="Z135" i="18"/>
  <c r="X135" i="20" s="1"/>
  <c r="S135" i="18"/>
  <c r="Q135" i="20" s="1"/>
  <c r="R132" i="18"/>
  <c r="P132" i="20" s="1"/>
  <c r="R129" i="18"/>
  <c r="P129" i="20" s="1"/>
  <c r="R126" i="18"/>
  <c r="P126" i="20" s="1"/>
  <c r="R123" i="18"/>
  <c r="P123" i="20" s="1"/>
  <c r="R120" i="18"/>
  <c r="P120" i="20" s="1"/>
  <c r="R117" i="18"/>
  <c r="P117" i="20" s="1"/>
  <c r="R114" i="18"/>
  <c r="P114" i="20" s="1"/>
  <c r="R111" i="18"/>
  <c r="P111" i="20" s="1"/>
  <c r="R110" i="18"/>
  <c r="P110" i="20" s="1"/>
  <c r="M110" i="18"/>
  <c r="K110" i="20" s="1"/>
  <c r="Z109" i="18"/>
  <c r="R109" i="18"/>
  <c r="M109" i="18"/>
  <c r="W278" i="32" l="1"/>
  <c r="Z279" i="32"/>
  <c r="X280" i="32"/>
  <c r="V279" i="32"/>
  <c r="T279" i="32"/>
  <c r="U279" i="32"/>
  <c r="S279" i="32"/>
  <c r="Z264" i="32"/>
  <c r="AB264" i="32" s="1"/>
  <c r="X265" i="32"/>
  <c r="T264" i="32"/>
  <c r="S264" i="32"/>
  <c r="U264" i="32"/>
  <c r="V264" i="32"/>
  <c r="AC264" i="32"/>
  <c r="AF264" i="32" s="1"/>
  <c r="L264" i="33" s="1"/>
  <c r="AD264" i="32"/>
  <c r="AG264" i="32" s="1"/>
  <c r="M264" i="33" s="1"/>
  <c r="W263" i="32"/>
  <c r="AA291" i="32"/>
  <c r="Y292" i="32"/>
  <c r="AC291" i="32"/>
  <c r="AD290" i="32"/>
  <c r="AB290" i="32"/>
  <c r="AA275" i="32"/>
  <c r="Y276" i="32"/>
  <c r="AC275" i="32"/>
  <c r="AF275" i="32" s="1"/>
  <c r="L275" i="33" s="1"/>
  <c r="AB274" i="32"/>
  <c r="AD274" i="32"/>
  <c r="AG274" i="32" s="1"/>
  <c r="M274" i="33" s="1"/>
  <c r="X299" i="32"/>
  <c r="Z298" i="32"/>
  <c r="AV274" i="32"/>
  <c r="AW273" i="32"/>
  <c r="AV290" i="32"/>
  <c r="AW289" i="32"/>
  <c r="W297" i="32"/>
  <c r="O157" i="33"/>
  <c r="N158" i="33"/>
  <c r="O127" i="33"/>
  <c r="N127" i="33"/>
  <c r="J75" i="33"/>
  <c r="AG75" i="32"/>
  <c r="M75" i="33" s="1"/>
  <c r="AF75" i="32"/>
  <c r="L75" i="33" s="1"/>
  <c r="H76" i="32"/>
  <c r="H77" i="32" s="1"/>
  <c r="H78" i="32" s="1"/>
  <c r="H79" i="32" s="1"/>
  <c r="G75" i="32"/>
  <c r="I75" i="33" s="1"/>
  <c r="O133" i="33"/>
  <c r="N133" i="33"/>
  <c r="V298" i="32"/>
  <c r="T298" i="32"/>
  <c r="S298" i="32"/>
  <c r="U298" i="32"/>
  <c r="G160" i="32"/>
  <c r="I160" i="33" s="1"/>
  <c r="N160" i="33" s="1"/>
  <c r="AF160" i="32"/>
  <c r="L160" i="33" s="1"/>
  <c r="AG160" i="32"/>
  <c r="M160" i="33" s="1"/>
  <c r="AG230" i="32"/>
  <c r="M230" i="33" s="1"/>
  <c r="AF230" i="32"/>
  <c r="L230" i="33" s="1"/>
  <c r="G159" i="32"/>
  <c r="I159" i="33" s="1"/>
  <c r="O159" i="33" s="1"/>
  <c r="AG159" i="32"/>
  <c r="M159" i="33" s="1"/>
  <c r="AF159" i="32"/>
  <c r="L159" i="33" s="1"/>
  <c r="H231" i="32"/>
  <c r="J231" i="33" s="1"/>
  <c r="G230" i="32"/>
  <c r="I230" i="33" s="1"/>
  <c r="H282" i="32"/>
  <c r="J282" i="33" s="1"/>
  <c r="G281" i="32"/>
  <c r="I281" i="33" s="1"/>
  <c r="H161" i="32"/>
  <c r="J161" i="33" s="1"/>
  <c r="H162" i="32"/>
  <c r="J162" i="33" s="1"/>
  <c r="AF146" i="16"/>
  <c r="AV146" i="32" s="1"/>
  <c r="AW146" i="32" s="1"/>
  <c r="O74" i="33"/>
  <c r="N74" i="33"/>
  <c r="O185" i="33"/>
  <c r="N185" i="33"/>
  <c r="O279" i="33"/>
  <c r="N279" i="33"/>
  <c r="N229" i="33"/>
  <c r="O229" i="33"/>
  <c r="O175" i="33"/>
  <c r="N175" i="33"/>
  <c r="B163" i="20"/>
  <c r="AF154" i="16"/>
  <c r="AV154" i="32" s="1"/>
  <c r="AW154" i="32" s="1"/>
  <c r="AF152" i="16"/>
  <c r="AV152" i="32" s="1"/>
  <c r="AW152" i="32" s="1"/>
  <c r="AF162" i="16"/>
  <c r="AV162" i="32" s="1"/>
  <c r="AW162" i="32" s="1"/>
  <c r="AF150" i="16"/>
  <c r="AV150" i="32" s="1"/>
  <c r="AW150" i="32" s="1"/>
  <c r="AF148" i="16"/>
  <c r="AV148" i="32" s="1"/>
  <c r="AW148" i="32" s="1"/>
  <c r="AF156" i="16"/>
  <c r="AV156" i="32" s="1"/>
  <c r="AW156" i="32" s="1"/>
  <c r="AF158" i="16"/>
  <c r="AV158" i="32" s="1"/>
  <c r="AW158" i="32" s="1"/>
  <c r="AF144" i="16"/>
  <c r="AV144" i="32" s="1"/>
  <c r="AW144" i="32" s="1"/>
  <c r="AF160" i="16"/>
  <c r="AV160" i="32" s="1"/>
  <c r="AW160" i="32" s="1"/>
  <c r="Z153" i="18"/>
  <c r="Z163" i="18"/>
  <c r="Z147" i="18"/>
  <c r="Z157" i="18"/>
  <c r="Z151" i="18"/>
  <c r="Z161" i="18"/>
  <c r="Z145" i="18"/>
  <c r="Z155" i="18"/>
  <c r="Z149" i="18"/>
  <c r="Z159" i="18"/>
  <c r="AA163" i="18"/>
  <c r="Y163" i="20" s="1"/>
  <c r="AA147" i="18"/>
  <c r="Y147" i="20" s="1"/>
  <c r="AA157" i="18"/>
  <c r="Y157" i="20" s="1"/>
  <c r="AA151" i="18"/>
  <c r="Y151" i="20" s="1"/>
  <c r="AA145" i="18"/>
  <c r="Y145" i="20" s="1"/>
  <c r="AA161" i="18"/>
  <c r="Y161" i="20" s="1"/>
  <c r="AA155" i="18"/>
  <c r="Y155" i="20" s="1"/>
  <c r="AA149" i="18"/>
  <c r="Y149" i="20" s="1"/>
  <c r="AA159" i="18"/>
  <c r="Y159" i="20" s="1"/>
  <c r="AA153" i="18"/>
  <c r="Y153" i="20" s="1"/>
  <c r="X143" i="20"/>
  <c r="AB157" i="18"/>
  <c r="Z157" i="20" s="1"/>
  <c r="AB151" i="18"/>
  <c r="Z151" i="20" s="1"/>
  <c r="AB161" i="18"/>
  <c r="Z161" i="20" s="1"/>
  <c r="AB155" i="18"/>
  <c r="Z155" i="20" s="1"/>
  <c r="AB145" i="18"/>
  <c r="Z145" i="20" s="1"/>
  <c r="AB149" i="18"/>
  <c r="Z149" i="20" s="1"/>
  <c r="AB159" i="18"/>
  <c r="Z159" i="20" s="1"/>
  <c r="AB153" i="18"/>
  <c r="Z153" i="20" s="1"/>
  <c r="AB163" i="18"/>
  <c r="Z163" i="20" s="1"/>
  <c r="AB147" i="18"/>
  <c r="Z147" i="20" s="1"/>
  <c r="Z187" i="18"/>
  <c r="X187" i="20" s="1"/>
  <c r="Y187" i="20"/>
  <c r="Y143" i="20"/>
  <c r="Z166" i="18"/>
  <c r="X166" i="20" s="1"/>
  <c r="Z165" i="18"/>
  <c r="X165" i="20" s="1"/>
  <c r="AM55" i="18"/>
  <c r="AM54" i="18"/>
  <c r="AM53" i="18"/>
  <c r="AM52" i="18"/>
  <c r="AM51" i="18"/>
  <c r="AM50" i="18"/>
  <c r="AS54" i="16"/>
  <c r="Y54" i="33" s="1"/>
  <c r="BA54" i="32" s="1"/>
  <c r="AS53" i="16"/>
  <c r="Y53" i="33" s="1"/>
  <c r="BA53" i="32" s="1"/>
  <c r="AS52" i="16"/>
  <c r="Y52" i="33" s="1"/>
  <c r="BA52" i="32" s="1"/>
  <c r="AS51" i="16"/>
  <c r="Y51" i="33" s="1"/>
  <c r="BA51" i="32" s="1"/>
  <c r="AS50" i="16"/>
  <c r="Y50" i="33" s="1"/>
  <c r="BA50" i="32" s="1"/>
  <c r="AS49" i="16"/>
  <c r="Y49" i="33" s="1"/>
  <c r="BA49" i="32" s="1"/>
  <c r="AG97" i="20"/>
  <c r="Y84" i="16"/>
  <c r="Y82" i="16"/>
  <c r="Y80" i="16"/>
  <c r="AQ63" i="28"/>
  <c r="AP63" i="28"/>
  <c r="AQ60" i="28"/>
  <c r="AP60" i="28"/>
  <c r="U105" i="20"/>
  <c r="AM94" i="20"/>
  <c r="A109" i="20"/>
  <c r="B109" i="20"/>
  <c r="C109" i="20"/>
  <c r="E109" i="20"/>
  <c r="F109" i="20"/>
  <c r="G109" i="20"/>
  <c r="H109" i="20"/>
  <c r="I109" i="20" s="1"/>
  <c r="J109" i="20"/>
  <c r="K109" i="20"/>
  <c r="L109" i="20"/>
  <c r="N109" i="20"/>
  <c r="O109" i="20"/>
  <c r="P109" i="20"/>
  <c r="Q109" i="20"/>
  <c r="R109" i="20"/>
  <c r="S109" i="20" s="1"/>
  <c r="T109" i="20"/>
  <c r="U109" i="20"/>
  <c r="V109" i="20"/>
  <c r="W109" i="20"/>
  <c r="Z109" i="20"/>
  <c r="AA109" i="20"/>
  <c r="AB109" i="20"/>
  <c r="AC109" i="20"/>
  <c r="AF109" i="20"/>
  <c r="AG109" i="20"/>
  <c r="AH109" i="20"/>
  <c r="AI109" i="20"/>
  <c r="AJ109" i="20"/>
  <c r="AK109" i="20"/>
  <c r="AL109" i="20"/>
  <c r="AM109" i="20"/>
  <c r="AG58" i="20"/>
  <c r="AI58" i="20"/>
  <c r="AJ58" i="20"/>
  <c r="AK58" i="20"/>
  <c r="AL58" i="20"/>
  <c r="AM58" i="20"/>
  <c r="AG59" i="20"/>
  <c r="AH59" i="20"/>
  <c r="AI59" i="20"/>
  <c r="AJ59" i="20"/>
  <c r="AK59" i="20"/>
  <c r="AL59" i="20"/>
  <c r="AM59" i="20"/>
  <c r="AG60" i="20"/>
  <c r="AH60" i="20"/>
  <c r="AI60" i="20"/>
  <c r="AJ60" i="20"/>
  <c r="AK60" i="20"/>
  <c r="AL60" i="20"/>
  <c r="AM60" i="20"/>
  <c r="AG61" i="20"/>
  <c r="AH61" i="20"/>
  <c r="AI61" i="20"/>
  <c r="AJ61" i="20"/>
  <c r="AK61" i="20"/>
  <c r="AL61" i="20"/>
  <c r="AM61" i="20"/>
  <c r="AG62" i="20"/>
  <c r="AI62" i="20"/>
  <c r="AJ62" i="20"/>
  <c r="AK62" i="20"/>
  <c r="AL62" i="20"/>
  <c r="AM62" i="20"/>
  <c r="AG63" i="20"/>
  <c r="AH63" i="20"/>
  <c r="AI63" i="20"/>
  <c r="AJ63" i="20"/>
  <c r="AK63" i="20"/>
  <c r="AL63" i="20"/>
  <c r="AM63" i="20"/>
  <c r="AG64" i="20"/>
  <c r="AH64" i="20"/>
  <c r="AI64" i="20"/>
  <c r="AJ64" i="20"/>
  <c r="AK64" i="20"/>
  <c r="AL64" i="20"/>
  <c r="AM64" i="20"/>
  <c r="AG65" i="20"/>
  <c r="AH65" i="20"/>
  <c r="AI65" i="20"/>
  <c r="AJ65" i="20"/>
  <c r="AK65" i="20"/>
  <c r="AL65" i="20"/>
  <c r="AM65" i="20"/>
  <c r="AG66" i="20"/>
  <c r="AH66" i="20"/>
  <c r="AI66" i="20"/>
  <c r="AJ66" i="20"/>
  <c r="AK66" i="20"/>
  <c r="AL66" i="20"/>
  <c r="AM66" i="20"/>
  <c r="AG67" i="20"/>
  <c r="AH67" i="20"/>
  <c r="AI67" i="20"/>
  <c r="AJ67" i="20"/>
  <c r="AK67" i="20"/>
  <c r="AL67" i="20"/>
  <c r="AM67" i="20"/>
  <c r="AG68" i="20"/>
  <c r="AH68" i="20"/>
  <c r="AI68" i="20"/>
  <c r="AJ68" i="20"/>
  <c r="AK68" i="20"/>
  <c r="AL68" i="20"/>
  <c r="AM68" i="20"/>
  <c r="AG69" i="20"/>
  <c r="AH69" i="20"/>
  <c r="AI69" i="20"/>
  <c r="AJ69" i="20"/>
  <c r="AK69" i="20"/>
  <c r="AL69" i="20"/>
  <c r="AM69" i="20"/>
  <c r="AG70" i="20"/>
  <c r="AH70" i="20"/>
  <c r="AI70" i="20"/>
  <c r="AJ70" i="20"/>
  <c r="AK70" i="20"/>
  <c r="AL70" i="20"/>
  <c r="AM70" i="20"/>
  <c r="AG71" i="20"/>
  <c r="AH71" i="20"/>
  <c r="AI71" i="20"/>
  <c r="AJ71" i="20"/>
  <c r="AK71" i="20"/>
  <c r="AL71" i="20"/>
  <c r="AM71" i="20"/>
  <c r="AG72" i="20"/>
  <c r="AH72" i="20"/>
  <c r="AI72" i="20"/>
  <c r="AJ72" i="20"/>
  <c r="AK72" i="20"/>
  <c r="AL72" i="20"/>
  <c r="AM72" i="20"/>
  <c r="AG73" i="20"/>
  <c r="AH73" i="20"/>
  <c r="AI73" i="20"/>
  <c r="AJ73" i="20"/>
  <c r="AK73" i="20"/>
  <c r="AL73" i="20"/>
  <c r="AM73" i="20"/>
  <c r="AG74" i="20"/>
  <c r="AH74" i="20"/>
  <c r="AI74" i="20"/>
  <c r="AJ74" i="20"/>
  <c r="AK74" i="20"/>
  <c r="AL74" i="20"/>
  <c r="AM74" i="20"/>
  <c r="AG75" i="20"/>
  <c r="AH75" i="20"/>
  <c r="AI75" i="20"/>
  <c r="AJ75" i="20"/>
  <c r="AK75" i="20"/>
  <c r="AL75" i="20"/>
  <c r="AM75" i="20"/>
  <c r="AG76" i="20"/>
  <c r="AH76" i="20"/>
  <c r="AI76" i="20"/>
  <c r="AJ76" i="20"/>
  <c r="AK76" i="20"/>
  <c r="AL76" i="20"/>
  <c r="AM76" i="20"/>
  <c r="AG77" i="20"/>
  <c r="AH77" i="20"/>
  <c r="AI77" i="20"/>
  <c r="AJ77" i="20"/>
  <c r="AK77" i="20"/>
  <c r="AL77" i="20"/>
  <c r="AM77" i="20"/>
  <c r="AG78" i="20"/>
  <c r="AH78" i="20"/>
  <c r="AI78" i="20"/>
  <c r="AJ78" i="20"/>
  <c r="AK78" i="20"/>
  <c r="AL78" i="20"/>
  <c r="AM78" i="20"/>
  <c r="AG79" i="20"/>
  <c r="AH79" i="20"/>
  <c r="AI79" i="20"/>
  <c r="AJ79" i="20"/>
  <c r="AK79" i="20"/>
  <c r="AL79" i="20"/>
  <c r="AM79" i="20"/>
  <c r="AG80" i="20"/>
  <c r="AH80" i="20"/>
  <c r="AI80" i="20"/>
  <c r="AJ80" i="20"/>
  <c r="AK80" i="20"/>
  <c r="AL80" i="20"/>
  <c r="AM80" i="20"/>
  <c r="AG81" i="20"/>
  <c r="AH81" i="20"/>
  <c r="AI81" i="20"/>
  <c r="AJ81" i="20"/>
  <c r="AK81" i="20"/>
  <c r="AL81" i="20"/>
  <c r="AM81" i="20"/>
  <c r="AG82" i="20"/>
  <c r="AH82" i="20"/>
  <c r="AI82" i="20"/>
  <c r="AJ82" i="20"/>
  <c r="AK82" i="20"/>
  <c r="AL82" i="20"/>
  <c r="AM82" i="20"/>
  <c r="AG83" i="20"/>
  <c r="AH83" i="20"/>
  <c r="AI83" i="20"/>
  <c r="AJ83" i="20"/>
  <c r="AK83" i="20"/>
  <c r="AL83" i="20"/>
  <c r="AM83" i="20"/>
  <c r="AG84" i="20"/>
  <c r="AH84" i="20"/>
  <c r="AI84" i="20"/>
  <c r="AJ84" i="20"/>
  <c r="AK84" i="20"/>
  <c r="AL84" i="20"/>
  <c r="AM84" i="20"/>
  <c r="AG85" i="20"/>
  <c r="AH85" i="20"/>
  <c r="AI85" i="20"/>
  <c r="AJ85" i="20"/>
  <c r="AK85" i="20"/>
  <c r="AL85" i="20"/>
  <c r="AM85" i="20"/>
  <c r="AG86" i="20"/>
  <c r="AH86" i="20"/>
  <c r="AI86" i="20"/>
  <c r="AJ86" i="20"/>
  <c r="AK86" i="20"/>
  <c r="AL86" i="20"/>
  <c r="AM86" i="20"/>
  <c r="AG87" i="20"/>
  <c r="AH87" i="20"/>
  <c r="AI87" i="20"/>
  <c r="AJ87" i="20"/>
  <c r="AK87" i="20"/>
  <c r="AL87" i="20"/>
  <c r="AM87" i="20"/>
  <c r="AG88" i="20"/>
  <c r="AH88" i="20"/>
  <c r="AI88" i="20"/>
  <c r="AJ88" i="20"/>
  <c r="AK88" i="20"/>
  <c r="AL88" i="20"/>
  <c r="AM88" i="20"/>
  <c r="AG89" i="20"/>
  <c r="AH89" i="20"/>
  <c r="AI89" i="20"/>
  <c r="AJ89" i="20"/>
  <c r="AK89" i="20"/>
  <c r="AL89" i="20"/>
  <c r="AM89" i="20"/>
  <c r="AG90" i="20"/>
  <c r="AH90" i="20"/>
  <c r="AI90" i="20"/>
  <c r="AJ90" i="20"/>
  <c r="AK90" i="20"/>
  <c r="AL90" i="20"/>
  <c r="AM90" i="20"/>
  <c r="AH91" i="20"/>
  <c r="AI91" i="20"/>
  <c r="AK91" i="20"/>
  <c r="AL91" i="20"/>
  <c r="AH92" i="20"/>
  <c r="AI92" i="20"/>
  <c r="AK92" i="20"/>
  <c r="AL92" i="20"/>
  <c r="AH93" i="20"/>
  <c r="AI93" i="20"/>
  <c r="AK93" i="20"/>
  <c r="AL93" i="20"/>
  <c r="AG94" i="20"/>
  <c r="AH94" i="20"/>
  <c r="AI94" i="20"/>
  <c r="AJ94" i="20"/>
  <c r="AK94" i="20"/>
  <c r="AL94" i="20"/>
  <c r="AG95" i="20"/>
  <c r="AH95" i="20"/>
  <c r="AI95" i="20"/>
  <c r="AJ95" i="20"/>
  <c r="AK95" i="20"/>
  <c r="AL95" i="20"/>
  <c r="AM95" i="20"/>
  <c r="AG96" i="20"/>
  <c r="AH96" i="20"/>
  <c r="AI96" i="20"/>
  <c r="AJ96" i="20"/>
  <c r="AK96" i="20"/>
  <c r="AL96" i="20"/>
  <c r="AM96" i="20"/>
  <c r="AH97" i="20"/>
  <c r="AI97" i="20"/>
  <c r="AJ97" i="20"/>
  <c r="AK97" i="20"/>
  <c r="AL97" i="20"/>
  <c r="AM97" i="20"/>
  <c r="AG98" i="20"/>
  <c r="AH98" i="20"/>
  <c r="AI98" i="20"/>
  <c r="AJ98" i="20"/>
  <c r="AK98" i="20"/>
  <c r="AL98" i="20"/>
  <c r="AM98" i="20"/>
  <c r="AG99" i="20"/>
  <c r="AH99" i="20"/>
  <c r="AI99" i="20"/>
  <c r="AJ99" i="20"/>
  <c r="AK99" i="20"/>
  <c r="AL99" i="20"/>
  <c r="AM99" i="20"/>
  <c r="AG100" i="20"/>
  <c r="AH100" i="20"/>
  <c r="AI100" i="20"/>
  <c r="AJ100" i="20"/>
  <c r="AK100" i="20"/>
  <c r="AL100" i="20"/>
  <c r="AM100" i="20"/>
  <c r="AG101" i="20"/>
  <c r="AH101" i="20"/>
  <c r="AI101" i="20"/>
  <c r="AJ101" i="20"/>
  <c r="AK101" i="20"/>
  <c r="AL101" i="20"/>
  <c r="AM101" i="20"/>
  <c r="AG102" i="20"/>
  <c r="AH102" i="20"/>
  <c r="AI102" i="20"/>
  <c r="AJ102" i="20"/>
  <c r="AK102" i="20"/>
  <c r="AL102" i="20"/>
  <c r="AM102" i="20"/>
  <c r="AG103" i="20"/>
  <c r="AH103" i="20"/>
  <c r="AI103" i="20"/>
  <c r="AJ103" i="20"/>
  <c r="AK103" i="20"/>
  <c r="AL103" i="20"/>
  <c r="AM103" i="20"/>
  <c r="AG104" i="20"/>
  <c r="AH104" i="20"/>
  <c r="AI104" i="20"/>
  <c r="AJ104" i="20"/>
  <c r="AK104" i="20"/>
  <c r="AL104" i="20"/>
  <c r="AM104" i="20"/>
  <c r="AG105" i="20"/>
  <c r="AI105" i="20"/>
  <c r="AJ105" i="20"/>
  <c r="AL105" i="20"/>
  <c r="AM105" i="20"/>
  <c r="AG106" i="20"/>
  <c r="AI106" i="20"/>
  <c r="AJ106" i="20"/>
  <c r="AL106" i="20"/>
  <c r="AM106" i="20"/>
  <c r="AG107" i="20"/>
  <c r="AI107" i="20"/>
  <c r="AJ107" i="20"/>
  <c r="AL107" i="20"/>
  <c r="AM107" i="20"/>
  <c r="AG108" i="20"/>
  <c r="AI108" i="20"/>
  <c r="AJ108" i="20"/>
  <c r="AL108" i="20"/>
  <c r="AM108" i="20"/>
  <c r="AF108" i="20"/>
  <c r="AC108" i="20"/>
  <c r="AF107" i="20"/>
  <c r="AC107" i="20"/>
  <c r="AF106" i="20"/>
  <c r="AC106" i="20"/>
  <c r="AF105" i="20"/>
  <c r="AC105" i="20"/>
  <c r="AF104" i="20"/>
  <c r="AC104" i="20"/>
  <c r="AF103" i="20"/>
  <c r="AC103" i="20"/>
  <c r="AF102" i="20"/>
  <c r="AC102" i="20"/>
  <c r="AF101" i="20"/>
  <c r="AC101" i="20"/>
  <c r="AF100" i="20"/>
  <c r="AC100" i="20"/>
  <c r="AF99" i="20"/>
  <c r="AC99" i="20"/>
  <c r="AF98" i="20"/>
  <c r="AC98" i="20"/>
  <c r="AF97" i="20"/>
  <c r="AC97" i="20"/>
  <c r="AF96" i="20"/>
  <c r="AC96" i="20"/>
  <c r="AF95" i="20"/>
  <c r="AC95" i="20"/>
  <c r="AF94" i="20"/>
  <c r="AC94" i="20"/>
  <c r="AF93" i="20"/>
  <c r="AC93" i="20"/>
  <c r="AF92" i="20"/>
  <c r="AC92" i="20"/>
  <c r="AF91" i="20"/>
  <c r="AC91" i="20"/>
  <c r="AF90" i="20"/>
  <c r="AC90" i="20"/>
  <c r="AF89" i="20"/>
  <c r="AC89" i="20"/>
  <c r="AF88" i="20"/>
  <c r="AC88" i="20"/>
  <c r="AF87" i="20"/>
  <c r="AC87" i="20"/>
  <c r="AF86" i="20"/>
  <c r="AC86" i="20"/>
  <c r="AF85" i="20"/>
  <c r="AC85" i="20"/>
  <c r="AF84" i="20"/>
  <c r="AC84" i="20"/>
  <c r="AF83" i="20"/>
  <c r="AC83" i="20"/>
  <c r="AF82" i="20"/>
  <c r="AC82" i="20"/>
  <c r="AF81" i="20"/>
  <c r="AC81" i="20"/>
  <c r="AF80" i="20"/>
  <c r="AC80" i="20"/>
  <c r="AF79" i="20"/>
  <c r="AC79" i="20"/>
  <c r="AF78" i="20"/>
  <c r="AC78" i="20"/>
  <c r="AF77" i="20"/>
  <c r="AC77" i="20"/>
  <c r="AF76" i="20"/>
  <c r="AC76" i="20"/>
  <c r="AF75" i="20"/>
  <c r="AC75" i="20"/>
  <c r="AF74" i="20"/>
  <c r="AC74" i="20"/>
  <c r="AF73" i="20"/>
  <c r="AC73" i="20"/>
  <c r="AF72" i="20"/>
  <c r="AC72" i="20"/>
  <c r="AF71" i="20"/>
  <c r="AC71" i="20"/>
  <c r="AF70" i="20"/>
  <c r="AC70" i="20"/>
  <c r="AF69" i="20"/>
  <c r="AC69" i="20"/>
  <c r="AF68" i="20"/>
  <c r="AC68" i="20"/>
  <c r="AF67" i="20"/>
  <c r="AC67" i="20"/>
  <c r="AF66" i="20"/>
  <c r="AC66" i="20"/>
  <c r="AF65" i="20"/>
  <c r="AC65" i="20"/>
  <c r="AF64" i="20"/>
  <c r="AC64" i="20"/>
  <c r="AF63" i="20"/>
  <c r="AC63" i="20"/>
  <c r="AF62" i="20"/>
  <c r="AC62" i="20"/>
  <c r="AF61" i="20"/>
  <c r="AC61" i="20"/>
  <c r="AF60" i="20"/>
  <c r="AC60" i="20"/>
  <c r="AF59" i="20"/>
  <c r="AC59" i="20"/>
  <c r="AF58" i="20"/>
  <c r="AC58" i="20"/>
  <c r="AA58" i="20"/>
  <c r="Z59" i="20"/>
  <c r="AA59" i="20"/>
  <c r="Z60" i="20"/>
  <c r="AA60" i="20"/>
  <c r="Z61" i="20"/>
  <c r="AA61" i="20"/>
  <c r="Z62" i="20"/>
  <c r="AA62" i="20"/>
  <c r="Z63" i="20"/>
  <c r="AA63" i="20"/>
  <c r="Z64" i="20"/>
  <c r="AA64" i="20"/>
  <c r="Z65" i="20"/>
  <c r="AA65" i="20"/>
  <c r="Z66" i="20"/>
  <c r="AA66" i="20"/>
  <c r="Z67" i="20"/>
  <c r="AA67" i="20"/>
  <c r="Z68" i="20"/>
  <c r="AA68" i="20"/>
  <c r="Z69" i="20"/>
  <c r="AA69" i="20"/>
  <c r="Z70" i="20"/>
  <c r="AA70" i="20"/>
  <c r="Z71" i="20"/>
  <c r="AA71" i="20"/>
  <c r="Z72" i="20"/>
  <c r="AA72" i="20"/>
  <c r="Z73" i="20"/>
  <c r="AA73" i="20"/>
  <c r="Z74" i="20"/>
  <c r="AA74" i="20"/>
  <c r="Z75" i="20"/>
  <c r="AA75" i="20"/>
  <c r="Z76" i="20"/>
  <c r="AA76" i="20"/>
  <c r="Z77" i="20"/>
  <c r="AA77" i="20"/>
  <c r="Z78" i="20"/>
  <c r="AA78" i="20"/>
  <c r="Z79" i="20"/>
  <c r="AA79" i="20"/>
  <c r="Z80" i="20"/>
  <c r="AA80" i="20"/>
  <c r="Z81" i="20"/>
  <c r="AA81" i="20"/>
  <c r="Z82" i="20"/>
  <c r="AA82" i="20"/>
  <c r="Z83" i="20"/>
  <c r="AA83" i="20"/>
  <c r="Z84" i="20"/>
  <c r="AA84" i="20"/>
  <c r="Z85" i="20"/>
  <c r="AA85" i="20"/>
  <c r="Z86" i="20"/>
  <c r="AA86" i="20"/>
  <c r="Z87" i="20"/>
  <c r="AA87" i="20"/>
  <c r="Z88" i="20"/>
  <c r="AA88" i="20"/>
  <c r="Z89" i="20"/>
  <c r="AA89" i="20"/>
  <c r="Z90" i="20"/>
  <c r="AA90" i="20"/>
  <c r="Z91" i="20"/>
  <c r="AA91" i="20"/>
  <c r="Z92" i="20"/>
  <c r="AA92" i="20"/>
  <c r="Z93" i="20"/>
  <c r="AA93" i="20"/>
  <c r="Z94" i="20"/>
  <c r="AA94" i="20"/>
  <c r="Z95" i="20"/>
  <c r="AA95" i="20"/>
  <c r="Z96" i="20"/>
  <c r="AA96" i="20"/>
  <c r="Z97" i="20"/>
  <c r="AA97" i="20"/>
  <c r="Z98" i="20"/>
  <c r="AA98" i="20"/>
  <c r="Z99" i="20"/>
  <c r="AA99" i="20"/>
  <c r="Z100" i="20"/>
  <c r="AA100" i="20"/>
  <c r="Z101" i="20"/>
  <c r="AA101" i="20"/>
  <c r="Z102" i="20"/>
  <c r="AA102" i="20"/>
  <c r="AA103" i="20"/>
  <c r="Z104" i="20"/>
  <c r="AA104" i="20"/>
  <c r="AA105" i="20"/>
  <c r="Z106" i="20"/>
  <c r="AA106" i="20"/>
  <c r="AA107" i="20"/>
  <c r="Z108" i="20"/>
  <c r="AA108"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Y59" i="20"/>
  <c r="Y60" i="20"/>
  <c r="Y61" i="20"/>
  <c r="Y62" i="20"/>
  <c r="Y63" i="20"/>
  <c r="Y64" i="20"/>
  <c r="Y65" i="20"/>
  <c r="Y66" i="20"/>
  <c r="Y67" i="20"/>
  <c r="Y68" i="20"/>
  <c r="Y69" i="20"/>
  <c r="Y70" i="20"/>
  <c r="Y71" i="20"/>
  <c r="Y72" i="20"/>
  <c r="Y73" i="20"/>
  <c r="Y74" i="20"/>
  <c r="Y75" i="20"/>
  <c r="Y76" i="20"/>
  <c r="Y77" i="20"/>
  <c r="Y78" i="20"/>
  <c r="Y79" i="20"/>
  <c r="Y80" i="20"/>
  <c r="Y82" i="20"/>
  <c r="Y84" i="20"/>
  <c r="Y86" i="20"/>
  <c r="Y88" i="20"/>
  <c r="Y90" i="20"/>
  <c r="Y91" i="20"/>
  <c r="Y92" i="20"/>
  <c r="Y93" i="20"/>
  <c r="Y94" i="20"/>
  <c r="Y95" i="20"/>
  <c r="Y96" i="20"/>
  <c r="Y97" i="20"/>
  <c r="Y98" i="20"/>
  <c r="Y99" i="20"/>
  <c r="Y100" i="20"/>
  <c r="Y102" i="20"/>
  <c r="Y103" i="20"/>
  <c r="Y104" i="20"/>
  <c r="Y105" i="20"/>
  <c r="Y106" i="20"/>
  <c r="Y107" i="20"/>
  <c r="Y108" i="20"/>
  <c r="AA56" i="18"/>
  <c r="AA52" i="18"/>
  <c r="AA50" i="18"/>
  <c r="AA46" i="18"/>
  <c r="AA38" i="18"/>
  <c r="AA36" i="18"/>
  <c r="AA34" i="18"/>
  <c r="AM108" i="18"/>
  <c r="AJ108" i="18"/>
  <c r="AM107" i="18"/>
  <c r="AJ107" i="18"/>
  <c r="AB107" i="18"/>
  <c r="Z107" i="18" s="1"/>
  <c r="AM106" i="18"/>
  <c r="AJ106" i="18"/>
  <c r="AM105" i="18"/>
  <c r="AJ105" i="18"/>
  <c r="AB105" i="18"/>
  <c r="Z105" i="18" s="1"/>
  <c r="AB103" i="18"/>
  <c r="Z103" i="18" s="1"/>
  <c r="Z98" i="18"/>
  <c r="Z94" i="18"/>
  <c r="AL93" i="18"/>
  <c r="AI93" i="18"/>
  <c r="AL92" i="18"/>
  <c r="AI92" i="18"/>
  <c r="Z92" i="18"/>
  <c r="AL91" i="18"/>
  <c r="AI91" i="18"/>
  <c r="Z91" i="18"/>
  <c r="AA89" i="18"/>
  <c r="Z89" i="18"/>
  <c r="AA87" i="18"/>
  <c r="Z87" i="18"/>
  <c r="AA85" i="18"/>
  <c r="Z85" i="18"/>
  <c r="AA83" i="18"/>
  <c r="Z83" i="18"/>
  <c r="AA81" i="18"/>
  <c r="Z81" i="18"/>
  <c r="Z71" i="18"/>
  <c r="Z66" i="18"/>
  <c r="AA58" i="18"/>
  <c r="Z58" i="18"/>
  <c r="AG108" i="16"/>
  <c r="AH106" i="16"/>
  <c r="AH104" i="16"/>
  <c r="AH102" i="16"/>
  <c r="AG100" i="16"/>
  <c r="AF98" i="16"/>
  <c r="AV98" i="32" s="1"/>
  <c r="AW98" i="32" s="1"/>
  <c r="AF97" i="16"/>
  <c r="AV97" i="32" s="1"/>
  <c r="AW97" i="32" s="1"/>
  <c r="W279" i="32" l="1"/>
  <c r="Z265" i="32"/>
  <c r="AB265" i="32" s="1"/>
  <c r="X266" i="32"/>
  <c r="S265" i="32"/>
  <c r="U265" i="32"/>
  <c r="V265" i="32"/>
  <c r="T265" i="32"/>
  <c r="AC265" i="32"/>
  <c r="AF265" i="32" s="1"/>
  <c r="L265" i="33" s="1"/>
  <c r="AD265" i="32"/>
  <c r="AG265" i="32" s="1"/>
  <c r="M265" i="33" s="1"/>
  <c r="W264" i="32"/>
  <c r="X281" i="32"/>
  <c r="Z280" i="32"/>
  <c r="T280" i="32"/>
  <c r="V280" i="32"/>
  <c r="S280" i="32"/>
  <c r="U280" i="32"/>
  <c r="AA276" i="32"/>
  <c r="Y277" i="32"/>
  <c r="AC276" i="32"/>
  <c r="AF276" i="32" s="1"/>
  <c r="L276" i="33" s="1"/>
  <c r="AD275" i="32"/>
  <c r="AG275" i="32" s="1"/>
  <c r="M275" i="33" s="1"/>
  <c r="AB275" i="32"/>
  <c r="AA292" i="32"/>
  <c r="Y293" i="32"/>
  <c r="AC292" i="32"/>
  <c r="AD291" i="32"/>
  <c r="AB291" i="32"/>
  <c r="Z299" i="32"/>
  <c r="X300" i="32"/>
  <c r="AV291" i="32"/>
  <c r="AW290" i="32"/>
  <c r="AV275" i="32"/>
  <c r="AW274" i="32"/>
  <c r="N159" i="33"/>
  <c r="O160" i="33"/>
  <c r="W298" i="32"/>
  <c r="J76" i="33"/>
  <c r="AG76" i="32"/>
  <c r="M76" i="33" s="1"/>
  <c r="AF76" i="32"/>
  <c r="L76" i="33" s="1"/>
  <c r="G76" i="32"/>
  <c r="I76" i="33" s="1"/>
  <c r="V299" i="32"/>
  <c r="T299" i="32"/>
  <c r="U299" i="32"/>
  <c r="S299" i="32"/>
  <c r="G161" i="32"/>
  <c r="I161" i="33" s="1"/>
  <c r="N161" i="33" s="1"/>
  <c r="AF161" i="32"/>
  <c r="L161" i="33" s="1"/>
  <c r="AG161" i="32"/>
  <c r="M161" i="33" s="1"/>
  <c r="G231" i="32"/>
  <c r="I231" i="33" s="1"/>
  <c r="AF231" i="32"/>
  <c r="L231" i="33" s="1"/>
  <c r="AG231" i="32"/>
  <c r="M231" i="33" s="1"/>
  <c r="G162" i="32"/>
  <c r="I162" i="33" s="1"/>
  <c r="N162" i="33" s="1"/>
  <c r="AG162" i="32"/>
  <c r="M162" i="33" s="1"/>
  <c r="AF162" i="32"/>
  <c r="L162" i="33" s="1"/>
  <c r="H283" i="32"/>
  <c r="J283" i="33" s="1"/>
  <c r="G282" i="32"/>
  <c r="I282" i="33" s="1"/>
  <c r="H163" i="32"/>
  <c r="J163" i="33" s="1"/>
  <c r="X155" i="20"/>
  <c r="AE49" i="33"/>
  <c r="AE51" i="33"/>
  <c r="AE53" i="33"/>
  <c r="AE54" i="33"/>
  <c r="AE52" i="33"/>
  <c r="AE50" i="33"/>
  <c r="X147" i="20"/>
  <c r="Y101" i="20"/>
  <c r="Y109" i="20"/>
  <c r="X153" i="20"/>
  <c r="O280" i="33"/>
  <c r="N280" i="33"/>
  <c r="O230" i="33"/>
  <c r="N230" i="33"/>
  <c r="N75" i="33"/>
  <c r="O75" i="33"/>
  <c r="X151" i="20"/>
  <c r="X163" i="20"/>
  <c r="X145" i="20"/>
  <c r="X149" i="20"/>
  <c r="X159" i="20"/>
  <c r="X161" i="20"/>
  <c r="X157" i="20"/>
  <c r="Z107" i="20"/>
  <c r="Z105" i="20"/>
  <c r="Z103" i="20"/>
  <c r="AF108" i="16"/>
  <c r="AV108" i="32" s="1"/>
  <c r="AW108" i="32" s="1"/>
  <c r="AF104" i="16"/>
  <c r="AV104" i="32" s="1"/>
  <c r="AW104" i="32" s="1"/>
  <c r="AF100" i="16"/>
  <c r="AV100" i="32" s="1"/>
  <c r="AW100" i="32" s="1"/>
  <c r="AF102" i="16"/>
  <c r="AV102" i="32" s="1"/>
  <c r="AW102" i="32" s="1"/>
  <c r="AF106" i="16"/>
  <c r="AV106" i="32" s="1"/>
  <c r="AW106" i="32" s="1"/>
  <c r="AR60" i="28"/>
  <c r="AF93" i="16"/>
  <c r="AV93" i="32" s="1"/>
  <c r="AR92" i="16"/>
  <c r="AO92" i="16"/>
  <c r="AR91" i="16"/>
  <c r="AO91" i="16"/>
  <c r="AF91" i="16"/>
  <c r="AV91" i="32" s="1"/>
  <c r="AW91" i="32" s="1"/>
  <c r="AR90" i="16"/>
  <c r="AO90" i="16"/>
  <c r="AF90" i="16"/>
  <c r="AV90" i="32" s="1"/>
  <c r="AW90" i="32" s="1"/>
  <c r="AG88" i="16"/>
  <c r="AG86" i="16"/>
  <c r="AG84" i="16"/>
  <c r="AG82" i="16"/>
  <c r="AG80" i="16"/>
  <c r="AF70" i="16"/>
  <c r="AV70" i="32" s="1"/>
  <c r="AF65" i="16"/>
  <c r="AV65" i="32" s="1"/>
  <c r="AP61" i="16"/>
  <c r="AP57" i="16"/>
  <c r="AH57" i="16"/>
  <c r="AG57" i="16"/>
  <c r="O88" i="20"/>
  <c r="A76" i="20"/>
  <c r="B76" i="20"/>
  <c r="C76" i="20"/>
  <c r="E76" i="20"/>
  <c r="F76" i="20"/>
  <c r="G76" i="20"/>
  <c r="H76" i="20"/>
  <c r="I76" i="20" s="1"/>
  <c r="J76" i="20"/>
  <c r="L76" i="20"/>
  <c r="M76" i="20"/>
  <c r="N76" i="20"/>
  <c r="O76" i="20"/>
  <c r="R76" i="20"/>
  <c r="S76" i="20" s="1"/>
  <c r="T76" i="20"/>
  <c r="U76" i="20"/>
  <c r="V76" i="20"/>
  <c r="W76" i="20"/>
  <c r="X76" i="20"/>
  <c r="A77" i="20"/>
  <c r="B77" i="20"/>
  <c r="C77" i="20"/>
  <c r="E77" i="20"/>
  <c r="F77" i="20"/>
  <c r="G77" i="20"/>
  <c r="H77" i="20"/>
  <c r="I77" i="20" s="1"/>
  <c r="J77" i="20"/>
  <c r="K77" i="20"/>
  <c r="L77" i="20"/>
  <c r="M77" i="20"/>
  <c r="N77" i="20"/>
  <c r="O77" i="20"/>
  <c r="P77" i="20"/>
  <c r="Q77" i="20"/>
  <c r="R77" i="20"/>
  <c r="S77" i="20" s="1"/>
  <c r="T77" i="20"/>
  <c r="U77" i="20"/>
  <c r="V77" i="20"/>
  <c r="W77" i="20"/>
  <c r="X77" i="20"/>
  <c r="A78" i="20"/>
  <c r="B78" i="20"/>
  <c r="C78" i="20"/>
  <c r="E78" i="20"/>
  <c r="F78" i="20"/>
  <c r="G78" i="20"/>
  <c r="H78" i="20"/>
  <c r="I78" i="20" s="1"/>
  <c r="J78" i="20"/>
  <c r="K78" i="20"/>
  <c r="L78" i="20"/>
  <c r="M78" i="20"/>
  <c r="N78" i="20"/>
  <c r="O78" i="20"/>
  <c r="P78" i="20"/>
  <c r="Q78" i="20"/>
  <c r="R78" i="20"/>
  <c r="S78" i="20" s="1"/>
  <c r="T78" i="20"/>
  <c r="U78" i="20"/>
  <c r="V78" i="20"/>
  <c r="W78" i="20"/>
  <c r="X78" i="20"/>
  <c r="A79" i="20"/>
  <c r="B79" i="20"/>
  <c r="C79" i="20"/>
  <c r="E79" i="20"/>
  <c r="F79" i="20"/>
  <c r="G79" i="20"/>
  <c r="H79" i="20"/>
  <c r="I79" i="20" s="1"/>
  <c r="J79" i="20"/>
  <c r="K79" i="20"/>
  <c r="L79" i="20"/>
  <c r="M79" i="20"/>
  <c r="N79" i="20"/>
  <c r="O79" i="20"/>
  <c r="P79" i="20"/>
  <c r="Q79" i="20"/>
  <c r="R79" i="20"/>
  <c r="S79" i="20" s="1"/>
  <c r="T79" i="20"/>
  <c r="U79" i="20"/>
  <c r="V79" i="20"/>
  <c r="W79" i="20"/>
  <c r="X79" i="20"/>
  <c r="A80" i="20"/>
  <c r="B80" i="20"/>
  <c r="C80" i="20"/>
  <c r="E80" i="20"/>
  <c r="F80" i="20"/>
  <c r="G80" i="20"/>
  <c r="H80" i="20"/>
  <c r="I80" i="20" s="1"/>
  <c r="J80" i="20"/>
  <c r="K80" i="20"/>
  <c r="L80" i="20"/>
  <c r="M80" i="20"/>
  <c r="N80" i="20"/>
  <c r="O80" i="20"/>
  <c r="P80" i="20"/>
  <c r="Q80" i="20"/>
  <c r="R80" i="20"/>
  <c r="S80" i="20" s="1"/>
  <c r="T80" i="20"/>
  <c r="U80" i="20"/>
  <c r="V80" i="20"/>
  <c r="W80" i="20"/>
  <c r="X80" i="20"/>
  <c r="A81" i="20"/>
  <c r="B81" i="20"/>
  <c r="C81" i="20"/>
  <c r="E81" i="20"/>
  <c r="F81" i="20"/>
  <c r="G81" i="20"/>
  <c r="H81" i="20"/>
  <c r="I81" i="20" s="1"/>
  <c r="J81" i="20"/>
  <c r="K81" i="20"/>
  <c r="L81" i="20"/>
  <c r="M81" i="20"/>
  <c r="O81" i="20"/>
  <c r="R81" i="20"/>
  <c r="S81" i="20" s="1"/>
  <c r="T81" i="20"/>
  <c r="U81" i="20"/>
  <c r="V81" i="20"/>
  <c r="W81" i="20"/>
  <c r="A82" i="20"/>
  <c r="B82" i="20"/>
  <c r="C82" i="20"/>
  <c r="E82" i="20"/>
  <c r="F82" i="20"/>
  <c r="G82" i="20"/>
  <c r="H82" i="20"/>
  <c r="I82" i="20" s="1"/>
  <c r="J82" i="20"/>
  <c r="K82" i="20"/>
  <c r="L82" i="20"/>
  <c r="M82" i="20"/>
  <c r="N82" i="20"/>
  <c r="O82" i="20"/>
  <c r="P82" i="20"/>
  <c r="Q82" i="20"/>
  <c r="R82" i="20"/>
  <c r="S82" i="20" s="1"/>
  <c r="T82" i="20"/>
  <c r="U82" i="20"/>
  <c r="V82" i="20"/>
  <c r="W82" i="20"/>
  <c r="X82" i="20"/>
  <c r="A83" i="20"/>
  <c r="B83" i="20"/>
  <c r="C83" i="20"/>
  <c r="E83" i="20"/>
  <c r="F83" i="20"/>
  <c r="G83" i="20"/>
  <c r="H83" i="20"/>
  <c r="I83" i="20" s="1"/>
  <c r="J83" i="20"/>
  <c r="K83" i="20"/>
  <c r="L83" i="20"/>
  <c r="M83" i="20"/>
  <c r="O83" i="20"/>
  <c r="R83" i="20"/>
  <c r="S83" i="20" s="1"/>
  <c r="T83" i="20"/>
  <c r="U83" i="20"/>
  <c r="V83" i="20"/>
  <c r="W83" i="20"/>
  <c r="A84" i="20"/>
  <c r="B84" i="20"/>
  <c r="C84" i="20"/>
  <c r="E84" i="20"/>
  <c r="F84" i="20"/>
  <c r="G84" i="20"/>
  <c r="H84" i="20"/>
  <c r="I84" i="20" s="1"/>
  <c r="J84" i="20"/>
  <c r="K84" i="20"/>
  <c r="L84" i="20"/>
  <c r="M84" i="20"/>
  <c r="N84" i="20"/>
  <c r="O84" i="20"/>
  <c r="P84" i="20"/>
  <c r="Q84" i="20"/>
  <c r="R84" i="20"/>
  <c r="S84" i="20" s="1"/>
  <c r="T84" i="20"/>
  <c r="U84" i="20"/>
  <c r="V84" i="20"/>
  <c r="W84" i="20"/>
  <c r="X84" i="20"/>
  <c r="A85" i="20"/>
  <c r="B85" i="20"/>
  <c r="C85" i="20"/>
  <c r="E85" i="20"/>
  <c r="F85" i="20"/>
  <c r="G85" i="20"/>
  <c r="H85" i="20"/>
  <c r="I85" i="20" s="1"/>
  <c r="J85" i="20"/>
  <c r="K85" i="20"/>
  <c r="L85" i="20"/>
  <c r="N85" i="20"/>
  <c r="R85" i="20"/>
  <c r="S85" i="20" s="1"/>
  <c r="T85" i="20"/>
  <c r="U85" i="20"/>
  <c r="V85" i="20"/>
  <c r="W85" i="20"/>
  <c r="A86" i="20"/>
  <c r="B86" i="20"/>
  <c r="C86" i="20"/>
  <c r="E86" i="20"/>
  <c r="F86" i="20"/>
  <c r="G86" i="20"/>
  <c r="H86" i="20"/>
  <c r="I86" i="20" s="1"/>
  <c r="J86" i="20"/>
  <c r="K86" i="20"/>
  <c r="L86" i="20"/>
  <c r="M86" i="20"/>
  <c r="N86" i="20"/>
  <c r="O86" i="20"/>
  <c r="P86" i="20"/>
  <c r="Q86" i="20"/>
  <c r="R86" i="20"/>
  <c r="S86" i="20" s="1"/>
  <c r="T86" i="20"/>
  <c r="U86" i="20"/>
  <c r="V86" i="20"/>
  <c r="W86" i="20"/>
  <c r="X86" i="20"/>
  <c r="A87" i="20"/>
  <c r="B87" i="20"/>
  <c r="C87" i="20"/>
  <c r="E87" i="20"/>
  <c r="F87" i="20"/>
  <c r="G87" i="20"/>
  <c r="H87" i="20"/>
  <c r="I87" i="20" s="1"/>
  <c r="J87" i="20"/>
  <c r="K87" i="20"/>
  <c r="L87" i="20"/>
  <c r="N87" i="20"/>
  <c r="R87" i="20"/>
  <c r="S87" i="20" s="1"/>
  <c r="T87" i="20"/>
  <c r="U87" i="20"/>
  <c r="V87" i="20"/>
  <c r="W87" i="20"/>
  <c r="A88" i="20"/>
  <c r="B88" i="20"/>
  <c r="C88" i="20"/>
  <c r="E88" i="20"/>
  <c r="F88" i="20"/>
  <c r="G88" i="20"/>
  <c r="H88" i="20"/>
  <c r="I88" i="20" s="1"/>
  <c r="J88" i="20"/>
  <c r="K88" i="20"/>
  <c r="L88" i="20"/>
  <c r="M88" i="20"/>
  <c r="N88" i="20"/>
  <c r="P88" i="20"/>
  <c r="Q88" i="20"/>
  <c r="R88" i="20"/>
  <c r="S88" i="20" s="1"/>
  <c r="T88" i="20"/>
  <c r="U88" i="20"/>
  <c r="V88" i="20"/>
  <c r="W88" i="20"/>
  <c r="X88" i="20"/>
  <c r="A89" i="20"/>
  <c r="B89" i="20"/>
  <c r="C89" i="20"/>
  <c r="E89" i="20"/>
  <c r="F89" i="20"/>
  <c r="G89" i="20"/>
  <c r="H89" i="20"/>
  <c r="I89" i="20" s="1"/>
  <c r="J89" i="20"/>
  <c r="K89" i="20"/>
  <c r="L89" i="20"/>
  <c r="N89" i="20"/>
  <c r="R89" i="20"/>
  <c r="S89" i="20" s="1"/>
  <c r="T89" i="20"/>
  <c r="U89" i="20"/>
  <c r="V89" i="20"/>
  <c r="W89" i="20"/>
  <c r="A90" i="20"/>
  <c r="B90" i="20"/>
  <c r="C90" i="20"/>
  <c r="E90" i="20"/>
  <c r="F90" i="20"/>
  <c r="G90" i="20"/>
  <c r="H90" i="20"/>
  <c r="I90" i="20" s="1"/>
  <c r="J90" i="20"/>
  <c r="K90" i="20"/>
  <c r="L90" i="20"/>
  <c r="M90" i="20"/>
  <c r="N90" i="20"/>
  <c r="O90" i="20"/>
  <c r="P90" i="20"/>
  <c r="Q90" i="20"/>
  <c r="R90" i="20"/>
  <c r="S90" i="20" s="1"/>
  <c r="T90" i="20"/>
  <c r="U90" i="20"/>
  <c r="V90" i="20"/>
  <c r="W90" i="20"/>
  <c r="X90" i="20"/>
  <c r="A91" i="20"/>
  <c r="B91" i="20"/>
  <c r="C91" i="20"/>
  <c r="E91" i="20"/>
  <c r="F91" i="20"/>
  <c r="G91" i="20"/>
  <c r="H91" i="20"/>
  <c r="I91" i="20" s="1"/>
  <c r="J91" i="20"/>
  <c r="K91" i="20"/>
  <c r="L91" i="20"/>
  <c r="M91" i="20"/>
  <c r="N91" i="20"/>
  <c r="O91" i="20"/>
  <c r="Q91" i="20"/>
  <c r="R91" i="20"/>
  <c r="S91" i="20" s="1"/>
  <c r="T91" i="20"/>
  <c r="U91" i="20"/>
  <c r="V91" i="20"/>
  <c r="W91" i="20"/>
  <c r="A92" i="20"/>
  <c r="B92" i="20"/>
  <c r="C92" i="20"/>
  <c r="E92" i="20"/>
  <c r="F92" i="20"/>
  <c r="G92" i="20"/>
  <c r="H92" i="20"/>
  <c r="I92" i="20" s="1"/>
  <c r="J92" i="20"/>
  <c r="K92" i="20"/>
  <c r="L92" i="20"/>
  <c r="M92" i="20"/>
  <c r="N92" i="20"/>
  <c r="O92" i="20"/>
  <c r="Q92" i="20"/>
  <c r="R92" i="20"/>
  <c r="S92" i="20" s="1"/>
  <c r="T92" i="20"/>
  <c r="U92" i="20"/>
  <c r="V92" i="20"/>
  <c r="W92" i="20"/>
  <c r="A93" i="20"/>
  <c r="B93" i="20"/>
  <c r="C93" i="20"/>
  <c r="E93" i="20"/>
  <c r="F93" i="20"/>
  <c r="G93" i="20"/>
  <c r="H93" i="20"/>
  <c r="I93" i="20" s="1"/>
  <c r="J93" i="20"/>
  <c r="K93" i="20"/>
  <c r="L93" i="20"/>
  <c r="M93" i="20"/>
  <c r="N93" i="20"/>
  <c r="O93" i="20"/>
  <c r="Q93" i="20"/>
  <c r="R93" i="20"/>
  <c r="S93" i="20" s="1"/>
  <c r="T93" i="20"/>
  <c r="U93" i="20"/>
  <c r="V93" i="20"/>
  <c r="W93" i="20"/>
  <c r="X93" i="20"/>
  <c r="A94" i="20"/>
  <c r="B94" i="20"/>
  <c r="C94" i="20"/>
  <c r="E94" i="20"/>
  <c r="F94" i="20"/>
  <c r="G94" i="20"/>
  <c r="H94" i="20"/>
  <c r="I94" i="20" s="1"/>
  <c r="J94" i="20"/>
  <c r="K94" i="20"/>
  <c r="L94" i="20"/>
  <c r="N94" i="20"/>
  <c r="R94" i="20"/>
  <c r="S94" i="20" s="1"/>
  <c r="T94" i="20"/>
  <c r="U94" i="20"/>
  <c r="V94" i="20"/>
  <c r="W94" i="20"/>
  <c r="A95" i="20"/>
  <c r="B95" i="20"/>
  <c r="C95" i="20"/>
  <c r="E95" i="20"/>
  <c r="F95" i="20"/>
  <c r="G95" i="20"/>
  <c r="H95" i="20"/>
  <c r="I95" i="20" s="1"/>
  <c r="J95" i="20"/>
  <c r="K95" i="20"/>
  <c r="L95" i="20"/>
  <c r="M95" i="20"/>
  <c r="N95" i="20"/>
  <c r="O95" i="20"/>
  <c r="P95" i="20"/>
  <c r="Q95" i="20"/>
  <c r="R95" i="20"/>
  <c r="S95" i="20" s="1"/>
  <c r="T95" i="20"/>
  <c r="U95" i="20"/>
  <c r="V95" i="20"/>
  <c r="W95" i="20"/>
  <c r="X95" i="20"/>
  <c r="A96" i="20"/>
  <c r="B96" i="20"/>
  <c r="C96" i="20"/>
  <c r="E96" i="20"/>
  <c r="F96" i="20"/>
  <c r="G96" i="20"/>
  <c r="H96" i="20"/>
  <c r="I96" i="20" s="1"/>
  <c r="J96" i="20"/>
  <c r="K96" i="20"/>
  <c r="L96" i="20"/>
  <c r="N96" i="20"/>
  <c r="R96" i="20"/>
  <c r="S96" i="20" s="1"/>
  <c r="T96" i="20"/>
  <c r="U96" i="20"/>
  <c r="V96" i="20"/>
  <c r="W96" i="20"/>
  <c r="X96" i="20"/>
  <c r="A97" i="20"/>
  <c r="B97" i="20"/>
  <c r="C97" i="20"/>
  <c r="E97" i="20"/>
  <c r="F97" i="20"/>
  <c r="G97" i="20"/>
  <c r="H97" i="20"/>
  <c r="I97" i="20" s="1"/>
  <c r="J97" i="20"/>
  <c r="K97" i="20"/>
  <c r="L97" i="20"/>
  <c r="M97" i="20"/>
  <c r="N97" i="20"/>
  <c r="O97" i="20"/>
  <c r="P97" i="20"/>
  <c r="Q97" i="20"/>
  <c r="R97" i="20"/>
  <c r="S97" i="20" s="1"/>
  <c r="T97" i="20"/>
  <c r="U97" i="20"/>
  <c r="V97" i="20"/>
  <c r="W97" i="20"/>
  <c r="X97" i="20"/>
  <c r="A98" i="20"/>
  <c r="B98" i="20"/>
  <c r="C98" i="20"/>
  <c r="E98" i="20"/>
  <c r="F98" i="20"/>
  <c r="G98" i="20"/>
  <c r="H98" i="20"/>
  <c r="I98" i="20" s="1"/>
  <c r="J98" i="20"/>
  <c r="K98" i="20"/>
  <c r="L98" i="20"/>
  <c r="M98" i="20"/>
  <c r="N98" i="20"/>
  <c r="O98" i="20"/>
  <c r="Q98" i="20"/>
  <c r="R98" i="20"/>
  <c r="S98" i="20" s="1"/>
  <c r="T98" i="20"/>
  <c r="U98" i="20"/>
  <c r="V98" i="20"/>
  <c r="W98" i="20"/>
  <c r="A99" i="20"/>
  <c r="B99" i="20"/>
  <c r="C99" i="20"/>
  <c r="E99" i="20"/>
  <c r="F99" i="20"/>
  <c r="G99" i="20"/>
  <c r="H99" i="20"/>
  <c r="I99" i="20" s="1"/>
  <c r="J99" i="20"/>
  <c r="K99" i="20"/>
  <c r="L99" i="20"/>
  <c r="M99" i="20"/>
  <c r="N99" i="20"/>
  <c r="O99" i="20"/>
  <c r="Q99" i="20"/>
  <c r="R99" i="20"/>
  <c r="S99" i="20" s="1"/>
  <c r="T99" i="20"/>
  <c r="U99" i="20"/>
  <c r="V99" i="20"/>
  <c r="W99" i="20"/>
  <c r="X99" i="20"/>
  <c r="A100" i="20"/>
  <c r="B100" i="20"/>
  <c r="C100" i="20"/>
  <c r="E100" i="20"/>
  <c r="F100" i="20"/>
  <c r="G100" i="20"/>
  <c r="H100" i="20"/>
  <c r="I100" i="20" s="1"/>
  <c r="J100" i="20"/>
  <c r="K100" i="20"/>
  <c r="L100" i="20"/>
  <c r="M100" i="20"/>
  <c r="N100" i="20"/>
  <c r="O100" i="20"/>
  <c r="Q100" i="20"/>
  <c r="R100" i="20"/>
  <c r="S100" i="20" s="1"/>
  <c r="T100" i="20"/>
  <c r="U100" i="20"/>
  <c r="V100" i="20"/>
  <c r="W100" i="20"/>
  <c r="X100" i="20"/>
  <c r="A101" i="20"/>
  <c r="B101" i="20"/>
  <c r="C101" i="20"/>
  <c r="E101" i="20"/>
  <c r="F101" i="20"/>
  <c r="G101" i="20"/>
  <c r="H101" i="20"/>
  <c r="I101" i="20" s="1"/>
  <c r="J101" i="20"/>
  <c r="K101" i="20"/>
  <c r="L101" i="20"/>
  <c r="M101" i="20"/>
  <c r="N101" i="20"/>
  <c r="O101" i="20"/>
  <c r="Q101" i="20"/>
  <c r="R101" i="20"/>
  <c r="S101" i="20" s="1"/>
  <c r="T101" i="20"/>
  <c r="U101" i="20"/>
  <c r="V101" i="20"/>
  <c r="W101" i="20"/>
  <c r="A102" i="20"/>
  <c r="B102" i="20"/>
  <c r="C102" i="20"/>
  <c r="E102" i="20"/>
  <c r="F102" i="20"/>
  <c r="G102" i="20"/>
  <c r="H102" i="20"/>
  <c r="I102" i="20" s="1"/>
  <c r="J102" i="20"/>
  <c r="K102" i="20"/>
  <c r="L102" i="20"/>
  <c r="M102" i="20"/>
  <c r="N102" i="20"/>
  <c r="O102" i="20"/>
  <c r="Q102" i="20"/>
  <c r="R102" i="20"/>
  <c r="S102" i="20" s="1"/>
  <c r="T102" i="20"/>
  <c r="U102" i="20"/>
  <c r="V102" i="20"/>
  <c r="W102" i="20"/>
  <c r="X102" i="20"/>
  <c r="A103" i="20"/>
  <c r="B103" i="20"/>
  <c r="C103" i="20"/>
  <c r="E103" i="20"/>
  <c r="F103" i="20"/>
  <c r="G103" i="20"/>
  <c r="H103" i="20"/>
  <c r="I103" i="20" s="1"/>
  <c r="J103" i="20"/>
  <c r="L103" i="20"/>
  <c r="M103" i="20"/>
  <c r="N103" i="20"/>
  <c r="P103" i="20"/>
  <c r="R103" i="20"/>
  <c r="S103" i="20" s="1"/>
  <c r="T103" i="20"/>
  <c r="U103" i="20"/>
  <c r="V103" i="20"/>
  <c r="W103" i="20"/>
  <c r="A104" i="20"/>
  <c r="B104" i="20"/>
  <c r="C104" i="20"/>
  <c r="E104" i="20"/>
  <c r="F104" i="20"/>
  <c r="G104" i="20"/>
  <c r="H104" i="20"/>
  <c r="I104" i="20" s="1"/>
  <c r="J104" i="20"/>
  <c r="L104" i="20"/>
  <c r="M104" i="20"/>
  <c r="N104" i="20"/>
  <c r="P104" i="20"/>
  <c r="R104" i="20"/>
  <c r="S104" i="20" s="1"/>
  <c r="T104" i="20"/>
  <c r="U104" i="20"/>
  <c r="V104" i="20"/>
  <c r="W104" i="20"/>
  <c r="X104" i="20"/>
  <c r="A105" i="20"/>
  <c r="B105" i="20"/>
  <c r="C105" i="20"/>
  <c r="E105" i="20"/>
  <c r="F105" i="20"/>
  <c r="G105" i="20"/>
  <c r="H105" i="20"/>
  <c r="I105" i="20" s="1"/>
  <c r="J105" i="20"/>
  <c r="L105" i="20"/>
  <c r="M105" i="20"/>
  <c r="N105" i="20"/>
  <c r="O105" i="20"/>
  <c r="P105" i="20"/>
  <c r="R105" i="20"/>
  <c r="S105" i="20" s="1"/>
  <c r="T105" i="20"/>
  <c r="V105" i="20"/>
  <c r="W105" i="20"/>
  <c r="A106" i="20"/>
  <c r="B106" i="20"/>
  <c r="C106" i="20"/>
  <c r="E106" i="20"/>
  <c r="F106" i="20"/>
  <c r="G106" i="20"/>
  <c r="H106" i="20"/>
  <c r="I106" i="20" s="1"/>
  <c r="J106" i="20"/>
  <c r="L106" i="20"/>
  <c r="M106" i="20"/>
  <c r="N106" i="20"/>
  <c r="O106" i="20"/>
  <c r="P106" i="20"/>
  <c r="R106" i="20"/>
  <c r="S106" i="20" s="1"/>
  <c r="T106" i="20"/>
  <c r="U106" i="20"/>
  <c r="V106" i="20"/>
  <c r="W106" i="20"/>
  <c r="X106" i="20"/>
  <c r="A107" i="20"/>
  <c r="B107" i="20"/>
  <c r="C107" i="20"/>
  <c r="E107" i="20"/>
  <c r="F107" i="20"/>
  <c r="G107" i="20"/>
  <c r="H107" i="20"/>
  <c r="I107" i="20" s="1"/>
  <c r="J107" i="20"/>
  <c r="L107" i="20"/>
  <c r="M107" i="20"/>
  <c r="N107" i="20"/>
  <c r="O107" i="20"/>
  <c r="P107" i="20"/>
  <c r="R107" i="20"/>
  <c r="S107" i="20" s="1"/>
  <c r="T107" i="20"/>
  <c r="U107" i="20"/>
  <c r="V107" i="20"/>
  <c r="W107" i="20"/>
  <c r="A108" i="20"/>
  <c r="B108" i="20"/>
  <c r="C108" i="20"/>
  <c r="E108" i="20"/>
  <c r="F108" i="20"/>
  <c r="G108" i="20"/>
  <c r="H108" i="20"/>
  <c r="I108" i="20" s="1"/>
  <c r="J108" i="20"/>
  <c r="L108" i="20"/>
  <c r="M108" i="20"/>
  <c r="N108" i="20"/>
  <c r="O108" i="20"/>
  <c r="P108" i="20"/>
  <c r="R108" i="20"/>
  <c r="S108" i="20" s="1"/>
  <c r="T108" i="20"/>
  <c r="U108" i="20"/>
  <c r="V108" i="20"/>
  <c r="W108" i="20"/>
  <c r="X108" i="20"/>
  <c r="AS107" i="16"/>
  <c r="Y107" i="33" s="1"/>
  <c r="BA107" i="32" s="1"/>
  <c r="AP107" i="16"/>
  <c r="V107" i="33" s="1"/>
  <c r="AS106" i="16"/>
  <c r="Y106" i="33" s="1"/>
  <c r="BA106" i="32" s="1"/>
  <c r="AP106" i="16"/>
  <c r="V106" i="33" s="1"/>
  <c r="AS105" i="16"/>
  <c r="Y105" i="33" s="1"/>
  <c r="BA105" i="32" s="1"/>
  <c r="AP105" i="16"/>
  <c r="V105" i="33" s="1"/>
  <c r="AS104" i="16"/>
  <c r="Y104" i="33" s="1"/>
  <c r="BA104" i="32" s="1"/>
  <c r="AP104" i="16"/>
  <c r="V104" i="33" s="1"/>
  <c r="M110" i="20"/>
  <c r="M109" i="20"/>
  <c r="W103" i="16"/>
  <c r="W102" i="16"/>
  <c r="X101" i="16"/>
  <c r="X100" i="16"/>
  <c r="X99" i="16"/>
  <c r="X98" i="16"/>
  <c r="X97" i="16"/>
  <c r="W280" i="32" l="1"/>
  <c r="W265" i="32"/>
  <c r="X282" i="32"/>
  <c r="X283" i="32" s="1"/>
  <c r="V283" i="32" s="1"/>
  <c r="Z281" i="32"/>
  <c r="V281" i="32"/>
  <c r="U281" i="32"/>
  <c r="T281" i="32"/>
  <c r="S281" i="32"/>
  <c r="Z266" i="32"/>
  <c r="AB266" i="32" s="1"/>
  <c r="V266" i="32"/>
  <c r="T266" i="32"/>
  <c r="S266" i="32"/>
  <c r="U266" i="32"/>
  <c r="AC266" i="32"/>
  <c r="AF266" i="32" s="1"/>
  <c r="L266" i="33" s="1"/>
  <c r="AD266" i="32"/>
  <c r="AG266" i="32" s="1"/>
  <c r="M266" i="33" s="1"/>
  <c r="Y294" i="32"/>
  <c r="AA293" i="32"/>
  <c r="AC293" i="32"/>
  <c r="AD292" i="32"/>
  <c r="AB292" i="32"/>
  <c r="AA277" i="32"/>
  <c r="Y278" i="32"/>
  <c r="AC277" i="32"/>
  <c r="AF277" i="32" s="1"/>
  <c r="L277" i="33" s="1"/>
  <c r="AD276" i="32"/>
  <c r="AG276" i="32" s="1"/>
  <c r="M276" i="33" s="1"/>
  <c r="AB276" i="32"/>
  <c r="X301" i="32"/>
  <c r="Z300" i="32"/>
  <c r="AV94" i="32"/>
  <c r="AW94" i="32" s="1"/>
  <c r="AW93" i="32"/>
  <c r="AV66" i="32"/>
  <c r="AW65" i="32"/>
  <c r="AV71" i="32"/>
  <c r="AW70" i="32"/>
  <c r="AV276" i="32"/>
  <c r="AW275" i="32"/>
  <c r="AV292" i="32"/>
  <c r="AW291" i="32"/>
  <c r="W299" i="32"/>
  <c r="O161" i="33"/>
  <c r="O162" i="33"/>
  <c r="J77" i="33"/>
  <c r="G77" i="32"/>
  <c r="I77" i="33" s="1"/>
  <c r="AF77" i="32"/>
  <c r="L77" i="33" s="1"/>
  <c r="AG77" i="32"/>
  <c r="M77" i="33" s="1"/>
  <c r="V300" i="32"/>
  <c r="T300" i="32"/>
  <c r="S300" i="32"/>
  <c r="U300" i="32"/>
  <c r="U283" i="32"/>
  <c r="G163" i="32"/>
  <c r="I163" i="33" s="1"/>
  <c r="O163" i="33" s="1"/>
  <c r="AF163" i="32"/>
  <c r="L163" i="33" s="1"/>
  <c r="AG163" i="32"/>
  <c r="M163" i="33" s="1"/>
  <c r="H284" i="32"/>
  <c r="J284" i="33" s="1"/>
  <c r="G283" i="32"/>
  <c r="I283" i="33" s="1"/>
  <c r="AA65" i="33"/>
  <c r="AC65" i="33"/>
  <c r="AD65" i="33"/>
  <c r="AE70" i="33"/>
  <c r="AC70" i="33"/>
  <c r="AE65" i="33"/>
  <c r="AB70" i="33"/>
  <c r="Z70" i="33"/>
  <c r="Z65" i="33"/>
  <c r="AD70" i="33"/>
  <c r="AA70" i="33"/>
  <c r="AB65" i="33"/>
  <c r="AB75" i="33"/>
  <c r="Z75" i="33"/>
  <c r="AE75" i="33"/>
  <c r="AA75" i="33"/>
  <c r="AD75" i="33"/>
  <c r="AC75" i="33"/>
  <c r="X101" i="20"/>
  <c r="Y58" i="20"/>
  <c r="Z58" i="20"/>
  <c r="X109" i="20"/>
  <c r="AG92" i="20"/>
  <c r="U91" i="33"/>
  <c r="AJ92" i="20"/>
  <c r="X91" i="33"/>
  <c r="AG93" i="20"/>
  <c r="U92" i="33"/>
  <c r="AH58" i="20"/>
  <c r="V57" i="33"/>
  <c r="AJ93" i="20"/>
  <c r="X92" i="33"/>
  <c r="AH62" i="20"/>
  <c r="V61" i="33"/>
  <c r="AG91" i="20"/>
  <c r="U90" i="33"/>
  <c r="AJ91" i="20"/>
  <c r="X90" i="33"/>
  <c r="N76" i="33"/>
  <c r="O76" i="33"/>
  <c r="O231" i="33"/>
  <c r="N231" i="33"/>
  <c r="O281" i="33"/>
  <c r="N281" i="33"/>
  <c r="AF86" i="16"/>
  <c r="AV86" i="32" s="1"/>
  <c r="Y87" i="20"/>
  <c r="AF88" i="16"/>
  <c r="AV88" i="32" s="1"/>
  <c r="Y89" i="20"/>
  <c r="AF80" i="16"/>
  <c r="AV80" i="32" s="1"/>
  <c r="Y81" i="20"/>
  <c r="AF57" i="16"/>
  <c r="AV57" i="32" s="1"/>
  <c r="AW57" i="32" s="1"/>
  <c r="AF82" i="16"/>
  <c r="AV82" i="32" s="1"/>
  <c r="Y83" i="20"/>
  <c r="AF84" i="16"/>
  <c r="AV84" i="32" s="1"/>
  <c r="Y85" i="20"/>
  <c r="AR63" i="28"/>
  <c r="S108" i="18"/>
  <c r="Q108" i="20" s="1"/>
  <c r="M108" i="18"/>
  <c r="K108" i="20" s="1"/>
  <c r="X107" i="20"/>
  <c r="S107" i="18"/>
  <c r="Q107" i="20" s="1"/>
  <c r="M107" i="18"/>
  <c r="K107" i="20" s="1"/>
  <c r="S106" i="18"/>
  <c r="Q106" i="20" s="1"/>
  <c r="M106" i="18"/>
  <c r="K106" i="20" s="1"/>
  <c r="S105" i="18"/>
  <c r="Q105" i="20" s="1"/>
  <c r="M105" i="18"/>
  <c r="K105" i="20" s="1"/>
  <c r="S104" i="18"/>
  <c r="Q104" i="20" s="1"/>
  <c r="Q104" i="18"/>
  <c r="O104" i="20" s="1"/>
  <c r="M104" i="18"/>
  <c r="K104" i="20" s="1"/>
  <c r="S103" i="18"/>
  <c r="Q103" i="20" s="1"/>
  <c r="Q103" i="18"/>
  <c r="O103" i="20" s="1"/>
  <c r="M103" i="18"/>
  <c r="K103" i="20" s="1"/>
  <c r="R100" i="18"/>
  <c r="P100" i="20" s="1"/>
  <c r="R99" i="18"/>
  <c r="P99" i="20" s="1"/>
  <c r="X98" i="20"/>
  <c r="R98" i="18"/>
  <c r="P98" i="20" s="1"/>
  <c r="S96" i="18"/>
  <c r="R96" i="18"/>
  <c r="Q96" i="18"/>
  <c r="O96" i="18"/>
  <c r="X94" i="20"/>
  <c r="S94" i="18"/>
  <c r="R94" i="18"/>
  <c r="Q94" i="18"/>
  <c r="O94" i="18"/>
  <c r="R93" i="18"/>
  <c r="X92" i="20"/>
  <c r="R92" i="18"/>
  <c r="X91" i="20"/>
  <c r="R91" i="18"/>
  <c r="S83" i="18"/>
  <c r="Q83" i="20" s="1"/>
  <c r="S81" i="18"/>
  <c r="S76" i="18"/>
  <c r="R76" i="18"/>
  <c r="M76" i="18"/>
  <c r="K76" i="20" s="1"/>
  <c r="X71" i="20"/>
  <c r="S71" i="18"/>
  <c r="R71" i="18"/>
  <c r="M71" i="18"/>
  <c r="K71" i="20" s="1"/>
  <c r="X66" i="20"/>
  <c r="S66" i="18"/>
  <c r="R66" i="18"/>
  <c r="M66" i="18"/>
  <c r="K66" i="20" s="1"/>
  <c r="R62" i="18"/>
  <c r="Q62" i="18"/>
  <c r="O62" i="20" s="1"/>
  <c r="O62" i="18"/>
  <c r="M62" i="20" s="1"/>
  <c r="R58" i="18"/>
  <c r="Q58" i="18"/>
  <c r="O58" i="18"/>
  <c r="Y95" i="16"/>
  <c r="X95" i="16"/>
  <c r="W95" i="16"/>
  <c r="U95" i="16"/>
  <c r="Y93" i="16"/>
  <c r="X93" i="16"/>
  <c r="W93" i="16"/>
  <c r="U93" i="16"/>
  <c r="X92" i="16"/>
  <c r="X91" i="16"/>
  <c r="X90" i="16"/>
  <c r="Y88" i="16"/>
  <c r="X88" i="16"/>
  <c r="W88" i="16"/>
  <c r="U88" i="16"/>
  <c r="Y86" i="16"/>
  <c r="X86" i="16"/>
  <c r="W86" i="16"/>
  <c r="U86" i="16"/>
  <c r="Q85" i="20"/>
  <c r="X84" i="16"/>
  <c r="W84" i="16"/>
  <c r="U84" i="16"/>
  <c r="X82" i="16"/>
  <c r="V82" i="16"/>
  <c r="X80" i="16"/>
  <c r="V80" i="16"/>
  <c r="Y75" i="16"/>
  <c r="X75" i="16"/>
  <c r="Y70" i="16"/>
  <c r="X70" i="16"/>
  <c r="Y65" i="16"/>
  <c r="X65" i="16"/>
  <c r="X61" i="16"/>
  <c r="X57" i="16"/>
  <c r="W57" i="16"/>
  <c r="U57" i="16"/>
  <c r="AF45" i="16"/>
  <c r="AV45" i="32" s="1"/>
  <c r="AW45" i="32" s="1"/>
  <c r="AQ50" i="28"/>
  <c r="AP50" i="28"/>
  <c r="AQ47" i="28"/>
  <c r="AP47" i="28"/>
  <c r="A59" i="20"/>
  <c r="B59" i="20"/>
  <c r="C59" i="20"/>
  <c r="E59" i="20"/>
  <c r="F59" i="20"/>
  <c r="G59" i="20"/>
  <c r="H59" i="20"/>
  <c r="I59" i="20" s="1"/>
  <c r="J59" i="20"/>
  <c r="K59" i="20"/>
  <c r="L59" i="20"/>
  <c r="M59" i="20"/>
  <c r="N59" i="20"/>
  <c r="O59" i="20"/>
  <c r="P59" i="20"/>
  <c r="Q59" i="20"/>
  <c r="R59" i="20"/>
  <c r="S59" i="20" s="1"/>
  <c r="T59" i="20"/>
  <c r="U59" i="20"/>
  <c r="V59" i="20"/>
  <c r="W59" i="20"/>
  <c r="X59" i="20"/>
  <c r="A60" i="20"/>
  <c r="B60" i="20"/>
  <c r="C60" i="20"/>
  <c r="E60" i="20"/>
  <c r="F60" i="20"/>
  <c r="G60" i="20"/>
  <c r="H60" i="20"/>
  <c r="I60" i="20" s="1"/>
  <c r="J60" i="20"/>
  <c r="K60" i="20"/>
  <c r="L60" i="20"/>
  <c r="M60" i="20"/>
  <c r="N60" i="20"/>
  <c r="O60" i="20"/>
  <c r="P60" i="20"/>
  <c r="Q60" i="20"/>
  <c r="R60" i="20"/>
  <c r="S60" i="20" s="1"/>
  <c r="T60" i="20"/>
  <c r="U60" i="20"/>
  <c r="V60" i="20"/>
  <c r="W60" i="20"/>
  <c r="X60" i="20"/>
  <c r="A61" i="20"/>
  <c r="B61" i="20"/>
  <c r="C61" i="20"/>
  <c r="E61" i="20"/>
  <c r="F61" i="20"/>
  <c r="G61" i="20"/>
  <c r="H61" i="20"/>
  <c r="I61" i="20" s="1"/>
  <c r="J61" i="20"/>
  <c r="K61" i="20"/>
  <c r="L61" i="20"/>
  <c r="M61" i="20"/>
  <c r="N61" i="20"/>
  <c r="O61" i="20"/>
  <c r="P61" i="20"/>
  <c r="Q61" i="20"/>
  <c r="R61" i="20"/>
  <c r="S61" i="20" s="1"/>
  <c r="T61" i="20"/>
  <c r="U61" i="20"/>
  <c r="V61" i="20"/>
  <c r="W61" i="20"/>
  <c r="X61" i="20"/>
  <c r="A62" i="20"/>
  <c r="B62" i="20"/>
  <c r="C62" i="20"/>
  <c r="E62" i="20"/>
  <c r="F62" i="20"/>
  <c r="G62" i="20"/>
  <c r="H62" i="20"/>
  <c r="I62" i="20" s="1"/>
  <c r="J62" i="20"/>
  <c r="K62" i="20"/>
  <c r="L62" i="20"/>
  <c r="N62" i="20"/>
  <c r="Q62" i="20"/>
  <c r="R62" i="20"/>
  <c r="S62" i="20" s="1"/>
  <c r="T62" i="20"/>
  <c r="U62" i="20"/>
  <c r="V62" i="20"/>
  <c r="W62" i="20"/>
  <c r="X62" i="20"/>
  <c r="A63" i="20"/>
  <c r="B63" i="20"/>
  <c r="C63" i="20"/>
  <c r="E63" i="20"/>
  <c r="F63" i="20"/>
  <c r="G63" i="20"/>
  <c r="H63" i="20"/>
  <c r="I63" i="20" s="1"/>
  <c r="J63" i="20"/>
  <c r="K63" i="20"/>
  <c r="L63" i="20"/>
  <c r="M63" i="20"/>
  <c r="N63" i="20"/>
  <c r="O63" i="20"/>
  <c r="P63" i="20"/>
  <c r="Q63" i="20"/>
  <c r="R63" i="20"/>
  <c r="S63" i="20" s="1"/>
  <c r="T63" i="20"/>
  <c r="U63" i="20"/>
  <c r="V63" i="20"/>
  <c r="W63" i="20"/>
  <c r="X63" i="20"/>
  <c r="A64" i="20"/>
  <c r="B64" i="20"/>
  <c r="C64" i="20"/>
  <c r="E64" i="20"/>
  <c r="F64" i="20"/>
  <c r="G64" i="20"/>
  <c r="H64" i="20"/>
  <c r="I64" i="20" s="1"/>
  <c r="J64" i="20"/>
  <c r="K64" i="20"/>
  <c r="L64" i="20"/>
  <c r="M64" i="20"/>
  <c r="N64" i="20"/>
  <c r="O64" i="20"/>
  <c r="P64" i="20"/>
  <c r="Q64" i="20"/>
  <c r="R64" i="20"/>
  <c r="S64" i="20" s="1"/>
  <c r="T64" i="20"/>
  <c r="U64" i="20"/>
  <c r="V64" i="20"/>
  <c r="W64" i="20"/>
  <c r="X64" i="20"/>
  <c r="A65" i="20"/>
  <c r="B65" i="20"/>
  <c r="C65" i="20"/>
  <c r="E65" i="20"/>
  <c r="F65" i="20"/>
  <c r="G65" i="20"/>
  <c r="H65" i="20"/>
  <c r="I65" i="20" s="1"/>
  <c r="J65" i="20"/>
  <c r="K65" i="20"/>
  <c r="L65" i="20"/>
  <c r="M65" i="20"/>
  <c r="N65" i="20"/>
  <c r="O65" i="20"/>
  <c r="P65" i="20"/>
  <c r="Q65" i="20"/>
  <c r="R65" i="20"/>
  <c r="S65" i="20" s="1"/>
  <c r="T65" i="20"/>
  <c r="U65" i="20"/>
  <c r="V65" i="20"/>
  <c r="W65" i="20"/>
  <c r="X65" i="20"/>
  <c r="A66" i="20"/>
  <c r="B66" i="20"/>
  <c r="C66" i="20"/>
  <c r="E66" i="20"/>
  <c r="F66" i="20"/>
  <c r="G66" i="20"/>
  <c r="H66" i="20"/>
  <c r="I66" i="20" s="1"/>
  <c r="J66" i="20"/>
  <c r="L66" i="20"/>
  <c r="M66" i="20"/>
  <c r="N66" i="20"/>
  <c r="O66" i="20"/>
  <c r="R66" i="20"/>
  <c r="S66" i="20" s="1"/>
  <c r="T66" i="20"/>
  <c r="U66" i="20"/>
  <c r="V66" i="20"/>
  <c r="W66" i="20"/>
  <c r="A67" i="20"/>
  <c r="B67" i="20"/>
  <c r="C67" i="20"/>
  <c r="E67" i="20"/>
  <c r="F67" i="20"/>
  <c r="G67" i="20"/>
  <c r="H67" i="20"/>
  <c r="I67" i="20" s="1"/>
  <c r="J67" i="20"/>
  <c r="K67" i="20"/>
  <c r="L67" i="20"/>
  <c r="M67" i="20"/>
  <c r="N67" i="20"/>
  <c r="O67" i="20"/>
  <c r="P67" i="20"/>
  <c r="Q67" i="20"/>
  <c r="R67" i="20"/>
  <c r="S67" i="20" s="1"/>
  <c r="T67" i="20"/>
  <c r="U67" i="20"/>
  <c r="V67" i="20"/>
  <c r="W67" i="20"/>
  <c r="X67" i="20"/>
  <c r="A68" i="20"/>
  <c r="B68" i="20"/>
  <c r="C68" i="20"/>
  <c r="E68" i="20"/>
  <c r="F68" i="20"/>
  <c r="G68" i="20"/>
  <c r="H68" i="20"/>
  <c r="I68" i="20" s="1"/>
  <c r="J68" i="20"/>
  <c r="K68" i="20"/>
  <c r="L68" i="20"/>
  <c r="M68" i="20"/>
  <c r="N68" i="20"/>
  <c r="O68" i="20"/>
  <c r="P68" i="20"/>
  <c r="Q68" i="20"/>
  <c r="R68" i="20"/>
  <c r="S68" i="20" s="1"/>
  <c r="T68" i="20"/>
  <c r="U68" i="20"/>
  <c r="V68" i="20"/>
  <c r="W68" i="20"/>
  <c r="X68" i="20"/>
  <c r="A69" i="20"/>
  <c r="B69" i="20"/>
  <c r="C69" i="20"/>
  <c r="E69" i="20"/>
  <c r="F69" i="20"/>
  <c r="G69" i="20"/>
  <c r="H69" i="20"/>
  <c r="I69" i="20" s="1"/>
  <c r="J69" i="20"/>
  <c r="K69" i="20"/>
  <c r="L69" i="20"/>
  <c r="M69" i="20"/>
  <c r="N69" i="20"/>
  <c r="O69" i="20"/>
  <c r="P69" i="20"/>
  <c r="Q69" i="20"/>
  <c r="R69" i="20"/>
  <c r="S69" i="20" s="1"/>
  <c r="T69" i="20"/>
  <c r="U69" i="20"/>
  <c r="V69" i="20"/>
  <c r="W69" i="20"/>
  <c r="X69" i="20"/>
  <c r="A70" i="20"/>
  <c r="B70" i="20"/>
  <c r="C70" i="20"/>
  <c r="E70" i="20"/>
  <c r="F70" i="20"/>
  <c r="G70" i="20"/>
  <c r="H70" i="20"/>
  <c r="I70" i="20" s="1"/>
  <c r="J70" i="20"/>
  <c r="K70" i="20"/>
  <c r="L70" i="20"/>
  <c r="M70" i="20"/>
  <c r="N70" i="20"/>
  <c r="O70" i="20"/>
  <c r="P70" i="20"/>
  <c r="Q70" i="20"/>
  <c r="R70" i="20"/>
  <c r="S70" i="20" s="1"/>
  <c r="T70" i="20"/>
  <c r="U70" i="20"/>
  <c r="V70" i="20"/>
  <c r="W70" i="20"/>
  <c r="X70" i="20"/>
  <c r="A71" i="20"/>
  <c r="B71" i="20"/>
  <c r="C71" i="20"/>
  <c r="E71" i="20"/>
  <c r="F71" i="20"/>
  <c r="G71" i="20"/>
  <c r="H71" i="20"/>
  <c r="I71" i="20" s="1"/>
  <c r="J71" i="20"/>
  <c r="L71" i="20"/>
  <c r="M71" i="20"/>
  <c r="N71" i="20"/>
  <c r="O71" i="20"/>
  <c r="R71" i="20"/>
  <c r="S71" i="20" s="1"/>
  <c r="T71" i="20"/>
  <c r="U71" i="20"/>
  <c r="V71" i="20"/>
  <c r="W71" i="20"/>
  <c r="A72" i="20"/>
  <c r="B72" i="20"/>
  <c r="C72" i="20"/>
  <c r="E72" i="20"/>
  <c r="F72" i="20"/>
  <c r="G72" i="20"/>
  <c r="H72" i="20"/>
  <c r="I72" i="20" s="1"/>
  <c r="J72" i="20"/>
  <c r="K72" i="20"/>
  <c r="L72" i="20"/>
  <c r="M72" i="20"/>
  <c r="N72" i="20"/>
  <c r="O72" i="20"/>
  <c r="P72" i="20"/>
  <c r="Q72" i="20"/>
  <c r="R72" i="20"/>
  <c r="S72" i="20" s="1"/>
  <c r="T72" i="20"/>
  <c r="U72" i="20"/>
  <c r="V72" i="20"/>
  <c r="W72" i="20"/>
  <c r="X72" i="20"/>
  <c r="A73" i="20"/>
  <c r="B73" i="20"/>
  <c r="C73" i="20"/>
  <c r="E73" i="20"/>
  <c r="F73" i="20"/>
  <c r="G73" i="20"/>
  <c r="H73" i="20"/>
  <c r="I73" i="20" s="1"/>
  <c r="J73" i="20"/>
  <c r="K73" i="20"/>
  <c r="L73" i="20"/>
  <c r="M73" i="20"/>
  <c r="N73" i="20"/>
  <c r="O73" i="20"/>
  <c r="P73" i="20"/>
  <c r="Q73" i="20"/>
  <c r="R73" i="20"/>
  <c r="S73" i="20" s="1"/>
  <c r="T73" i="20"/>
  <c r="U73" i="20"/>
  <c r="V73" i="20"/>
  <c r="W73" i="20"/>
  <c r="X73" i="20"/>
  <c r="A74" i="20"/>
  <c r="B74" i="20"/>
  <c r="C74" i="20"/>
  <c r="E74" i="20"/>
  <c r="F74" i="20"/>
  <c r="G74" i="20"/>
  <c r="H74" i="20"/>
  <c r="I74" i="20" s="1"/>
  <c r="J74" i="20"/>
  <c r="K74" i="20"/>
  <c r="L74" i="20"/>
  <c r="M74" i="20"/>
  <c r="N74" i="20"/>
  <c r="O74" i="20"/>
  <c r="P74" i="20"/>
  <c r="Q74" i="20"/>
  <c r="R74" i="20"/>
  <c r="S74" i="20" s="1"/>
  <c r="T74" i="20"/>
  <c r="U74" i="20"/>
  <c r="V74" i="20"/>
  <c r="W74" i="20"/>
  <c r="X74" i="20"/>
  <c r="A75" i="20"/>
  <c r="B75" i="20"/>
  <c r="C75" i="20"/>
  <c r="E75" i="20"/>
  <c r="F75" i="20"/>
  <c r="G75" i="20"/>
  <c r="H75" i="20"/>
  <c r="I75" i="20" s="1"/>
  <c r="J75" i="20"/>
  <c r="K75" i="20"/>
  <c r="L75" i="20"/>
  <c r="M75" i="20"/>
  <c r="N75" i="20"/>
  <c r="O75" i="20"/>
  <c r="P75" i="20"/>
  <c r="Q75" i="20"/>
  <c r="R75" i="20"/>
  <c r="S75" i="20" s="1"/>
  <c r="T75" i="20"/>
  <c r="U75" i="20"/>
  <c r="V75" i="20"/>
  <c r="W75" i="20"/>
  <c r="X75" i="20"/>
  <c r="R57" i="18"/>
  <c r="Z56" i="18"/>
  <c r="R56" i="18"/>
  <c r="S54" i="18"/>
  <c r="Z52" i="18"/>
  <c r="S52" i="18"/>
  <c r="AK51" i="20"/>
  <c r="Z50" i="18"/>
  <c r="S50" i="18"/>
  <c r="Z46" i="18"/>
  <c r="X56" i="16"/>
  <c r="S56" i="16"/>
  <c r="AF55" i="16"/>
  <c r="AV55" i="32" s="1"/>
  <c r="AW55" i="32" s="1"/>
  <c r="X55" i="16"/>
  <c r="S55" i="16"/>
  <c r="Y53" i="16"/>
  <c r="AF51" i="16"/>
  <c r="AV51" i="32" s="1"/>
  <c r="Y51" i="16"/>
  <c r="AF49" i="16"/>
  <c r="AV49" i="32" s="1"/>
  <c r="Y49" i="16"/>
  <c r="AM43" i="18"/>
  <c r="AM44" i="18"/>
  <c r="AM45" i="18"/>
  <c r="AM42" i="18"/>
  <c r="AJ43" i="18"/>
  <c r="AJ44" i="18"/>
  <c r="AJ45" i="18"/>
  <c r="AJ42" i="18"/>
  <c r="Z40" i="18"/>
  <c r="Z42" i="18"/>
  <c r="J26" i="20"/>
  <c r="AQ33" i="28"/>
  <c r="AP33" i="28"/>
  <c r="AQ30" i="28"/>
  <c r="AP30" i="28"/>
  <c r="AQ28" i="28"/>
  <c r="AP28" i="28"/>
  <c r="AQ27" i="28"/>
  <c r="AP27" i="28"/>
  <c r="AQ26" i="28"/>
  <c r="AP26" i="28"/>
  <c r="AQ25" i="28"/>
  <c r="AP25" i="28"/>
  <c r="A47" i="20"/>
  <c r="B47" i="20"/>
  <c r="C47" i="20"/>
  <c r="E47" i="20"/>
  <c r="F47" i="20"/>
  <c r="G47" i="20"/>
  <c r="H47" i="20"/>
  <c r="I47" i="20" s="1"/>
  <c r="J47" i="20"/>
  <c r="K47" i="20"/>
  <c r="L47" i="20"/>
  <c r="M47" i="20"/>
  <c r="N47" i="20"/>
  <c r="O47" i="20"/>
  <c r="P47" i="20"/>
  <c r="Q47" i="20"/>
  <c r="R47" i="20"/>
  <c r="S47" i="20" s="1"/>
  <c r="T47" i="20"/>
  <c r="U47" i="20"/>
  <c r="V47" i="20"/>
  <c r="W47" i="20"/>
  <c r="X47" i="20"/>
  <c r="Z47" i="20"/>
  <c r="AA47" i="20"/>
  <c r="AB47" i="20"/>
  <c r="AC47" i="20"/>
  <c r="AF47" i="20"/>
  <c r="AG47" i="20"/>
  <c r="AH47" i="20"/>
  <c r="AI47" i="20"/>
  <c r="AJ47" i="20"/>
  <c r="AK47" i="20"/>
  <c r="AL47" i="20"/>
  <c r="AM47" i="20"/>
  <c r="A48" i="20"/>
  <c r="B48" i="20"/>
  <c r="C48" i="20"/>
  <c r="E48" i="20"/>
  <c r="F48" i="20"/>
  <c r="G48" i="20"/>
  <c r="H48" i="20"/>
  <c r="I48" i="20" s="1"/>
  <c r="J48" i="20"/>
  <c r="K48" i="20"/>
  <c r="L48" i="20"/>
  <c r="M48" i="20"/>
  <c r="N48" i="20"/>
  <c r="O48" i="20"/>
  <c r="P48" i="20"/>
  <c r="Q48" i="20"/>
  <c r="R48" i="20"/>
  <c r="S48" i="20" s="1"/>
  <c r="T48" i="20"/>
  <c r="U48" i="20"/>
  <c r="V48" i="20"/>
  <c r="W48" i="20"/>
  <c r="X48" i="20"/>
  <c r="Z48" i="20"/>
  <c r="AA48" i="20"/>
  <c r="AB48" i="20"/>
  <c r="AC48" i="20"/>
  <c r="AF48" i="20"/>
  <c r="AG48" i="20"/>
  <c r="AH48" i="20"/>
  <c r="AI48" i="20"/>
  <c r="AJ48" i="20"/>
  <c r="AK48" i="20"/>
  <c r="AL48" i="20"/>
  <c r="AM48" i="20"/>
  <c r="A49" i="20"/>
  <c r="B49" i="20"/>
  <c r="C49" i="20"/>
  <c r="E49" i="20"/>
  <c r="F49" i="20"/>
  <c r="G49" i="20"/>
  <c r="H49" i="20"/>
  <c r="I49" i="20" s="1"/>
  <c r="J49" i="20"/>
  <c r="K49" i="20"/>
  <c r="L49" i="20"/>
  <c r="M49" i="20"/>
  <c r="N49" i="20"/>
  <c r="O49" i="20"/>
  <c r="P49" i="20"/>
  <c r="Q49" i="20"/>
  <c r="R49" i="20"/>
  <c r="S49" i="20" s="1"/>
  <c r="T49" i="20"/>
  <c r="U49" i="20"/>
  <c r="V49" i="20"/>
  <c r="W49" i="20"/>
  <c r="X49" i="20"/>
  <c r="Z49" i="20"/>
  <c r="AA49" i="20"/>
  <c r="AB49" i="20"/>
  <c r="AC49" i="20"/>
  <c r="AF49" i="20"/>
  <c r="AG49" i="20"/>
  <c r="AH49" i="20"/>
  <c r="AI49" i="20"/>
  <c r="AJ49" i="20"/>
  <c r="AK49" i="20"/>
  <c r="AL49" i="20"/>
  <c r="AM49" i="20"/>
  <c r="A50" i="20"/>
  <c r="B50" i="20"/>
  <c r="C50" i="20"/>
  <c r="E50" i="20"/>
  <c r="F50" i="20"/>
  <c r="G50" i="20"/>
  <c r="H50" i="20"/>
  <c r="I50" i="20" s="1"/>
  <c r="J50" i="20"/>
  <c r="K50" i="20"/>
  <c r="L50" i="20"/>
  <c r="M50" i="20"/>
  <c r="N50" i="20"/>
  <c r="O50" i="20"/>
  <c r="P50" i="20"/>
  <c r="R50" i="20"/>
  <c r="S50" i="20" s="1"/>
  <c r="T50" i="20"/>
  <c r="U50" i="20"/>
  <c r="V50" i="20"/>
  <c r="W50" i="20"/>
  <c r="Z50" i="20"/>
  <c r="AA50" i="20"/>
  <c r="AB50" i="20"/>
  <c r="AC50" i="20"/>
  <c r="AF50" i="20"/>
  <c r="AG50" i="20"/>
  <c r="AH50" i="20"/>
  <c r="AI50" i="20"/>
  <c r="AJ50" i="20"/>
  <c r="AL50" i="20"/>
  <c r="AM50" i="20"/>
  <c r="A51" i="20"/>
  <c r="B51" i="20"/>
  <c r="C51" i="20"/>
  <c r="E51" i="20"/>
  <c r="F51" i="20"/>
  <c r="G51" i="20"/>
  <c r="H51" i="20"/>
  <c r="I51" i="20" s="1"/>
  <c r="J51" i="20"/>
  <c r="K51" i="20"/>
  <c r="L51" i="20"/>
  <c r="M51" i="20"/>
  <c r="N51" i="20"/>
  <c r="O51" i="20"/>
  <c r="P51" i="20"/>
  <c r="Q51" i="20"/>
  <c r="R51" i="20"/>
  <c r="S51" i="20" s="1"/>
  <c r="T51" i="20"/>
  <c r="U51" i="20"/>
  <c r="V51" i="20"/>
  <c r="W51" i="20"/>
  <c r="X51" i="20"/>
  <c r="Z51" i="20"/>
  <c r="AA51" i="20"/>
  <c r="AB51" i="20"/>
  <c r="AC51" i="20"/>
  <c r="AF51" i="20"/>
  <c r="AG51" i="20"/>
  <c r="AH51" i="20"/>
  <c r="AI51" i="20"/>
  <c r="AJ51" i="20"/>
  <c r="AL51" i="20"/>
  <c r="AM51" i="20"/>
  <c r="A52" i="20"/>
  <c r="B52" i="20"/>
  <c r="C52" i="20"/>
  <c r="E52" i="20"/>
  <c r="F52" i="20"/>
  <c r="G52" i="20"/>
  <c r="H52" i="20"/>
  <c r="I52" i="20" s="1"/>
  <c r="J52" i="20"/>
  <c r="K52" i="20"/>
  <c r="L52" i="20"/>
  <c r="M52" i="20"/>
  <c r="N52" i="20"/>
  <c r="O52" i="20"/>
  <c r="P52" i="20"/>
  <c r="R52" i="20"/>
  <c r="S52" i="20" s="1"/>
  <c r="T52" i="20"/>
  <c r="U52" i="20"/>
  <c r="V52" i="20"/>
  <c r="W52" i="20"/>
  <c r="Z52" i="20"/>
  <c r="AA52" i="20"/>
  <c r="AB52" i="20"/>
  <c r="AC52" i="20"/>
  <c r="AF52" i="20"/>
  <c r="AG52" i="20"/>
  <c r="AH52" i="20"/>
  <c r="AI52" i="20"/>
  <c r="AJ52" i="20"/>
  <c r="AL52" i="20"/>
  <c r="AM52" i="20"/>
  <c r="A53" i="20"/>
  <c r="B53" i="20"/>
  <c r="C53" i="20"/>
  <c r="E53" i="20"/>
  <c r="F53" i="20"/>
  <c r="G53" i="20"/>
  <c r="H53" i="20"/>
  <c r="I53" i="20" s="1"/>
  <c r="J53" i="20"/>
  <c r="K53" i="20"/>
  <c r="L53" i="20"/>
  <c r="M53" i="20"/>
  <c r="N53" i="20"/>
  <c r="O53" i="20"/>
  <c r="P53" i="20"/>
  <c r="Q53" i="20"/>
  <c r="R53" i="20"/>
  <c r="S53" i="20" s="1"/>
  <c r="T53" i="20"/>
  <c r="U53" i="20"/>
  <c r="V53" i="20"/>
  <c r="W53" i="20"/>
  <c r="X53" i="20"/>
  <c r="Z53" i="20"/>
  <c r="AA53" i="20"/>
  <c r="AB53" i="20"/>
  <c r="AC53" i="20"/>
  <c r="AF53" i="20"/>
  <c r="AG53" i="20"/>
  <c r="AH53" i="20"/>
  <c r="AI53" i="20"/>
  <c r="AJ53" i="20"/>
  <c r="AL53" i="20"/>
  <c r="AM53" i="20"/>
  <c r="A54" i="20"/>
  <c r="B54" i="20"/>
  <c r="C54" i="20"/>
  <c r="E54" i="20"/>
  <c r="F54" i="20"/>
  <c r="G54" i="20"/>
  <c r="H54" i="20"/>
  <c r="I54" i="20" s="1"/>
  <c r="J54" i="20"/>
  <c r="K54" i="20"/>
  <c r="L54" i="20"/>
  <c r="M54" i="20"/>
  <c r="N54" i="20"/>
  <c r="O54" i="20"/>
  <c r="P54" i="20"/>
  <c r="R54" i="20"/>
  <c r="S54" i="20" s="1"/>
  <c r="T54" i="20"/>
  <c r="U54" i="20"/>
  <c r="V54" i="20"/>
  <c r="W54" i="20"/>
  <c r="X54" i="20"/>
  <c r="Z54" i="20"/>
  <c r="AA54" i="20"/>
  <c r="AB54" i="20"/>
  <c r="AC54" i="20"/>
  <c r="AF54" i="20"/>
  <c r="AG54" i="20"/>
  <c r="AH54" i="20"/>
  <c r="AI54" i="20"/>
  <c r="AJ54" i="20"/>
  <c r="AL54" i="20"/>
  <c r="AM54" i="20"/>
  <c r="A55" i="20"/>
  <c r="B55" i="20"/>
  <c r="C55" i="20"/>
  <c r="E55" i="20"/>
  <c r="F55" i="20"/>
  <c r="G55" i="20"/>
  <c r="H55" i="20"/>
  <c r="I55" i="20" s="1"/>
  <c r="J55" i="20"/>
  <c r="K55" i="20"/>
  <c r="L55" i="20"/>
  <c r="M55" i="20"/>
  <c r="N55" i="20"/>
  <c r="O55" i="20"/>
  <c r="P55" i="20"/>
  <c r="Q55" i="20"/>
  <c r="R55" i="20"/>
  <c r="S55" i="20" s="1"/>
  <c r="T55" i="20"/>
  <c r="U55" i="20"/>
  <c r="V55" i="20"/>
  <c r="W55" i="20"/>
  <c r="X55" i="20"/>
  <c r="Z55" i="20"/>
  <c r="AA55" i="20"/>
  <c r="AB55" i="20"/>
  <c r="AC55" i="20"/>
  <c r="AF55" i="20"/>
  <c r="AG55" i="20"/>
  <c r="AH55" i="20"/>
  <c r="AI55" i="20"/>
  <c r="AJ55" i="20"/>
  <c r="AL55" i="20"/>
  <c r="AM55" i="20"/>
  <c r="A56" i="20"/>
  <c r="B56" i="20"/>
  <c r="C56" i="20"/>
  <c r="E56" i="20"/>
  <c r="F56" i="20"/>
  <c r="G56" i="20"/>
  <c r="H56" i="20"/>
  <c r="I56" i="20" s="1"/>
  <c r="J56" i="20"/>
  <c r="L56" i="20"/>
  <c r="M56" i="20"/>
  <c r="N56" i="20"/>
  <c r="O56" i="20"/>
  <c r="Q56" i="20"/>
  <c r="R56" i="20"/>
  <c r="S56" i="20" s="1"/>
  <c r="T56" i="20"/>
  <c r="U56" i="20"/>
  <c r="V56" i="20"/>
  <c r="W56" i="20"/>
  <c r="Z56" i="20"/>
  <c r="AA56" i="20"/>
  <c r="AB56" i="20"/>
  <c r="AC56" i="20"/>
  <c r="AF56" i="20"/>
  <c r="AG56" i="20"/>
  <c r="AH56" i="20"/>
  <c r="AI56" i="20"/>
  <c r="AJ56" i="20"/>
  <c r="AK56" i="20"/>
  <c r="AL56" i="20"/>
  <c r="AM56" i="20"/>
  <c r="A57" i="20"/>
  <c r="B57" i="20"/>
  <c r="C57" i="20"/>
  <c r="E57" i="20"/>
  <c r="F57" i="20"/>
  <c r="G57" i="20"/>
  <c r="H57" i="20"/>
  <c r="I57" i="20" s="1"/>
  <c r="J57" i="20"/>
  <c r="L57" i="20"/>
  <c r="M57" i="20"/>
  <c r="N57" i="20"/>
  <c r="O57" i="20"/>
  <c r="Q57" i="20"/>
  <c r="R57" i="20"/>
  <c r="S57" i="20" s="1"/>
  <c r="T57" i="20"/>
  <c r="U57" i="20"/>
  <c r="V57" i="20"/>
  <c r="W57" i="20"/>
  <c r="X57" i="20"/>
  <c r="Z57" i="20"/>
  <c r="AA57" i="20"/>
  <c r="AB57" i="20"/>
  <c r="AC57" i="20"/>
  <c r="AF57" i="20"/>
  <c r="AG57" i="20"/>
  <c r="AH57" i="20"/>
  <c r="AI57" i="20"/>
  <c r="AJ57" i="20"/>
  <c r="AK57" i="20"/>
  <c r="AL57" i="20"/>
  <c r="AM57" i="20"/>
  <c r="A58" i="20"/>
  <c r="B58" i="20"/>
  <c r="C58" i="20"/>
  <c r="E58" i="20"/>
  <c r="F58" i="20"/>
  <c r="G58" i="20"/>
  <c r="H58" i="20"/>
  <c r="I58" i="20" s="1"/>
  <c r="J58" i="20"/>
  <c r="K58" i="20"/>
  <c r="L58" i="20"/>
  <c r="N58" i="20"/>
  <c r="Q58" i="20"/>
  <c r="R58" i="20"/>
  <c r="S58" i="20" s="1"/>
  <c r="T58" i="20"/>
  <c r="U58" i="20"/>
  <c r="V58" i="20"/>
  <c r="W58" i="20"/>
  <c r="A46" i="20"/>
  <c r="B46" i="20"/>
  <c r="C46" i="20"/>
  <c r="E46" i="20"/>
  <c r="F46" i="20"/>
  <c r="G46" i="20"/>
  <c r="H46" i="20"/>
  <c r="I46" i="20" s="1"/>
  <c r="J46" i="20"/>
  <c r="K46" i="20"/>
  <c r="L46" i="20"/>
  <c r="M46" i="20"/>
  <c r="N46" i="20"/>
  <c r="O46" i="20"/>
  <c r="P46" i="20"/>
  <c r="Q46" i="20"/>
  <c r="R46" i="20"/>
  <c r="S46" i="20" s="1"/>
  <c r="T46" i="20"/>
  <c r="U46" i="20"/>
  <c r="V46" i="20"/>
  <c r="W46" i="20"/>
  <c r="Z46" i="20"/>
  <c r="AA46" i="20"/>
  <c r="AB46" i="20"/>
  <c r="AC46" i="20"/>
  <c r="AF46" i="20"/>
  <c r="AG46" i="20"/>
  <c r="AH46" i="20"/>
  <c r="AI46" i="20"/>
  <c r="AJ46" i="20"/>
  <c r="AK46" i="20"/>
  <c r="AL46" i="20"/>
  <c r="AM46" i="20"/>
  <c r="AC40" i="20"/>
  <c r="AF40" i="20"/>
  <c r="AG40" i="20"/>
  <c r="AI40" i="20"/>
  <c r="AJ40" i="20"/>
  <c r="AL40" i="20"/>
  <c r="AC41" i="20"/>
  <c r="AF41" i="20"/>
  <c r="AG41" i="20"/>
  <c r="AI41" i="20"/>
  <c r="AJ41" i="20"/>
  <c r="AL41" i="20"/>
  <c r="AC42" i="20"/>
  <c r="AF42" i="20"/>
  <c r="AG42" i="20"/>
  <c r="AI42" i="20"/>
  <c r="AJ42" i="20"/>
  <c r="AL42" i="20"/>
  <c r="AC43" i="20"/>
  <c r="AF43" i="20"/>
  <c r="AG43" i="20"/>
  <c r="AI43" i="20"/>
  <c r="AJ43" i="20"/>
  <c r="AL43" i="20"/>
  <c r="AC44" i="20"/>
  <c r="AF44" i="20"/>
  <c r="AG44" i="20"/>
  <c r="AI44" i="20"/>
  <c r="AJ44" i="20"/>
  <c r="AL44" i="20"/>
  <c r="AC45" i="20"/>
  <c r="AF45" i="20"/>
  <c r="AG45" i="20"/>
  <c r="AI45" i="20"/>
  <c r="AJ45" i="20"/>
  <c r="AL45" i="20"/>
  <c r="Z24" i="20"/>
  <c r="Z25" i="20"/>
  <c r="Z26" i="20"/>
  <c r="O37" i="18"/>
  <c r="H36" i="20"/>
  <c r="I36" i="20" s="1"/>
  <c r="H37" i="20"/>
  <c r="I37" i="20" s="1"/>
  <c r="H38" i="20"/>
  <c r="I38" i="20" s="1"/>
  <c r="H39" i="20"/>
  <c r="I39" i="20" s="1"/>
  <c r="A21" i="20"/>
  <c r="B21" i="20"/>
  <c r="C21" i="20"/>
  <c r="E21" i="20"/>
  <c r="F21" i="20"/>
  <c r="G21" i="20"/>
  <c r="H21" i="20"/>
  <c r="I21" i="20" s="1"/>
  <c r="J21" i="20"/>
  <c r="K21" i="20"/>
  <c r="L21" i="20"/>
  <c r="M21" i="20"/>
  <c r="N21" i="20"/>
  <c r="R21" i="20"/>
  <c r="S21" i="20" s="1"/>
  <c r="T21" i="20"/>
  <c r="U21" i="20"/>
  <c r="V21" i="20"/>
  <c r="W21" i="20"/>
  <c r="Z21" i="20"/>
  <c r="AA21" i="20"/>
  <c r="AB21" i="20"/>
  <c r="AC21" i="20"/>
  <c r="AF21" i="20"/>
  <c r="AG21" i="20"/>
  <c r="AH21" i="20"/>
  <c r="AI21" i="20"/>
  <c r="AJ21" i="20"/>
  <c r="AK21" i="20"/>
  <c r="AL21" i="20"/>
  <c r="AM21" i="20"/>
  <c r="A22" i="20"/>
  <c r="B22" i="20"/>
  <c r="C22" i="20"/>
  <c r="E22" i="20"/>
  <c r="F22" i="20"/>
  <c r="G22" i="20"/>
  <c r="H22" i="20"/>
  <c r="I22" i="20" s="1"/>
  <c r="J22" i="20"/>
  <c r="K22" i="20"/>
  <c r="L22" i="20"/>
  <c r="M22" i="20"/>
  <c r="N22" i="20"/>
  <c r="R22" i="20"/>
  <c r="S22" i="20" s="1"/>
  <c r="T22" i="20"/>
  <c r="U22" i="20"/>
  <c r="V22" i="20"/>
  <c r="W22" i="20"/>
  <c r="Z22" i="20"/>
  <c r="AA22" i="20"/>
  <c r="AB22" i="20"/>
  <c r="AC22" i="20"/>
  <c r="AF22" i="20"/>
  <c r="AG22" i="20"/>
  <c r="AH22" i="20"/>
  <c r="AI22" i="20"/>
  <c r="AJ22" i="20"/>
  <c r="AK22" i="20"/>
  <c r="AL22" i="20"/>
  <c r="AM22" i="20"/>
  <c r="A23" i="20"/>
  <c r="B23" i="20"/>
  <c r="C23" i="20"/>
  <c r="E23" i="20"/>
  <c r="F23" i="20"/>
  <c r="G23" i="20"/>
  <c r="H23" i="20"/>
  <c r="I23" i="20" s="1"/>
  <c r="J23" i="20"/>
  <c r="K23" i="20"/>
  <c r="L23" i="20"/>
  <c r="M23" i="20"/>
  <c r="N23" i="20"/>
  <c r="O23" i="20"/>
  <c r="R23" i="20"/>
  <c r="S23" i="20" s="1"/>
  <c r="T23" i="20"/>
  <c r="U23" i="20"/>
  <c r="V23" i="20"/>
  <c r="W23" i="20"/>
  <c r="Z23" i="20"/>
  <c r="AA23" i="20"/>
  <c r="AB23" i="20"/>
  <c r="AC23" i="20"/>
  <c r="AF23" i="20"/>
  <c r="AG23" i="20"/>
  <c r="AH23" i="20"/>
  <c r="AI23" i="20"/>
  <c r="AJ23" i="20"/>
  <c r="AK23" i="20"/>
  <c r="AL23" i="20"/>
  <c r="AM23" i="20"/>
  <c r="A24" i="20"/>
  <c r="B24" i="20"/>
  <c r="C24" i="20"/>
  <c r="E24" i="20"/>
  <c r="F24" i="20"/>
  <c r="G24" i="20"/>
  <c r="H24" i="20"/>
  <c r="I24" i="20" s="1"/>
  <c r="J24" i="20"/>
  <c r="K24" i="20"/>
  <c r="L24" i="20"/>
  <c r="M24" i="20"/>
  <c r="N24" i="20"/>
  <c r="O24" i="20"/>
  <c r="R24" i="20"/>
  <c r="S24" i="20" s="1"/>
  <c r="T24" i="20"/>
  <c r="U24" i="20"/>
  <c r="V24" i="20"/>
  <c r="W24" i="20"/>
  <c r="AA24" i="20"/>
  <c r="AB24" i="20"/>
  <c r="AC24" i="20"/>
  <c r="AF24" i="20"/>
  <c r="AG24" i="20"/>
  <c r="AH24" i="20"/>
  <c r="AI24" i="20"/>
  <c r="AJ24" i="20"/>
  <c r="AK24" i="20"/>
  <c r="AL24" i="20"/>
  <c r="AM24" i="20"/>
  <c r="A25" i="20"/>
  <c r="B25" i="20"/>
  <c r="C25" i="20"/>
  <c r="E25" i="20"/>
  <c r="F25" i="20"/>
  <c r="G25" i="20"/>
  <c r="H25" i="20"/>
  <c r="I25" i="20" s="1"/>
  <c r="J25" i="20"/>
  <c r="K25" i="20"/>
  <c r="L25" i="20"/>
  <c r="M25" i="20"/>
  <c r="N25" i="20"/>
  <c r="O25" i="20"/>
  <c r="R25" i="20"/>
  <c r="S25" i="20" s="1"/>
  <c r="T25" i="20"/>
  <c r="U25" i="20"/>
  <c r="V25" i="20"/>
  <c r="W25" i="20"/>
  <c r="AA25" i="20"/>
  <c r="AB25" i="20"/>
  <c r="AC25" i="20"/>
  <c r="AF25" i="20"/>
  <c r="AG25" i="20"/>
  <c r="AH25" i="20"/>
  <c r="AI25" i="20"/>
  <c r="AJ25" i="20"/>
  <c r="AK25" i="20"/>
  <c r="AL25" i="20"/>
  <c r="AM25" i="20"/>
  <c r="A26" i="20"/>
  <c r="B26" i="20"/>
  <c r="C26" i="20"/>
  <c r="E26" i="20"/>
  <c r="F26" i="20"/>
  <c r="G26" i="20"/>
  <c r="H26" i="20"/>
  <c r="I26" i="20" s="1"/>
  <c r="L26" i="20"/>
  <c r="M26" i="20"/>
  <c r="N26" i="20"/>
  <c r="O26" i="20"/>
  <c r="R26" i="20"/>
  <c r="S26" i="20" s="1"/>
  <c r="T26" i="20"/>
  <c r="U26" i="20"/>
  <c r="V26" i="20"/>
  <c r="W26" i="20"/>
  <c r="AA26" i="20"/>
  <c r="AB26" i="20"/>
  <c r="AC26" i="20"/>
  <c r="AF26" i="20"/>
  <c r="AG26" i="20"/>
  <c r="AH26" i="20"/>
  <c r="AI26" i="20"/>
  <c r="AJ26" i="20"/>
  <c r="AK26" i="20"/>
  <c r="AL26" i="20"/>
  <c r="AM26" i="20"/>
  <c r="A27" i="20"/>
  <c r="B27" i="20"/>
  <c r="C27" i="20"/>
  <c r="E27" i="20"/>
  <c r="F27" i="20"/>
  <c r="G27" i="20"/>
  <c r="H27" i="20"/>
  <c r="I27" i="20" s="1"/>
  <c r="J27" i="20"/>
  <c r="K27" i="20"/>
  <c r="L27" i="20"/>
  <c r="M27" i="20"/>
  <c r="N27" i="20"/>
  <c r="O27" i="20"/>
  <c r="P27" i="20"/>
  <c r="Q27" i="20"/>
  <c r="R27" i="20"/>
  <c r="S27" i="20" s="1"/>
  <c r="T27" i="20"/>
  <c r="U27" i="20"/>
  <c r="V27" i="20"/>
  <c r="W27" i="20"/>
  <c r="X27" i="20"/>
  <c r="Z27" i="20"/>
  <c r="AA27" i="20"/>
  <c r="AB27" i="20"/>
  <c r="AC27" i="20"/>
  <c r="AI27" i="20"/>
  <c r="AJ27" i="20"/>
  <c r="AK27" i="20"/>
  <c r="AL27" i="20"/>
  <c r="AM27" i="20"/>
  <c r="A28" i="20"/>
  <c r="B28" i="20"/>
  <c r="C28" i="20"/>
  <c r="E28" i="20"/>
  <c r="F28" i="20"/>
  <c r="G28" i="20"/>
  <c r="H28" i="20"/>
  <c r="I28" i="20" s="1"/>
  <c r="J28" i="20"/>
  <c r="L28" i="20"/>
  <c r="M28" i="20"/>
  <c r="N28" i="20"/>
  <c r="O28" i="20"/>
  <c r="R28" i="20"/>
  <c r="S28" i="20" s="1"/>
  <c r="T28" i="20"/>
  <c r="U28" i="20"/>
  <c r="V28" i="20"/>
  <c r="W28" i="20"/>
  <c r="Z28" i="20"/>
  <c r="AA28" i="20"/>
  <c r="AB28" i="20"/>
  <c r="AC28" i="20"/>
  <c r="AF28" i="20"/>
  <c r="AG28" i="20"/>
  <c r="AH28" i="20"/>
  <c r="AI28" i="20"/>
  <c r="AJ28" i="20"/>
  <c r="AK28" i="20"/>
  <c r="AL28" i="20"/>
  <c r="AM28" i="20"/>
  <c r="A29" i="20"/>
  <c r="B29" i="20"/>
  <c r="C29" i="20"/>
  <c r="E29" i="20"/>
  <c r="F29" i="20"/>
  <c r="G29" i="20"/>
  <c r="H29" i="20"/>
  <c r="I29" i="20" s="1"/>
  <c r="J29" i="20"/>
  <c r="K29" i="20"/>
  <c r="L29" i="20"/>
  <c r="M29" i="20"/>
  <c r="N29" i="20"/>
  <c r="O29" i="20"/>
  <c r="P29" i="20"/>
  <c r="Q29" i="20"/>
  <c r="R29" i="20"/>
  <c r="S29" i="20" s="1"/>
  <c r="T29" i="20"/>
  <c r="U29" i="20"/>
  <c r="V29" i="20"/>
  <c r="W29" i="20"/>
  <c r="X29" i="20"/>
  <c r="Z29" i="20"/>
  <c r="AA29" i="20"/>
  <c r="AB29" i="20"/>
  <c r="AC29" i="20"/>
  <c r="AI29" i="20"/>
  <c r="AJ29" i="20"/>
  <c r="AK29" i="20"/>
  <c r="AL29" i="20"/>
  <c r="AM29" i="20"/>
  <c r="A30" i="20"/>
  <c r="B30" i="20"/>
  <c r="C30" i="20"/>
  <c r="E30" i="20"/>
  <c r="F30" i="20"/>
  <c r="G30" i="20"/>
  <c r="H30" i="20"/>
  <c r="I30" i="20" s="1"/>
  <c r="J30" i="20"/>
  <c r="L30" i="20"/>
  <c r="M30" i="20"/>
  <c r="N30" i="20"/>
  <c r="O30" i="20"/>
  <c r="R30" i="20"/>
  <c r="S30" i="20" s="1"/>
  <c r="T30" i="20"/>
  <c r="U30" i="20"/>
  <c r="V30" i="20"/>
  <c r="W30" i="20"/>
  <c r="Z30" i="20"/>
  <c r="AA30" i="20"/>
  <c r="AB30" i="20"/>
  <c r="AC30" i="20"/>
  <c r="AF30" i="20"/>
  <c r="AG30" i="20"/>
  <c r="AH30" i="20"/>
  <c r="AI30" i="20"/>
  <c r="AJ30" i="20"/>
  <c r="AK30" i="20"/>
  <c r="AL30" i="20"/>
  <c r="AM30" i="20"/>
  <c r="A31" i="20"/>
  <c r="B31" i="20"/>
  <c r="C31" i="20"/>
  <c r="E31" i="20"/>
  <c r="F31" i="20"/>
  <c r="G31" i="20"/>
  <c r="H31" i="20"/>
  <c r="I31" i="20" s="1"/>
  <c r="J31" i="20"/>
  <c r="K31" i="20"/>
  <c r="L31" i="20"/>
  <c r="M31" i="20"/>
  <c r="N31" i="20"/>
  <c r="O31" i="20"/>
  <c r="P31" i="20"/>
  <c r="Q31" i="20"/>
  <c r="R31" i="20"/>
  <c r="S31" i="20" s="1"/>
  <c r="T31" i="20"/>
  <c r="U31" i="20"/>
  <c r="V31" i="20"/>
  <c r="W31" i="20"/>
  <c r="X31" i="20"/>
  <c r="Z31" i="20"/>
  <c r="AA31" i="20"/>
  <c r="AB31" i="20"/>
  <c r="AC31" i="20"/>
  <c r="AI31" i="20"/>
  <c r="AJ31" i="20"/>
  <c r="AK31" i="20"/>
  <c r="AL31" i="20"/>
  <c r="AM31" i="20"/>
  <c r="A32" i="20"/>
  <c r="B32" i="20"/>
  <c r="C32" i="20"/>
  <c r="E32" i="20"/>
  <c r="F32" i="20"/>
  <c r="G32" i="20"/>
  <c r="H32" i="20"/>
  <c r="I32" i="20" s="1"/>
  <c r="J32" i="20"/>
  <c r="L32" i="20"/>
  <c r="M32" i="20"/>
  <c r="N32" i="20"/>
  <c r="O32" i="20"/>
  <c r="R32" i="20"/>
  <c r="S32" i="20" s="1"/>
  <c r="T32" i="20"/>
  <c r="U32" i="20"/>
  <c r="V32" i="20"/>
  <c r="W32" i="20"/>
  <c r="Z32" i="20"/>
  <c r="AA32" i="20"/>
  <c r="AB32" i="20"/>
  <c r="AC32" i="20"/>
  <c r="AF32" i="20"/>
  <c r="AG32" i="20"/>
  <c r="AH32" i="20"/>
  <c r="AI32" i="20"/>
  <c r="AJ32" i="20"/>
  <c r="AK32" i="20"/>
  <c r="AL32" i="20"/>
  <c r="AM32" i="20"/>
  <c r="A33" i="20"/>
  <c r="B33" i="20"/>
  <c r="C33" i="20"/>
  <c r="E33" i="20"/>
  <c r="F33" i="20"/>
  <c r="G33" i="20"/>
  <c r="H33" i="20"/>
  <c r="I33" i="20" s="1"/>
  <c r="J33" i="20"/>
  <c r="K33" i="20"/>
  <c r="L33" i="20"/>
  <c r="M33" i="20"/>
  <c r="N33" i="20"/>
  <c r="O33" i="20"/>
  <c r="P33" i="20"/>
  <c r="Q33" i="20"/>
  <c r="R33" i="20"/>
  <c r="S33" i="20" s="1"/>
  <c r="T33" i="20"/>
  <c r="U33" i="20"/>
  <c r="V33" i="20"/>
  <c r="W33" i="20"/>
  <c r="X33" i="20"/>
  <c r="Z33" i="20"/>
  <c r="AA33" i="20"/>
  <c r="AB33" i="20"/>
  <c r="AC33" i="20"/>
  <c r="AI33" i="20"/>
  <c r="AJ33" i="20"/>
  <c r="AK33" i="20"/>
  <c r="AL33" i="20"/>
  <c r="AM33" i="20"/>
  <c r="A34" i="20"/>
  <c r="B34" i="20"/>
  <c r="C34" i="20"/>
  <c r="E34" i="20"/>
  <c r="F34" i="20"/>
  <c r="G34" i="20"/>
  <c r="H34" i="20"/>
  <c r="I34" i="20" s="1"/>
  <c r="J34" i="20"/>
  <c r="K34" i="20"/>
  <c r="L34" i="20"/>
  <c r="O34" i="20"/>
  <c r="R34" i="20"/>
  <c r="S34" i="20" s="1"/>
  <c r="T34" i="20"/>
  <c r="U34" i="20"/>
  <c r="V34" i="20"/>
  <c r="W34" i="20"/>
  <c r="AA34" i="20"/>
  <c r="AB34" i="20"/>
  <c r="AC34" i="20"/>
  <c r="AF34" i="20"/>
  <c r="AG34" i="20"/>
  <c r="AH34" i="20"/>
  <c r="AI34" i="20"/>
  <c r="AJ34" i="20"/>
  <c r="AK34" i="20"/>
  <c r="AL34" i="20"/>
  <c r="AM34" i="20"/>
  <c r="A35" i="20"/>
  <c r="B35" i="20"/>
  <c r="C35" i="20"/>
  <c r="E35" i="20"/>
  <c r="F35" i="20"/>
  <c r="G35" i="20"/>
  <c r="H35" i="20"/>
  <c r="I35" i="20" s="1"/>
  <c r="J35" i="20"/>
  <c r="K35" i="20"/>
  <c r="L35" i="20"/>
  <c r="O35" i="20"/>
  <c r="R35" i="20"/>
  <c r="S35" i="20" s="1"/>
  <c r="T35" i="20"/>
  <c r="U35" i="20"/>
  <c r="V35" i="20"/>
  <c r="W35" i="20"/>
  <c r="X35" i="20"/>
  <c r="Z35" i="20"/>
  <c r="AA35" i="20"/>
  <c r="AB35" i="20"/>
  <c r="AC35" i="20"/>
  <c r="AF35" i="20"/>
  <c r="AG35" i="20"/>
  <c r="AH35" i="20"/>
  <c r="AI35" i="20"/>
  <c r="AJ35" i="20"/>
  <c r="AK35" i="20"/>
  <c r="AL35" i="20"/>
  <c r="AM35" i="20"/>
  <c r="A36" i="20"/>
  <c r="B36" i="20"/>
  <c r="C36" i="20"/>
  <c r="E36" i="20"/>
  <c r="F36" i="20"/>
  <c r="G36" i="20"/>
  <c r="J36" i="20"/>
  <c r="K36" i="20"/>
  <c r="L36" i="20"/>
  <c r="O36" i="20"/>
  <c r="R36" i="20"/>
  <c r="S36" i="20" s="1"/>
  <c r="T36" i="20"/>
  <c r="U36" i="20"/>
  <c r="V36" i="20"/>
  <c r="W36" i="20"/>
  <c r="AA36" i="20"/>
  <c r="AB36" i="20"/>
  <c r="AC36" i="20"/>
  <c r="AF36" i="20"/>
  <c r="AG36" i="20"/>
  <c r="AH36" i="20"/>
  <c r="AI36" i="20"/>
  <c r="AJ36" i="20"/>
  <c r="AK36" i="20"/>
  <c r="AL36" i="20"/>
  <c r="AM36" i="20"/>
  <c r="A37" i="20"/>
  <c r="B37" i="20"/>
  <c r="C37" i="20"/>
  <c r="E37" i="20"/>
  <c r="F37" i="20"/>
  <c r="G37" i="20"/>
  <c r="J37" i="20"/>
  <c r="K37" i="20"/>
  <c r="L37" i="20"/>
  <c r="O37" i="20"/>
  <c r="R37" i="20"/>
  <c r="S37" i="20" s="1"/>
  <c r="T37" i="20"/>
  <c r="U37" i="20"/>
  <c r="V37" i="20"/>
  <c r="W37" i="20"/>
  <c r="X37" i="20"/>
  <c r="Z37" i="20"/>
  <c r="AA37" i="20"/>
  <c r="AB37" i="20"/>
  <c r="AC37" i="20"/>
  <c r="AF37" i="20"/>
  <c r="AG37" i="20"/>
  <c r="AH37" i="20"/>
  <c r="AI37" i="20"/>
  <c r="AJ37" i="20"/>
  <c r="AK37" i="20"/>
  <c r="AL37" i="20"/>
  <c r="AM37" i="20"/>
  <c r="A38" i="20"/>
  <c r="B38" i="20"/>
  <c r="C38" i="20"/>
  <c r="E38" i="20"/>
  <c r="F38" i="20"/>
  <c r="G38" i="20"/>
  <c r="J38" i="20"/>
  <c r="K38" i="20"/>
  <c r="L38" i="20"/>
  <c r="O38" i="20"/>
  <c r="R38" i="20"/>
  <c r="S38" i="20" s="1"/>
  <c r="T38" i="20"/>
  <c r="U38" i="20"/>
  <c r="V38" i="20"/>
  <c r="W38" i="20"/>
  <c r="AA38" i="20"/>
  <c r="AB38" i="20"/>
  <c r="AC38" i="20"/>
  <c r="AF38" i="20"/>
  <c r="AG38" i="20"/>
  <c r="AH38" i="20"/>
  <c r="AI38" i="20"/>
  <c r="AJ38" i="20"/>
  <c r="AK38" i="20"/>
  <c r="AL38" i="20"/>
  <c r="AM38" i="20"/>
  <c r="A39" i="20"/>
  <c r="B39" i="20"/>
  <c r="C39" i="20"/>
  <c r="E39" i="20"/>
  <c r="F39" i="20"/>
  <c r="G39" i="20"/>
  <c r="J39" i="20"/>
  <c r="K39" i="20"/>
  <c r="L39" i="20"/>
  <c r="O39" i="20"/>
  <c r="R39" i="20"/>
  <c r="S39" i="20" s="1"/>
  <c r="T39" i="20"/>
  <c r="U39" i="20"/>
  <c r="V39" i="20"/>
  <c r="W39" i="20"/>
  <c r="X39" i="20"/>
  <c r="Z39" i="20"/>
  <c r="AA39" i="20"/>
  <c r="AB39" i="20"/>
  <c r="AC39" i="20"/>
  <c r="AF39" i="20"/>
  <c r="AG39" i="20"/>
  <c r="AH39" i="20"/>
  <c r="AI39" i="20"/>
  <c r="AJ39" i="20"/>
  <c r="AK39" i="20"/>
  <c r="AL39" i="20"/>
  <c r="AM39" i="20"/>
  <c r="A40" i="20"/>
  <c r="B40" i="20"/>
  <c r="C40" i="20"/>
  <c r="E40" i="20"/>
  <c r="F40" i="20"/>
  <c r="G40" i="20"/>
  <c r="H40" i="20"/>
  <c r="I40" i="20" s="1"/>
  <c r="J40" i="20"/>
  <c r="K40" i="20"/>
  <c r="L40" i="20"/>
  <c r="M40" i="20"/>
  <c r="N40" i="20"/>
  <c r="O40" i="20"/>
  <c r="Q40" i="20"/>
  <c r="R40" i="20"/>
  <c r="S40" i="20" s="1"/>
  <c r="T40" i="20"/>
  <c r="U40" i="20"/>
  <c r="V40" i="20"/>
  <c r="W40" i="20"/>
  <c r="Z40" i="20"/>
  <c r="AA40" i="20"/>
  <c r="AB40" i="20"/>
  <c r="AM40" i="20"/>
  <c r="A41" i="20"/>
  <c r="B41" i="20"/>
  <c r="C41" i="20"/>
  <c r="E41" i="20"/>
  <c r="F41" i="20"/>
  <c r="G41" i="20"/>
  <c r="H41" i="20"/>
  <c r="I41" i="20" s="1"/>
  <c r="J41" i="20"/>
  <c r="K41" i="20"/>
  <c r="L41" i="20"/>
  <c r="M41" i="20"/>
  <c r="N41" i="20"/>
  <c r="O41" i="20"/>
  <c r="P41" i="20"/>
  <c r="Q41" i="20"/>
  <c r="R41" i="20"/>
  <c r="S41" i="20" s="1"/>
  <c r="T41" i="20"/>
  <c r="U41" i="20"/>
  <c r="V41" i="20"/>
  <c r="W41" i="20"/>
  <c r="X41" i="20"/>
  <c r="Z41" i="20"/>
  <c r="AA41" i="20"/>
  <c r="AB41" i="20"/>
  <c r="AM41" i="20"/>
  <c r="A42" i="20"/>
  <c r="B42" i="20"/>
  <c r="C42" i="20"/>
  <c r="E42" i="20"/>
  <c r="F42" i="20"/>
  <c r="G42" i="20"/>
  <c r="H42" i="20"/>
  <c r="I42" i="20" s="1"/>
  <c r="J42" i="20"/>
  <c r="K42" i="20"/>
  <c r="L42" i="20"/>
  <c r="M42" i="20"/>
  <c r="N42" i="20"/>
  <c r="O42" i="20"/>
  <c r="Q42" i="20"/>
  <c r="R42" i="20"/>
  <c r="S42" i="20" s="1"/>
  <c r="T42" i="20"/>
  <c r="U42" i="20"/>
  <c r="V42" i="20"/>
  <c r="W42" i="20"/>
  <c r="Z42" i="20"/>
  <c r="AA42" i="20"/>
  <c r="AB42" i="20"/>
  <c r="AM42" i="20"/>
  <c r="A43" i="20"/>
  <c r="B43" i="20"/>
  <c r="C43" i="20"/>
  <c r="E43" i="20"/>
  <c r="F43" i="20"/>
  <c r="G43" i="20"/>
  <c r="H43" i="20"/>
  <c r="I43" i="20" s="1"/>
  <c r="J43" i="20"/>
  <c r="K43" i="20"/>
  <c r="L43" i="20"/>
  <c r="M43" i="20"/>
  <c r="N43" i="20"/>
  <c r="O43" i="20"/>
  <c r="P43" i="20"/>
  <c r="Q43" i="20"/>
  <c r="R43" i="20"/>
  <c r="S43" i="20" s="1"/>
  <c r="T43" i="20"/>
  <c r="U43" i="20"/>
  <c r="V43" i="20"/>
  <c r="W43" i="20"/>
  <c r="X43" i="20"/>
  <c r="Z43" i="20"/>
  <c r="AA43" i="20"/>
  <c r="AB43" i="20"/>
  <c r="AM43" i="20"/>
  <c r="A44" i="20"/>
  <c r="B44" i="20"/>
  <c r="C44" i="20"/>
  <c r="E44" i="20"/>
  <c r="F44" i="20"/>
  <c r="G44" i="20"/>
  <c r="H44" i="20"/>
  <c r="I44" i="20" s="1"/>
  <c r="J44" i="20"/>
  <c r="K44" i="20"/>
  <c r="L44" i="20"/>
  <c r="M44" i="20"/>
  <c r="N44" i="20"/>
  <c r="O44" i="20"/>
  <c r="Q44" i="20"/>
  <c r="R44" i="20"/>
  <c r="S44" i="20" s="1"/>
  <c r="T44" i="20"/>
  <c r="U44" i="20"/>
  <c r="V44" i="20"/>
  <c r="W44" i="20"/>
  <c r="X44" i="20"/>
  <c r="Z44" i="20"/>
  <c r="AA44" i="20"/>
  <c r="AB44" i="20"/>
  <c r="AM44" i="20"/>
  <c r="A45" i="20"/>
  <c r="B45" i="20"/>
  <c r="C45" i="20"/>
  <c r="E45" i="20"/>
  <c r="F45" i="20"/>
  <c r="G45" i="20"/>
  <c r="H45" i="20"/>
  <c r="I45" i="20" s="1"/>
  <c r="J45" i="20"/>
  <c r="K45" i="20"/>
  <c r="L45" i="20"/>
  <c r="M45" i="20"/>
  <c r="N45" i="20"/>
  <c r="O45" i="20"/>
  <c r="P45" i="20"/>
  <c r="Q45" i="20"/>
  <c r="R45" i="20"/>
  <c r="S45" i="20" s="1"/>
  <c r="T45" i="20"/>
  <c r="U45" i="20"/>
  <c r="V45" i="20"/>
  <c r="W45" i="20"/>
  <c r="X45" i="20"/>
  <c r="Z45" i="20"/>
  <c r="AA45" i="20"/>
  <c r="AB45" i="20"/>
  <c r="AM45" i="20"/>
  <c r="R44" i="18"/>
  <c r="R42" i="18"/>
  <c r="R40" i="18"/>
  <c r="S39" i="18"/>
  <c r="R39" i="18"/>
  <c r="P39" i="18"/>
  <c r="O39" i="18"/>
  <c r="AB38" i="18"/>
  <c r="Z38" i="18" s="1"/>
  <c r="S38" i="18"/>
  <c r="R38" i="18"/>
  <c r="P38" i="18"/>
  <c r="O38" i="18"/>
  <c r="S37" i="18"/>
  <c r="R37" i="18"/>
  <c r="P37" i="18"/>
  <c r="AB36" i="18"/>
  <c r="Z36" i="18" s="1"/>
  <c r="S36" i="18"/>
  <c r="R36" i="18"/>
  <c r="P36" i="18"/>
  <c r="O36" i="18"/>
  <c r="S35" i="18"/>
  <c r="R35" i="18"/>
  <c r="P35" i="18"/>
  <c r="O35" i="18"/>
  <c r="AB34" i="18"/>
  <c r="Z34" i="18" s="1"/>
  <c r="S34" i="18"/>
  <c r="R34" i="18"/>
  <c r="P34" i="18"/>
  <c r="O34" i="18"/>
  <c r="R32" i="18"/>
  <c r="M32" i="18"/>
  <c r="R30" i="18"/>
  <c r="M30" i="18"/>
  <c r="R28" i="18"/>
  <c r="M28" i="18"/>
  <c r="R26" i="18"/>
  <c r="M26" i="18"/>
  <c r="Z25" i="18"/>
  <c r="S25" i="18"/>
  <c r="R25" i="18"/>
  <c r="Z24" i="18"/>
  <c r="S24" i="18"/>
  <c r="R24" i="18"/>
  <c r="Z23" i="18"/>
  <c r="S23" i="18"/>
  <c r="R23" i="18"/>
  <c r="AS44" i="16"/>
  <c r="Y44" i="33" s="1"/>
  <c r="BA44" i="32" s="1"/>
  <c r="AP44" i="16"/>
  <c r="V44" i="33" s="1"/>
  <c r="AS43" i="16"/>
  <c r="Y43" i="33" s="1"/>
  <c r="BA43" i="32" s="1"/>
  <c r="AP43" i="16"/>
  <c r="V43" i="33" s="1"/>
  <c r="X43" i="16"/>
  <c r="AS42" i="16"/>
  <c r="Y42" i="33" s="1"/>
  <c r="BA42" i="32" s="1"/>
  <c r="AP42" i="16"/>
  <c r="V42" i="33" s="1"/>
  <c r="AS41" i="16"/>
  <c r="Y41" i="33" s="1"/>
  <c r="BA41" i="32" s="1"/>
  <c r="AP41" i="16"/>
  <c r="V41" i="33" s="1"/>
  <c r="AF41" i="16"/>
  <c r="AV41" i="32" s="1"/>
  <c r="X41" i="16"/>
  <c r="AS40" i="16"/>
  <c r="Y40" i="33" s="1"/>
  <c r="BA40" i="32" s="1"/>
  <c r="AP40" i="16"/>
  <c r="V40" i="33" s="1"/>
  <c r="AS39" i="16"/>
  <c r="Y39" i="33" s="1"/>
  <c r="BA39" i="32" s="1"/>
  <c r="AP39" i="16"/>
  <c r="V39" i="33" s="1"/>
  <c r="AF39" i="16"/>
  <c r="AV39" i="32" s="1"/>
  <c r="X39" i="16"/>
  <c r="Y38" i="16"/>
  <c r="X38" i="16"/>
  <c r="V38" i="16"/>
  <c r="U38" i="16"/>
  <c r="AH37" i="16"/>
  <c r="Y37" i="16"/>
  <c r="X37" i="16"/>
  <c r="V37" i="16"/>
  <c r="U37" i="16"/>
  <c r="Y36" i="16"/>
  <c r="X36" i="16"/>
  <c r="V36" i="16"/>
  <c r="U36" i="16"/>
  <c r="AH35" i="16"/>
  <c r="Y35" i="16"/>
  <c r="X35" i="16"/>
  <c r="V35" i="16"/>
  <c r="U35" i="16"/>
  <c r="Y34" i="16"/>
  <c r="X34" i="16"/>
  <c r="V34" i="16"/>
  <c r="U34" i="16"/>
  <c r="AH33" i="16"/>
  <c r="Y33" i="16"/>
  <c r="X33" i="16"/>
  <c r="V33" i="16"/>
  <c r="U33" i="16"/>
  <c r="Y31" i="16"/>
  <c r="X31" i="16"/>
  <c r="S31" i="16"/>
  <c r="Y29" i="16"/>
  <c r="X29" i="16"/>
  <c r="S29" i="16"/>
  <c r="Y27" i="16"/>
  <c r="X27" i="16"/>
  <c r="S27" i="16"/>
  <c r="Y25" i="16"/>
  <c r="X25" i="16"/>
  <c r="S25" i="16"/>
  <c r="AF24" i="16"/>
  <c r="AV24" i="32" s="1"/>
  <c r="AW24" i="32" s="1"/>
  <c r="Y24" i="16"/>
  <c r="X24" i="16"/>
  <c r="AF23" i="16"/>
  <c r="AV23" i="32" s="1"/>
  <c r="AW23" i="32" s="1"/>
  <c r="Y23" i="16"/>
  <c r="X23" i="16"/>
  <c r="AF22" i="16"/>
  <c r="AV22" i="32" s="1"/>
  <c r="AW22" i="32" s="1"/>
  <c r="Y22" i="16"/>
  <c r="X22" i="16"/>
  <c r="AQ9" i="28"/>
  <c r="AP9" i="28"/>
  <c r="AQ7" i="28"/>
  <c r="AP7" i="28"/>
  <c r="AQ6" i="28"/>
  <c r="AP6" i="28"/>
  <c r="AQ5" i="28"/>
  <c r="AP5" i="28"/>
  <c r="AQ4" i="28"/>
  <c r="AP4" i="28"/>
  <c r="G3" i="20"/>
  <c r="AB4" i="20"/>
  <c r="AB5" i="20"/>
  <c r="AB6" i="20"/>
  <c r="AB7" i="20"/>
  <c r="AB8" i="20"/>
  <c r="AB9" i="20"/>
  <c r="AB10" i="20"/>
  <c r="AB11" i="20"/>
  <c r="AB12" i="20"/>
  <c r="AB13" i="20"/>
  <c r="AB14" i="20"/>
  <c r="AB15" i="20"/>
  <c r="AB16" i="20"/>
  <c r="AB17" i="20"/>
  <c r="AB18" i="20"/>
  <c r="AB19" i="20"/>
  <c r="AB20" i="20"/>
  <c r="AB3" i="20"/>
  <c r="K3" i="20"/>
  <c r="L3" i="20"/>
  <c r="N3" i="20"/>
  <c r="O3" i="20"/>
  <c r="Q3" i="20"/>
  <c r="R3" i="20"/>
  <c r="S3" i="20" s="1"/>
  <c r="T3" i="20"/>
  <c r="U3" i="20"/>
  <c r="V3" i="20"/>
  <c r="W3" i="20"/>
  <c r="Z3" i="20"/>
  <c r="AA3" i="20"/>
  <c r="AC3" i="20"/>
  <c r="AF3" i="20"/>
  <c r="AG3" i="20"/>
  <c r="AH3" i="20"/>
  <c r="AI3" i="20"/>
  <c r="AJ3" i="20"/>
  <c r="AK3" i="20"/>
  <c r="K4" i="20"/>
  <c r="L4" i="20"/>
  <c r="N4" i="20"/>
  <c r="O4" i="20"/>
  <c r="Q4" i="20"/>
  <c r="R4" i="20"/>
  <c r="S4" i="20" s="1"/>
  <c r="T4" i="20"/>
  <c r="U4" i="20"/>
  <c r="V4" i="20"/>
  <c r="W4" i="20"/>
  <c r="Z4" i="20"/>
  <c r="AA4" i="20"/>
  <c r="AC4" i="20"/>
  <c r="AF4" i="20"/>
  <c r="AG4" i="20"/>
  <c r="AH4" i="20"/>
  <c r="AI4" i="20"/>
  <c r="AJ4" i="20"/>
  <c r="AK4" i="20"/>
  <c r="L5" i="20"/>
  <c r="M5" i="20"/>
  <c r="R5" i="20"/>
  <c r="S5" i="20" s="1"/>
  <c r="T5" i="20"/>
  <c r="U5" i="20"/>
  <c r="V5" i="20"/>
  <c r="W5" i="20"/>
  <c r="Z5" i="20"/>
  <c r="AA5" i="20"/>
  <c r="AC5" i="20"/>
  <c r="AF5" i="20"/>
  <c r="AG5" i="20"/>
  <c r="AH5" i="20"/>
  <c r="AI5" i="20"/>
  <c r="AJ5" i="20"/>
  <c r="AK5" i="20"/>
  <c r="K6" i="20"/>
  <c r="L6" i="20"/>
  <c r="M6" i="20"/>
  <c r="N6" i="20"/>
  <c r="O6" i="20"/>
  <c r="P6" i="20"/>
  <c r="Q6" i="20"/>
  <c r="R6" i="20"/>
  <c r="S6" i="20" s="1"/>
  <c r="T6" i="20"/>
  <c r="U6" i="20"/>
  <c r="V6" i="20"/>
  <c r="W6" i="20"/>
  <c r="X6" i="20"/>
  <c r="Z6" i="20"/>
  <c r="AA6" i="20"/>
  <c r="AC6" i="20"/>
  <c r="AF6" i="20"/>
  <c r="AG6" i="20"/>
  <c r="AH6" i="20"/>
  <c r="AI6" i="20"/>
  <c r="AJ6" i="20"/>
  <c r="AK6" i="20"/>
  <c r="L7" i="20"/>
  <c r="M7" i="20"/>
  <c r="R7" i="20"/>
  <c r="S7" i="20" s="1"/>
  <c r="T7" i="20"/>
  <c r="U7" i="20"/>
  <c r="V7" i="20"/>
  <c r="W7" i="20"/>
  <c r="Z7" i="20"/>
  <c r="AA7" i="20"/>
  <c r="AC7" i="20"/>
  <c r="AF7" i="20"/>
  <c r="AG7" i="20"/>
  <c r="AH7" i="20"/>
  <c r="AI7" i="20"/>
  <c r="AJ7" i="20"/>
  <c r="AK7" i="20"/>
  <c r="K8" i="20"/>
  <c r="L8" i="20"/>
  <c r="M8" i="20"/>
  <c r="N8" i="20"/>
  <c r="O8" i="20"/>
  <c r="P8" i="20"/>
  <c r="Q8" i="20"/>
  <c r="R8" i="20"/>
  <c r="S8" i="20" s="1"/>
  <c r="T8" i="20"/>
  <c r="U8" i="20"/>
  <c r="V8" i="20"/>
  <c r="W8" i="20"/>
  <c r="X8" i="20"/>
  <c r="Z8" i="20"/>
  <c r="AA8" i="20"/>
  <c r="AC8" i="20"/>
  <c r="AF8" i="20"/>
  <c r="AG8" i="20"/>
  <c r="AH8" i="20"/>
  <c r="AI8" i="20"/>
  <c r="AJ8" i="20"/>
  <c r="AK8" i="20"/>
  <c r="L9" i="20"/>
  <c r="M9" i="20"/>
  <c r="R9" i="20"/>
  <c r="S9" i="20" s="1"/>
  <c r="T9" i="20"/>
  <c r="U9" i="20"/>
  <c r="V9" i="20"/>
  <c r="W9" i="20"/>
  <c r="X9" i="20"/>
  <c r="Z9" i="20"/>
  <c r="AA9" i="20"/>
  <c r="AC9" i="20"/>
  <c r="AF9" i="20"/>
  <c r="AG9" i="20"/>
  <c r="AH9" i="20"/>
  <c r="AI9" i="20"/>
  <c r="AJ9" i="20"/>
  <c r="AK9" i="20"/>
  <c r="K10" i="20"/>
  <c r="L10" i="20"/>
  <c r="M10" i="20"/>
  <c r="N10" i="20"/>
  <c r="O10" i="20"/>
  <c r="P10" i="20"/>
  <c r="Q10" i="20"/>
  <c r="R10" i="20"/>
  <c r="S10" i="20" s="1"/>
  <c r="T10" i="20"/>
  <c r="U10" i="20"/>
  <c r="V10" i="20"/>
  <c r="W10" i="20"/>
  <c r="X10" i="20"/>
  <c r="Z10" i="20"/>
  <c r="AA10" i="20"/>
  <c r="AC10" i="20"/>
  <c r="AF10" i="20"/>
  <c r="AG10" i="20"/>
  <c r="AH10" i="20"/>
  <c r="AI10" i="20"/>
  <c r="AJ10" i="20"/>
  <c r="AK10" i="20"/>
  <c r="L11" i="20"/>
  <c r="M11" i="20"/>
  <c r="O11" i="20"/>
  <c r="R11" i="20"/>
  <c r="S11" i="20" s="1"/>
  <c r="T11" i="20"/>
  <c r="U11" i="20"/>
  <c r="V11" i="20"/>
  <c r="W11" i="20"/>
  <c r="Z11" i="20"/>
  <c r="AA11" i="20"/>
  <c r="AC11" i="20"/>
  <c r="AF11" i="20"/>
  <c r="AG11" i="20"/>
  <c r="AH11" i="20"/>
  <c r="AI11" i="20"/>
  <c r="AJ11" i="20"/>
  <c r="AK11" i="20"/>
  <c r="L12" i="20"/>
  <c r="M12" i="20"/>
  <c r="O12" i="20"/>
  <c r="R12" i="20"/>
  <c r="S12" i="20" s="1"/>
  <c r="T12" i="20"/>
  <c r="U12" i="20"/>
  <c r="V12" i="20"/>
  <c r="W12" i="20"/>
  <c r="Z12" i="20"/>
  <c r="AA12" i="20"/>
  <c r="AC12" i="20"/>
  <c r="AF12" i="20"/>
  <c r="AG12" i="20"/>
  <c r="AH12" i="20"/>
  <c r="AI12" i="20"/>
  <c r="AJ12" i="20"/>
  <c r="AK12" i="20"/>
  <c r="L13" i="20"/>
  <c r="M13" i="20"/>
  <c r="O13" i="20"/>
  <c r="R13" i="20"/>
  <c r="S13" i="20" s="1"/>
  <c r="T13" i="20"/>
  <c r="U13" i="20"/>
  <c r="V13" i="20"/>
  <c r="W13" i="20"/>
  <c r="X13" i="20"/>
  <c r="Z13" i="20"/>
  <c r="AA13" i="20"/>
  <c r="AC13" i="20"/>
  <c r="AF13" i="20"/>
  <c r="AG13" i="20"/>
  <c r="AH13" i="20"/>
  <c r="AI13" i="20"/>
  <c r="AJ13" i="20"/>
  <c r="AK13" i="20"/>
  <c r="M14" i="20"/>
  <c r="N14" i="20"/>
  <c r="R14" i="20"/>
  <c r="S14" i="20" s="1"/>
  <c r="T14" i="20"/>
  <c r="U14" i="20"/>
  <c r="V14" i="20"/>
  <c r="W14" i="20"/>
  <c r="X14" i="20"/>
  <c r="Z14" i="20"/>
  <c r="AA14" i="20"/>
  <c r="AC14" i="20"/>
  <c r="AF14" i="20"/>
  <c r="AG14" i="20"/>
  <c r="AH14" i="20"/>
  <c r="AI14" i="20"/>
  <c r="AJ14" i="20"/>
  <c r="AK14" i="20"/>
  <c r="K15" i="20"/>
  <c r="L15" i="20"/>
  <c r="M15" i="20"/>
  <c r="N15" i="20"/>
  <c r="O15" i="20"/>
  <c r="P15" i="20"/>
  <c r="Q15" i="20"/>
  <c r="R15" i="20"/>
  <c r="S15" i="20" s="1"/>
  <c r="T15" i="20"/>
  <c r="U15" i="20"/>
  <c r="V15" i="20"/>
  <c r="W15" i="20"/>
  <c r="X15" i="20"/>
  <c r="Z15" i="20"/>
  <c r="AA15" i="20"/>
  <c r="AC15" i="20"/>
  <c r="AF15" i="20"/>
  <c r="AG15" i="20"/>
  <c r="AH15" i="20"/>
  <c r="AI15" i="20"/>
  <c r="AJ15" i="20"/>
  <c r="AK15" i="20"/>
  <c r="L16" i="20"/>
  <c r="M16" i="20"/>
  <c r="N16" i="20"/>
  <c r="R16" i="20"/>
  <c r="S16" i="20" s="1"/>
  <c r="T16" i="20"/>
  <c r="U16" i="20"/>
  <c r="V16" i="20"/>
  <c r="W16" i="20"/>
  <c r="X16" i="20"/>
  <c r="Z16" i="20"/>
  <c r="AA16" i="20"/>
  <c r="AC16" i="20"/>
  <c r="AF16" i="20"/>
  <c r="AG16" i="20"/>
  <c r="AH16" i="20"/>
  <c r="AI16" i="20"/>
  <c r="AJ16" i="20"/>
  <c r="AK16" i="20"/>
  <c r="K17" i="20"/>
  <c r="L17" i="20"/>
  <c r="M17" i="20"/>
  <c r="N17" i="20"/>
  <c r="O17" i="20"/>
  <c r="P17" i="20"/>
  <c r="Q17" i="20"/>
  <c r="R17" i="20"/>
  <c r="S17" i="20" s="1"/>
  <c r="T17" i="20"/>
  <c r="U17" i="20"/>
  <c r="V17" i="20"/>
  <c r="W17" i="20"/>
  <c r="X17" i="20"/>
  <c r="Z17" i="20"/>
  <c r="AA17" i="20"/>
  <c r="AC17" i="20"/>
  <c r="AF17" i="20"/>
  <c r="AG17" i="20"/>
  <c r="AH17" i="20"/>
  <c r="AI17" i="20"/>
  <c r="AJ17" i="20"/>
  <c r="AK17" i="20"/>
  <c r="L18" i="20"/>
  <c r="M18" i="20"/>
  <c r="N18" i="20"/>
  <c r="R18" i="20"/>
  <c r="S18" i="20" s="1"/>
  <c r="T18" i="20"/>
  <c r="U18" i="20"/>
  <c r="V18" i="20"/>
  <c r="W18" i="20"/>
  <c r="X18" i="20"/>
  <c r="Z18" i="20"/>
  <c r="AA18" i="20"/>
  <c r="AC18" i="20"/>
  <c r="AF18" i="20"/>
  <c r="AG18" i="20"/>
  <c r="AH18" i="20"/>
  <c r="AI18" i="20"/>
  <c r="AJ18" i="20"/>
  <c r="AK18" i="20"/>
  <c r="K19" i="20"/>
  <c r="L19" i="20"/>
  <c r="M19" i="20"/>
  <c r="N19" i="20"/>
  <c r="O19" i="20"/>
  <c r="P19" i="20"/>
  <c r="Q19" i="20"/>
  <c r="R19" i="20"/>
  <c r="S19" i="20" s="1"/>
  <c r="T19" i="20"/>
  <c r="U19" i="20"/>
  <c r="V19" i="20"/>
  <c r="W19" i="20"/>
  <c r="X19" i="20"/>
  <c r="Z19" i="20"/>
  <c r="AA19" i="20"/>
  <c r="AC19" i="20"/>
  <c r="AF19" i="20"/>
  <c r="AG19" i="20"/>
  <c r="AH19" i="20"/>
  <c r="AI19" i="20"/>
  <c r="AJ19" i="20"/>
  <c r="AK19" i="20"/>
  <c r="K20" i="20"/>
  <c r="L20" i="20"/>
  <c r="M20" i="20"/>
  <c r="N20" i="20"/>
  <c r="R20" i="20"/>
  <c r="S20" i="20" s="1"/>
  <c r="T20" i="20"/>
  <c r="U20" i="20"/>
  <c r="V20" i="20"/>
  <c r="W20" i="20"/>
  <c r="Z20" i="20"/>
  <c r="AA20" i="20"/>
  <c r="AC20" i="20"/>
  <c r="AF20" i="20"/>
  <c r="AG20" i="20"/>
  <c r="AH20" i="20"/>
  <c r="AI20" i="20"/>
  <c r="AJ20" i="20"/>
  <c r="AK20" i="20"/>
  <c r="J20" i="20"/>
  <c r="J19" i="20"/>
  <c r="J18" i="20"/>
  <c r="J17" i="20"/>
  <c r="J16" i="20"/>
  <c r="J15" i="20"/>
  <c r="J14" i="20"/>
  <c r="J13" i="20"/>
  <c r="J12" i="20"/>
  <c r="J11" i="20"/>
  <c r="J10" i="20"/>
  <c r="J9" i="20"/>
  <c r="J8" i="20"/>
  <c r="J7" i="20"/>
  <c r="J6" i="20"/>
  <c r="J5" i="20"/>
  <c r="J4" i="20"/>
  <c r="J3" i="20"/>
  <c r="H4" i="20"/>
  <c r="I4" i="20" s="1"/>
  <c r="H5" i="20"/>
  <c r="I5" i="20" s="1"/>
  <c r="H6" i="20"/>
  <c r="I6" i="20" s="1"/>
  <c r="H7" i="20"/>
  <c r="I7" i="20" s="1"/>
  <c r="H8" i="20"/>
  <c r="I8" i="20" s="1"/>
  <c r="H9" i="20"/>
  <c r="I9" i="20" s="1"/>
  <c r="H10" i="20"/>
  <c r="I10" i="20" s="1"/>
  <c r="H11" i="20"/>
  <c r="I11" i="20" s="1"/>
  <c r="H12" i="20"/>
  <c r="I12" i="20" s="1"/>
  <c r="H13" i="20"/>
  <c r="I13" i="20" s="1"/>
  <c r="H14" i="20"/>
  <c r="I14" i="20" s="1"/>
  <c r="H15" i="20"/>
  <c r="I15" i="20" s="1"/>
  <c r="H16" i="20"/>
  <c r="I16" i="20" s="1"/>
  <c r="H17" i="20"/>
  <c r="I17" i="20" s="1"/>
  <c r="H18" i="20"/>
  <c r="I18" i="20" s="1"/>
  <c r="H19" i="20"/>
  <c r="I19" i="20" s="1"/>
  <c r="H20" i="20"/>
  <c r="I20" i="20" s="1"/>
  <c r="H3" i="20"/>
  <c r="I3" i="20" s="1"/>
  <c r="B4" i="20"/>
  <c r="B5" i="20"/>
  <c r="B6" i="20"/>
  <c r="B7" i="20"/>
  <c r="B8" i="20"/>
  <c r="B9" i="20"/>
  <c r="B10" i="20"/>
  <c r="B11" i="20"/>
  <c r="B12" i="20"/>
  <c r="B13" i="20"/>
  <c r="B14" i="20"/>
  <c r="B15" i="20"/>
  <c r="B16" i="20"/>
  <c r="B17" i="20"/>
  <c r="B18" i="20"/>
  <c r="B19" i="20"/>
  <c r="B20" i="20"/>
  <c r="B3" i="20"/>
  <c r="E3" i="20"/>
  <c r="F3" i="20"/>
  <c r="E4" i="20"/>
  <c r="F4" i="20"/>
  <c r="G4" i="20"/>
  <c r="E5" i="20"/>
  <c r="F5" i="20"/>
  <c r="G5" i="20"/>
  <c r="E6" i="20"/>
  <c r="F6" i="20"/>
  <c r="G6" i="20"/>
  <c r="E7" i="20"/>
  <c r="F7" i="20"/>
  <c r="G7" i="20"/>
  <c r="E8" i="20"/>
  <c r="F8" i="20"/>
  <c r="G8" i="20"/>
  <c r="E9" i="20"/>
  <c r="F9" i="20"/>
  <c r="G9" i="20"/>
  <c r="E10" i="20"/>
  <c r="F10" i="20"/>
  <c r="G10" i="20"/>
  <c r="E11" i="20"/>
  <c r="F11" i="20"/>
  <c r="G11" i="20"/>
  <c r="E12" i="20"/>
  <c r="F12" i="20"/>
  <c r="G12" i="20"/>
  <c r="E13" i="20"/>
  <c r="F13" i="20"/>
  <c r="G13" i="20"/>
  <c r="E14" i="20"/>
  <c r="F14" i="20"/>
  <c r="G14" i="20"/>
  <c r="E15" i="20"/>
  <c r="F15" i="20"/>
  <c r="G15" i="20"/>
  <c r="E16" i="20"/>
  <c r="F16" i="20"/>
  <c r="G16" i="20"/>
  <c r="E17" i="20"/>
  <c r="F17" i="20"/>
  <c r="G17" i="20"/>
  <c r="E18" i="20"/>
  <c r="F18" i="20"/>
  <c r="G18" i="20"/>
  <c r="E19" i="20"/>
  <c r="F19" i="20"/>
  <c r="G19" i="20"/>
  <c r="E20" i="20"/>
  <c r="F20" i="20"/>
  <c r="G20" i="20"/>
  <c r="C20" i="20"/>
  <c r="C19" i="20"/>
  <c r="C18" i="20"/>
  <c r="C17" i="20"/>
  <c r="C16" i="20"/>
  <c r="C15" i="20"/>
  <c r="C14" i="20"/>
  <c r="C13" i="20"/>
  <c r="C12" i="20"/>
  <c r="C11" i="20"/>
  <c r="C10" i="20"/>
  <c r="C9" i="20"/>
  <c r="C8" i="20"/>
  <c r="C7" i="20"/>
  <c r="C6" i="20"/>
  <c r="C5" i="20"/>
  <c r="C4" i="20"/>
  <c r="C3" i="20"/>
  <c r="A4" i="20"/>
  <c r="A5" i="20"/>
  <c r="A6" i="20"/>
  <c r="A7" i="20"/>
  <c r="A8" i="20"/>
  <c r="A9" i="20"/>
  <c r="A10" i="20"/>
  <c r="A11" i="20"/>
  <c r="A12" i="20"/>
  <c r="A13" i="20"/>
  <c r="A14" i="20"/>
  <c r="A15" i="20"/>
  <c r="A16" i="20"/>
  <c r="A17" i="20"/>
  <c r="A18" i="20"/>
  <c r="A19" i="20"/>
  <c r="A20" i="20"/>
  <c r="A3" i="20"/>
  <c r="Z11" i="18"/>
  <c r="Q22" i="18"/>
  <c r="Q21" i="18"/>
  <c r="Q20" i="18"/>
  <c r="P13" i="18"/>
  <c r="P12" i="18"/>
  <c r="P11" i="18"/>
  <c r="W21" i="16"/>
  <c r="W20" i="16"/>
  <c r="W19" i="16"/>
  <c r="AL3" i="20"/>
  <c r="AM3" i="20"/>
  <c r="AL4" i="20"/>
  <c r="AM4" i="20"/>
  <c r="AL5" i="20"/>
  <c r="AM5" i="20"/>
  <c r="AL6" i="20"/>
  <c r="AM6" i="20"/>
  <c r="AL7" i="20"/>
  <c r="AM7" i="20"/>
  <c r="AL8" i="20"/>
  <c r="AM8" i="20"/>
  <c r="AL9" i="20"/>
  <c r="AM9" i="20"/>
  <c r="AL10" i="20"/>
  <c r="AM10" i="20"/>
  <c r="AL11" i="20"/>
  <c r="AM11" i="20"/>
  <c r="AL12" i="20"/>
  <c r="AM12" i="20"/>
  <c r="AL13" i="20"/>
  <c r="AM13" i="20"/>
  <c r="AL14" i="20"/>
  <c r="AM14" i="20"/>
  <c r="AL15" i="20"/>
  <c r="AM15" i="20"/>
  <c r="AL16" i="20"/>
  <c r="AM16" i="20"/>
  <c r="AL17" i="20"/>
  <c r="AM17" i="20"/>
  <c r="AL18" i="20"/>
  <c r="AM18" i="20"/>
  <c r="AL19" i="20"/>
  <c r="AM19" i="20"/>
  <c r="AL20" i="20"/>
  <c r="AM20" i="20"/>
  <c r="Z22" i="18"/>
  <c r="S22" i="18"/>
  <c r="R22" i="18"/>
  <c r="Z21" i="18"/>
  <c r="S21" i="18"/>
  <c r="R21" i="18"/>
  <c r="Z20" i="18"/>
  <c r="S20" i="18"/>
  <c r="R20" i="18"/>
  <c r="S18" i="18"/>
  <c r="R18" i="18"/>
  <c r="Q18" i="18"/>
  <c r="S16" i="18"/>
  <c r="R16" i="18"/>
  <c r="P16" i="20" s="1"/>
  <c r="Q16" i="18"/>
  <c r="S14" i="18"/>
  <c r="R14" i="18"/>
  <c r="Q14" i="18"/>
  <c r="S13" i="18"/>
  <c r="R13" i="18"/>
  <c r="M13" i="18"/>
  <c r="Z12" i="18"/>
  <c r="S12" i="18"/>
  <c r="R12" i="18"/>
  <c r="M12" i="18"/>
  <c r="S11" i="18"/>
  <c r="R11" i="18"/>
  <c r="M11" i="18"/>
  <c r="S9" i="18"/>
  <c r="R9" i="18"/>
  <c r="Q9" i="18"/>
  <c r="P9" i="18"/>
  <c r="M9" i="18"/>
  <c r="Z7" i="18"/>
  <c r="S7" i="18"/>
  <c r="R7" i="18"/>
  <c r="Q7" i="18"/>
  <c r="P7" i="18"/>
  <c r="M7" i="18"/>
  <c r="Z5" i="18"/>
  <c r="S5" i="18"/>
  <c r="R5" i="18"/>
  <c r="Q5" i="18"/>
  <c r="P5" i="18"/>
  <c r="M5" i="18"/>
  <c r="Z4" i="18"/>
  <c r="R4" i="18"/>
  <c r="O4" i="18"/>
  <c r="Z3" i="18"/>
  <c r="R3" i="18"/>
  <c r="O3" i="18"/>
  <c r="AF21" i="16"/>
  <c r="AV21" i="32" s="1"/>
  <c r="AW21" i="32" s="1"/>
  <c r="AF20" i="16"/>
  <c r="AV20" i="32" s="1"/>
  <c r="AW20" i="32" s="1"/>
  <c r="AF19" i="16"/>
  <c r="AV19" i="32" s="1"/>
  <c r="AW19" i="32" s="1"/>
  <c r="AF11" i="16"/>
  <c r="AV11" i="32" s="1"/>
  <c r="AW11" i="32" s="1"/>
  <c r="AF10" i="16"/>
  <c r="AV10" i="32" s="1"/>
  <c r="AW10" i="32" s="1"/>
  <c r="AF6" i="16"/>
  <c r="AV6" i="32" s="1"/>
  <c r="AF4" i="16"/>
  <c r="AV4" i="32" s="1"/>
  <c r="AF3" i="16"/>
  <c r="AV3" i="32" s="1"/>
  <c r="AW3" i="32" s="1"/>
  <c r="AF2" i="16"/>
  <c r="U3" i="16"/>
  <c r="S17" i="16"/>
  <c r="S15" i="16"/>
  <c r="S13" i="16"/>
  <c r="T13" i="16"/>
  <c r="U2" i="16"/>
  <c r="W17" i="16"/>
  <c r="W15" i="16"/>
  <c r="W13" i="16"/>
  <c r="Y17" i="16"/>
  <c r="Y15" i="16"/>
  <c r="Y13" i="16"/>
  <c r="X17" i="16"/>
  <c r="X13" i="16"/>
  <c r="Y21" i="16"/>
  <c r="X21" i="16"/>
  <c r="Y20" i="16"/>
  <c r="X20" i="16"/>
  <c r="Y19" i="16"/>
  <c r="X19" i="16"/>
  <c r="S6" i="16"/>
  <c r="X11" i="16"/>
  <c r="W6" i="16"/>
  <c r="S8" i="16"/>
  <c r="S4" i="16"/>
  <c r="V4" i="16"/>
  <c r="X3" i="16"/>
  <c r="X2" i="16"/>
  <c r="S11" i="16"/>
  <c r="S10" i="16"/>
  <c r="S12" i="16"/>
  <c r="X12" i="16"/>
  <c r="X10" i="16"/>
  <c r="V12" i="16"/>
  <c r="V11" i="16"/>
  <c r="V10" i="16"/>
  <c r="Y12" i="16"/>
  <c r="Y11" i="16"/>
  <c r="Y10" i="16"/>
  <c r="V8" i="16"/>
  <c r="V6" i="16"/>
  <c r="Y6" i="16"/>
  <c r="X6" i="16"/>
  <c r="Y4" i="16"/>
  <c r="X4" i="16"/>
  <c r="W4" i="16"/>
  <c r="Y8" i="16"/>
  <c r="X8" i="16"/>
  <c r="W8" i="16"/>
  <c r="T283" i="32" l="1"/>
  <c r="S283" i="32"/>
  <c r="Z283" i="32"/>
  <c r="X284" i="32"/>
  <c r="V284" i="32" s="1"/>
  <c r="W266" i="32"/>
  <c r="Z301" i="32"/>
  <c r="X302" i="32"/>
  <c r="W281" i="32"/>
  <c r="Z282" i="32"/>
  <c r="V282" i="32"/>
  <c r="U282" i="32"/>
  <c r="T282" i="32"/>
  <c r="S282" i="32"/>
  <c r="Y279" i="32"/>
  <c r="AA278" i="32"/>
  <c r="AC278" i="32"/>
  <c r="AF278" i="32" s="1"/>
  <c r="L278" i="33" s="1"/>
  <c r="AD277" i="32"/>
  <c r="AG277" i="32" s="1"/>
  <c r="M277" i="33" s="1"/>
  <c r="AB277" i="32"/>
  <c r="AD293" i="32"/>
  <c r="AB293" i="32"/>
  <c r="AA294" i="32"/>
  <c r="Y295" i="32"/>
  <c r="AC294" i="32"/>
  <c r="AV50" i="32"/>
  <c r="AW50" i="32" s="1"/>
  <c r="AW49" i="32"/>
  <c r="AV40" i="32"/>
  <c r="AW40" i="32" s="1"/>
  <c r="AW39" i="32"/>
  <c r="AV277" i="32"/>
  <c r="AW276" i="32"/>
  <c r="AV52" i="32"/>
  <c r="AW52" i="32" s="1"/>
  <c r="AW51" i="32"/>
  <c r="AV81" i="32"/>
  <c r="AW81" i="32" s="1"/>
  <c r="AW80" i="32"/>
  <c r="AV72" i="32"/>
  <c r="AW71" i="32"/>
  <c r="AV89" i="32"/>
  <c r="AW89" i="32" s="1"/>
  <c r="AW88" i="32"/>
  <c r="AV85" i="32"/>
  <c r="AW85" i="32" s="1"/>
  <c r="AW84" i="32"/>
  <c r="AV293" i="32"/>
  <c r="AW292" i="32"/>
  <c r="AV67" i="32"/>
  <c r="AW66" i="32"/>
  <c r="AV2" i="32"/>
  <c r="AW2" i="32" s="1"/>
  <c r="AV87" i="32"/>
  <c r="AW87" i="32" s="1"/>
  <c r="AW86" i="32"/>
  <c r="AV5" i="32"/>
  <c r="AW5" i="32" s="1"/>
  <c r="AW4" i="32"/>
  <c r="AV7" i="32"/>
  <c r="AW7" i="32" s="1"/>
  <c r="AW6" i="32"/>
  <c r="AV42" i="32"/>
  <c r="AW42" i="32" s="1"/>
  <c r="AW41" i="32"/>
  <c r="AV83" i="32"/>
  <c r="AW83" i="32" s="1"/>
  <c r="AW82" i="32"/>
  <c r="N163" i="33"/>
  <c r="W300" i="32"/>
  <c r="W283" i="32"/>
  <c r="J78" i="33"/>
  <c r="G78" i="32"/>
  <c r="I78" i="33" s="1"/>
  <c r="AF78" i="32"/>
  <c r="L78" i="33" s="1"/>
  <c r="AG78" i="32"/>
  <c r="M78" i="33" s="1"/>
  <c r="T284" i="32"/>
  <c r="U284" i="32"/>
  <c r="V301" i="32"/>
  <c r="U301" i="32"/>
  <c r="T301" i="32"/>
  <c r="S301" i="32"/>
  <c r="H285" i="32"/>
  <c r="J285" i="33" s="1"/>
  <c r="G284" i="32"/>
  <c r="I284" i="33" s="1"/>
  <c r="AD71" i="33"/>
  <c r="AB39" i="33"/>
  <c r="AB43" i="33"/>
  <c r="AB41" i="33"/>
  <c r="AE43" i="33"/>
  <c r="AE39" i="33"/>
  <c r="AE41" i="33"/>
  <c r="AB57" i="33"/>
  <c r="AB61" i="33"/>
  <c r="AB44" i="33"/>
  <c r="AB42" i="33"/>
  <c r="AB40" i="33"/>
  <c r="AE42" i="33"/>
  <c r="AE40" i="33"/>
  <c r="AE44" i="33"/>
  <c r="AE66" i="33"/>
  <c r="AA66" i="33"/>
  <c r="AD66" i="33"/>
  <c r="AB66" i="33"/>
  <c r="Z66" i="33"/>
  <c r="Z71" i="33"/>
  <c r="AC66" i="33"/>
  <c r="AC71" i="33"/>
  <c r="AB71" i="33"/>
  <c r="AE71" i="33"/>
  <c r="AA71" i="33"/>
  <c r="AB76" i="33"/>
  <c r="AC76" i="33"/>
  <c r="AD76" i="33"/>
  <c r="AA76" i="33"/>
  <c r="AE76" i="33"/>
  <c r="Z76" i="33"/>
  <c r="X58" i="20"/>
  <c r="K14" i="20"/>
  <c r="K16" i="20"/>
  <c r="Q30" i="20"/>
  <c r="AF33" i="16"/>
  <c r="AV33" i="32" s="1"/>
  <c r="AW33" i="32" s="1"/>
  <c r="O89" i="20"/>
  <c r="K18" i="20"/>
  <c r="AF35" i="16"/>
  <c r="AV35" i="32" s="1"/>
  <c r="AW35" i="32" s="1"/>
  <c r="X81" i="20"/>
  <c r="Q26" i="20"/>
  <c r="AF37" i="16"/>
  <c r="AV37" i="32" s="1"/>
  <c r="AW37" i="32" s="1"/>
  <c r="X89" i="20"/>
  <c r="K56" i="20"/>
  <c r="X85" i="20"/>
  <c r="Q32" i="20"/>
  <c r="Q28" i="20"/>
  <c r="X87" i="20"/>
  <c r="L14" i="20"/>
  <c r="K57" i="20"/>
  <c r="X83" i="20"/>
  <c r="N77" i="33"/>
  <c r="O77" i="33"/>
  <c r="AA67" i="33" s="1"/>
  <c r="O282" i="33"/>
  <c r="N282" i="33"/>
  <c r="AR47" i="28"/>
  <c r="AR6" i="28"/>
  <c r="AR33" i="28"/>
  <c r="AR4" i="28"/>
  <c r="AR5" i="28"/>
  <c r="P44" i="20"/>
  <c r="X40" i="20"/>
  <c r="M37" i="20"/>
  <c r="Q71" i="20"/>
  <c r="P37" i="20"/>
  <c r="P56" i="20"/>
  <c r="X20" i="20"/>
  <c r="O16" i="20"/>
  <c r="K11" i="20"/>
  <c r="P21" i="20"/>
  <c r="P3" i="20"/>
  <c r="O22" i="20"/>
  <c r="Q34" i="20"/>
  <c r="K9" i="20"/>
  <c r="X23" i="20"/>
  <c r="P26" i="20"/>
  <c r="O7" i="20"/>
  <c r="O94" i="20"/>
  <c r="P94" i="20"/>
  <c r="AR7" i="28"/>
  <c r="AQ10" i="28"/>
  <c r="X50" i="20"/>
  <c r="AK54" i="20"/>
  <c r="Q81" i="20"/>
  <c r="P92" i="20"/>
  <c r="Q96" i="20"/>
  <c r="P9" i="20"/>
  <c r="P71" i="20"/>
  <c r="Q94" i="20"/>
  <c r="P91" i="20"/>
  <c r="P93" i="20"/>
  <c r="K5" i="20"/>
  <c r="M3" i="20"/>
  <c r="M96" i="20"/>
  <c r="P66" i="20"/>
  <c r="P76" i="20"/>
  <c r="O96" i="20"/>
  <c r="P58" i="20"/>
  <c r="Q66" i="20"/>
  <c r="Q76" i="20"/>
  <c r="M94" i="20"/>
  <c r="P96" i="20"/>
  <c r="O5" i="20"/>
  <c r="Q37" i="20"/>
  <c r="M39" i="20"/>
  <c r="X103" i="20"/>
  <c r="X105" i="20"/>
  <c r="M36" i="20"/>
  <c r="AK53" i="20"/>
  <c r="X21" i="20"/>
  <c r="Q52" i="20"/>
  <c r="X52" i="20"/>
  <c r="K32" i="20"/>
  <c r="Q13" i="20"/>
  <c r="P14" i="20"/>
  <c r="N5" i="20"/>
  <c r="P20" i="20"/>
  <c r="Q14" i="20"/>
  <c r="P11" i="20"/>
  <c r="Q20" i="20"/>
  <c r="X12" i="20"/>
  <c r="P34" i="20"/>
  <c r="N37" i="20"/>
  <c r="K13" i="20"/>
  <c r="Q23" i="20"/>
  <c r="K26" i="20"/>
  <c r="P24" i="20"/>
  <c r="Q24" i="20"/>
  <c r="P28" i="20"/>
  <c r="M34" i="20"/>
  <c r="X42" i="20"/>
  <c r="Q50" i="20"/>
  <c r="Q54" i="20"/>
  <c r="P57" i="20"/>
  <c r="N34" i="20"/>
  <c r="Q35" i="20"/>
  <c r="P62" i="20"/>
  <c r="O58" i="20"/>
  <c r="M58" i="20"/>
  <c r="X24" i="20"/>
  <c r="P38" i="20"/>
  <c r="X56" i="20"/>
  <c r="X46" i="20"/>
  <c r="K30" i="20"/>
  <c r="P23" i="20"/>
  <c r="X25" i="20"/>
  <c r="X11" i="20"/>
  <c r="Q11" i="20"/>
  <c r="Q21" i="20"/>
  <c r="N36" i="20"/>
  <c r="P13" i="20"/>
  <c r="P5" i="20"/>
  <c r="X3" i="20"/>
  <c r="N39" i="20"/>
  <c r="O21" i="20"/>
  <c r="Q16" i="20"/>
  <c r="O18" i="20"/>
  <c r="P32" i="20"/>
  <c r="N9" i="20"/>
  <c r="P39" i="20"/>
  <c r="AK52" i="20"/>
  <c r="P4" i="20"/>
  <c r="N13" i="20"/>
  <c r="AK50" i="20"/>
  <c r="AK55" i="20"/>
  <c r="Q38" i="20"/>
  <c r="P40" i="20"/>
  <c r="Q5" i="20"/>
  <c r="K28" i="20"/>
  <c r="K12" i="20"/>
  <c r="O9" i="20"/>
  <c r="N7" i="20"/>
  <c r="M35" i="20"/>
  <c r="Q39" i="20"/>
  <c r="P30" i="20"/>
  <c r="Q25" i="20"/>
  <c r="O14" i="20"/>
  <c r="P22" i="20"/>
  <c r="P36" i="20"/>
  <c r="Q12" i="20"/>
  <c r="P12" i="20"/>
  <c r="X4" i="20"/>
  <c r="Q36" i="20"/>
  <c r="Q18" i="20"/>
  <c r="X22" i="20"/>
  <c r="K7" i="20"/>
  <c r="P7" i="20"/>
  <c r="X5" i="20"/>
  <c r="N35" i="20"/>
  <c r="M38" i="20"/>
  <c r="P25" i="20"/>
  <c r="Q9" i="20"/>
  <c r="M4" i="20"/>
  <c r="Q22" i="20"/>
  <c r="N11" i="20"/>
  <c r="Q7" i="20"/>
  <c r="N12" i="20"/>
  <c r="P18" i="20"/>
  <c r="X7" i="20"/>
  <c r="O20" i="20"/>
  <c r="P35" i="20"/>
  <c r="Z36" i="20"/>
  <c r="N38" i="20"/>
  <c r="P42" i="20"/>
  <c r="AR50" i="28"/>
  <c r="Z38" i="20"/>
  <c r="Z34" i="20"/>
  <c r="AP31" i="28"/>
  <c r="AR26" i="28"/>
  <c r="AR30" i="28"/>
  <c r="AQ31" i="28"/>
  <c r="AR31" i="28" s="1"/>
  <c r="AR28" i="28"/>
  <c r="AR27" i="28"/>
  <c r="AR25" i="28"/>
  <c r="AP10" i="28"/>
  <c r="AR10" i="28" s="1"/>
  <c r="AR9" i="28"/>
  <c r="S284" i="32" l="1"/>
  <c r="W282" i="32"/>
  <c r="X285" i="32"/>
  <c r="Z285" i="32" s="1"/>
  <c r="Z284" i="32"/>
  <c r="Z302" i="32"/>
  <c r="AB302" i="32" s="1"/>
  <c r="X303" i="32"/>
  <c r="T302" i="32"/>
  <c r="S302" i="32"/>
  <c r="V302" i="32"/>
  <c r="U302" i="32"/>
  <c r="AC302" i="32"/>
  <c r="AF302" i="32" s="1"/>
  <c r="L302" i="33" s="1"/>
  <c r="AD302" i="32"/>
  <c r="AG302" i="32" s="1"/>
  <c r="M302" i="33" s="1"/>
  <c r="AD294" i="32"/>
  <c r="AB294" i="32"/>
  <c r="AD278" i="32"/>
  <c r="AG278" i="32" s="1"/>
  <c r="M278" i="33" s="1"/>
  <c r="AB278" i="32"/>
  <c r="AA295" i="32"/>
  <c r="Y296" i="32"/>
  <c r="AC295" i="32"/>
  <c r="AA279" i="32"/>
  <c r="Y280" i="32"/>
  <c r="AC279" i="32"/>
  <c r="AF279" i="32" s="1"/>
  <c r="L279" i="33" s="1"/>
  <c r="AV294" i="32"/>
  <c r="AW293" i="32"/>
  <c r="AV73" i="32"/>
  <c r="AW72" i="32"/>
  <c r="AV278" i="32"/>
  <c r="AW277" i="32"/>
  <c r="AV68" i="32"/>
  <c r="AW67" i="32"/>
  <c r="W284" i="32"/>
  <c r="W301" i="32"/>
  <c r="J79" i="33"/>
  <c r="AG79" i="32"/>
  <c r="M79" i="33" s="1"/>
  <c r="G79" i="32"/>
  <c r="I79" i="33" s="1"/>
  <c r="AF79" i="32"/>
  <c r="L79" i="33" s="1"/>
  <c r="U285" i="32"/>
  <c r="T285" i="32"/>
  <c r="S285" i="32"/>
  <c r="V285" i="32"/>
  <c r="H286" i="32"/>
  <c r="J286" i="33" s="1"/>
  <c r="G285" i="32"/>
  <c r="I285" i="33" s="1"/>
  <c r="AE72" i="33"/>
  <c r="AB67" i="33"/>
  <c r="AC77" i="33"/>
  <c r="AE77" i="33"/>
  <c r="AA77" i="33"/>
  <c r="AB77" i="33"/>
  <c r="Z77" i="33"/>
  <c r="AD77" i="33"/>
  <c r="AE67" i="33"/>
  <c r="AA72" i="33"/>
  <c r="AC72" i="33"/>
  <c r="AD72" i="33"/>
  <c r="Z72" i="33"/>
  <c r="AC67" i="33"/>
  <c r="AB72" i="33"/>
  <c r="AD67" i="33"/>
  <c r="Z67" i="33"/>
  <c r="X34" i="20"/>
  <c r="X38" i="20"/>
  <c r="X36" i="20"/>
  <c r="O78" i="33"/>
  <c r="N78" i="33"/>
  <c r="O283" i="33"/>
  <c r="N283" i="33"/>
  <c r="Z303" i="32" l="1"/>
  <c r="AB303" i="32" s="1"/>
  <c r="X304" i="32"/>
  <c r="T303" i="32"/>
  <c r="V303" i="32"/>
  <c r="S303" i="32"/>
  <c r="U303" i="32"/>
  <c r="AC303" i="32"/>
  <c r="AF303" i="32" s="1"/>
  <c r="L303" i="33" s="1"/>
  <c r="AD303" i="32"/>
  <c r="AG303" i="32" s="1"/>
  <c r="M303" i="33" s="1"/>
  <c r="W302" i="32"/>
  <c r="AD295" i="32"/>
  <c r="AB295" i="32"/>
  <c r="Y297" i="32"/>
  <c r="AA296" i="32"/>
  <c r="AC296" i="32"/>
  <c r="AB279" i="32"/>
  <c r="AD279" i="32"/>
  <c r="AG279" i="32" s="1"/>
  <c r="M279" i="33" s="1"/>
  <c r="Y281" i="32"/>
  <c r="AA280" i="32"/>
  <c r="AC280" i="32"/>
  <c r="AF280" i="32" s="1"/>
  <c r="L280" i="33" s="1"/>
  <c r="AV69" i="32"/>
  <c r="AW69" i="32" s="1"/>
  <c r="AW68" i="32"/>
  <c r="AV74" i="32"/>
  <c r="AW74" i="32" s="1"/>
  <c r="AW73" i="32"/>
  <c r="AV279" i="32"/>
  <c r="AW278" i="32"/>
  <c r="AV295" i="32"/>
  <c r="AW294" i="32"/>
  <c r="W285" i="32"/>
  <c r="AG286" i="32"/>
  <c r="M286" i="33" s="1"/>
  <c r="AF286" i="32"/>
  <c r="L286" i="33" s="1"/>
  <c r="H287" i="32"/>
  <c r="J287" i="33" s="1"/>
  <c r="G286" i="32"/>
  <c r="I286" i="33" s="1"/>
  <c r="AA68" i="33"/>
  <c r="AE68" i="33"/>
  <c r="AD73" i="33"/>
  <c r="AB68" i="33"/>
  <c r="AD68" i="33"/>
  <c r="AC73" i="33"/>
  <c r="AD78" i="33"/>
  <c r="AC78" i="33"/>
  <c r="AB78" i="33"/>
  <c r="Z78" i="33"/>
  <c r="AA78" i="33"/>
  <c r="AE78" i="33"/>
  <c r="AC68" i="33"/>
  <c r="Z73" i="33"/>
  <c r="AE73" i="33"/>
  <c r="N284" i="33"/>
  <c r="O284" i="33"/>
  <c r="O79" i="33"/>
  <c r="AC160" i="33" s="1"/>
  <c r="N79" i="33"/>
  <c r="W303" i="32" l="1"/>
  <c r="Z304" i="32"/>
  <c r="AB304" i="32" s="1"/>
  <c r="X305" i="32"/>
  <c r="V304" i="32"/>
  <c r="T304" i="32"/>
  <c r="S304" i="32"/>
  <c r="U304" i="32"/>
  <c r="AC304" i="32"/>
  <c r="AF304" i="32" s="1"/>
  <c r="L304" i="33" s="1"/>
  <c r="AD304" i="32"/>
  <c r="AG304" i="32" s="1"/>
  <c r="M304" i="33" s="1"/>
  <c r="AA281" i="32"/>
  <c r="Y282" i="32"/>
  <c r="AC281" i="32"/>
  <c r="AF281" i="32" s="1"/>
  <c r="L281" i="33" s="1"/>
  <c r="AD296" i="32"/>
  <c r="AB296" i="32"/>
  <c r="AA297" i="32"/>
  <c r="Y298" i="32"/>
  <c r="AC297" i="32"/>
  <c r="AD280" i="32"/>
  <c r="AG280" i="32" s="1"/>
  <c r="M280" i="33" s="1"/>
  <c r="AB280" i="32"/>
  <c r="AV280" i="32"/>
  <c r="AW279" i="32"/>
  <c r="AV296" i="32"/>
  <c r="AW295" i="32"/>
  <c r="AF287" i="32"/>
  <c r="L287" i="33" s="1"/>
  <c r="AG287" i="32"/>
  <c r="M287" i="33" s="1"/>
  <c r="H288" i="32"/>
  <c r="J288" i="33" s="1"/>
  <c r="G287" i="32"/>
  <c r="I287" i="33" s="1"/>
  <c r="AD87" i="33"/>
  <c r="Z164" i="33"/>
  <c r="AD129" i="33"/>
  <c r="AB190" i="33"/>
  <c r="AD92" i="33"/>
  <c r="AC181" i="33"/>
  <c r="Z247" i="33"/>
  <c r="AC222" i="33"/>
  <c r="AE90" i="33"/>
  <c r="AD69" i="33"/>
  <c r="AE145" i="33"/>
  <c r="AA162" i="33"/>
  <c r="AD176" i="33"/>
  <c r="AC74" i="33"/>
  <c r="AB160" i="33"/>
  <c r="AE170" i="33"/>
  <c r="AE69" i="33"/>
  <c r="AA90" i="33"/>
  <c r="Z159" i="33"/>
  <c r="AB222" i="33"/>
  <c r="AC87" i="33"/>
  <c r="AB229" i="33"/>
  <c r="AD83" i="33"/>
  <c r="AD109" i="33"/>
  <c r="Z150" i="33"/>
  <c r="AA190" i="33"/>
  <c r="AC266" i="33"/>
  <c r="AB223" i="33"/>
  <c r="AE261" i="33"/>
  <c r="AB216" i="33"/>
  <c r="AA165" i="33"/>
  <c r="AD188" i="33"/>
  <c r="Z221" i="33"/>
  <c r="AA164" i="33"/>
  <c r="Z155" i="33"/>
  <c r="AC118" i="33"/>
  <c r="AC97" i="33"/>
  <c r="Z196" i="33"/>
  <c r="AC95" i="33"/>
  <c r="AB187" i="33"/>
  <c r="Z235" i="33"/>
  <c r="AA129" i="33"/>
  <c r="AE192" i="33"/>
  <c r="Z197" i="33"/>
  <c r="AD124" i="33"/>
  <c r="AD237" i="33"/>
  <c r="AA238" i="33"/>
  <c r="AE247" i="33"/>
  <c r="Z153" i="33"/>
  <c r="AD154" i="33"/>
  <c r="AC145" i="33"/>
  <c r="Z80" i="33"/>
  <c r="AA194" i="33"/>
  <c r="AA181" i="33"/>
  <c r="AA107" i="33"/>
  <c r="AB261" i="33"/>
  <c r="AD131" i="33"/>
  <c r="AA80" i="33"/>
  <c r="AA132" i="33"/>
  <c r="AE211" i="33"/>
  <c r="AC174" i="33"/>
  <c r="AD119" i="33"/>
  <c r="AA245" i="33"/>
  <c r="Z96" i="33"/>
  <c r="AA159" i="33"/>
  <c r="AA117" i="33"/>
  <c r="AA222" i="33"/>
  <c r="AA110" i="33"/>
  <c r="AC246" i="33"/>
  <c r="Z259" i="33"/>
  <c r="Z143" i="33"/>
  <c r="AE243" i="33"/>
  <c r="AB153" i="33"/>
  <c r="AB267" i="33"/>
  <c r="AA139" i="33"/>
  <c r="AB159" i="33"/>
  <c r="AE159" i="33"/>
  <c r="AC83" i="33"/>
  <c r="AA140" i="33"/>
  <c r="AE185" i="33"/>
  <c r="AE231" i="33"/>
  <c r="AB268" i="33"/>
  <c r="AB173" i="33"/>
  <c r="Z213" i="33"/>
  <c r="AE92" i="33"/>
  <c r="AD128" i="33"/>
  <c r="AC69" i="33"/>
  <c r="AB192" i="33"/>
  <c r="AB142" i="33"/>
  <c r="AD230" i="33"/>
  <c r="AD123" i="33"/>
  <c r="Z112" i="33"/>
  <c r="AC86" i="33"/>
  <c r="AC189" i="33"/>
  <c r="AC172" i="33"/>
  <c r="AC125" i="33"/>
  <c r="AD160" i="33"/>
  <c r="AB132" i="33"/>
  <c r="AB81" i="33"/>
  <c r="AB171" i="33"/>
  <c r="AD204" i="33"/>
  <c r="AB245" i="33"/>
  <c r="AC269" i="33"/>
  <c r="AD74" i="33"/>
  <c r="AC162" i="33"/>
  <c r="AB183" i="33"/>
  <c r="AE162" i="33"/>
  <c r="AC230" i="33"/>
  <c r="Z160" i="33"/>
  <c r="AB230" i="33"/>
  <c r="AD145" i="33"/>
  <c r="AA87" i="33"/>
  <c r="Z230" i="33"/>
  <c r="AB128" i="33"/>
  <c r="Z175" i="33"/>
  <c r="AE163" i="33"/>
  <c r="AA251" i="33"/>
  <c r="AB185" i="33"/>
  <c r="AD159" i="33"/>
  <c r="AA231" i="33"/>
  <c r="AD231" i="33"/>
  <c r="AB163" i="33"/>
  <c r="AC161" i="33"/>
  <c r="AA161" i="33"/>
  <c r="AD161" i="33"/>
  <c r="AA175" i="33"/>
  <c r="AA160" i="33"/>
  <c r="AB175" i="33"/>
  <c r="Z100" i="33"/>
  <c r="AA230" i="33"/>
  <c r="AC79" i="33"/>
  <c r="AD79" i="33"/>
  <c r="AA79" i="33"/>
  <c r="AE79" i="33"/>
  <c r="AB79" i="33"/>
  <c r="Z79" i="33"/>
  <c r="AA229" i="33"/>
  <c r="AB231" i="33"/>
  <c r="AA69" i="33"/>
  <c r="Z89" i="33"/>
  <c r="AA259" i="33"/>
  <c r="AC185" i="33"/>
  <c r="Z185" i="33"/>
  <c r="AC251" i="33"/>
  <c r="AB127" i="33"/>
  <c r="AD229" i="33"/>
  <c r="AC211" i="33"/>
  <c r="AB103" i="33"/>
  <c r="AD162" i="33"/>
  <c r="AE229" i="33"/>
  <c r="AE230" i="33"/>
  <c r="AD256" i="33"/>
  <c r="Z166" i="33"/>
  <c r="Z241" i="33"/>
  <c r="AB131" i="33"/>
  <c r="AE218" i="33"/>
  <c r="AE217" i="33"/>
  <c r="AD198" i="33"/>
  <c r="AC159" i="33"/>
  <c r="AD163" i="33"/>
  <c r="AC163" i="33"/>
  <c r="AD117" i="33"/>
  <c r="AE186" i="33"/>
  <c r="AB161" i="33"/>
  <c r="Z231" i="33"/>
  <c r="AD212" i="33"/>
  <c r="AA119" i="33"/>
  <c r="AA122" i="33"/>
  <c r="Z198" i="33"/>
  <c r="AA74" i="33"/>
  <c r="AE127" i="33"/>
  <c r="AB228" i="33"/>
  <c r="AE160" i="33"/>
  <c r="AC213" i="33"/>
  <c r="AB157" i="33"/>
  <c r="Z229" i="33"/>
  <c r="AA163" i="33"/>
  <c r="Z163" i="33"/>
  <c r="AA131" i="33"/>
  <c r="AD115" i="33"/>
  <c r="AC169" i="33"/>
  <c r="AE175" i="33"/>
  <c r="AC231" i="33"/>
  <c r="AE74" i="33"/>
  <c r="N285" i="33"/>
  <c r="O285" i="33"/>
  <c r="W304" i="32" l="1"/>
  <c r="Z305" i="32"/>
  <c r="AB305" i="32" s="1"/>
  <c r="U305" i="32"/>
  <c r="X306" i="32"/>
  <c r="S305" i="32"/>
  <c r="T305" i="32"/>
  <c r="V305" i="32"/>
  <c r="AC305" i="32"/>
  <c r="AF305" i="32" s="1"/>
  <c r="L305" i="33" s="1"/>
  <c r="AD305" i="32"/>
  <c r="AG305" i="32" s="1"/>
  <c r="M305" i="33" s="1"/>
  <c r="Y299" i="32"/>
  <c r="AA298" i="32"/>
  <c r="AC298" i="32"/>
  <c r="AD297" i="32"/>
  <c r="AB297" i="32"/>
  <c r="Y283" i="32"/>
  <c r="AA282" i="32"/>
  <c r="AC282" i="32"/>
  <c r="AF282" i="32" s="1"/>
  <c r="L282" i="33" s="1"/>
  <c r="AB281" i="32"/>
  <c r="AD281" i="32"/>
  <c r="AG281" i="32" s="1"/>
  <c r="M281" i="33" s="1"/>
  <c r="AV281" i="32"/>
  <c r="AW280" i="32"/>
  <c r="AV297" i="32"/>
  <c r="AW296" i="32"/>
  <c r="AG288" i="32"/>
  <c r="M288" i="33" s="1"/>
  <c r="AF288" i="32"/>
  <c r="L288" i="33" s="1"/>
  <c r="H289" i="32"/>
  <c r="J289" i="33" s="1"/>
  <c r="G288" i="32"/>
  <c r="I288" i="33" s="1"/>
  <c r="O286" i="33"/>
  <c r="N286" i="33"/>
  <c r="W305" i="32" l="1"/>
  <c r="X307" i="32"/>
  <c r="Z306" i="32"/>
  <c r="AB306" i="32" s="1"/>
  <c r="V306" i="32"/>
  <c r="S306" i="32"/>
  <c r="T306" i="32"/>
  <c r="U306" i="32"/>
  <c r="AC306" i="32"/>
  <c r="AF306" i="32" s="1"/>
  <c r="L306" i="33" s="1"/>
  <c r="AD306" i="32"/>
  <c r="AG306" i="32" s="1"/>
  <c r="M306" i="33" s="1"/>
  <c r="AA283" i="32"/>
  <c r="Y284" i="32"/>
  <c r="AC283" i="32"/>
  <c r="AF283" i="32" s="1"/>
  <c r="L283" i="33" s="1"/>
  <c r="AD282" i="32"/>
  <c r="AG282" i="32" s="1"/>
  <c r="M282" i="33" s="1"/>
  <c r="AB282" i="32"/>
  <c r="AD298" i="32"/>
  <c r="AB298" i="32"/>
  <c r="AA299" i="32"/>
  <c r="Y300" i="32"/>
  <c r="AC299" i="32"/>
  <c r="AV298" i="32"/>
  <c r="AW297" i="32"/>
  <c r="AV282" i="32"/>
  <c r="AW281" i="32"/>
  <c r="AF289" i="32"/>
  <c r="L289" i="33" s="1"/>
  <c r="AG289" i="32"/>
  <c r="M289" i="33" s="1"/>
  <c r="H290" i="32"/>
  <c r="J290" i="33" s="1"/>
  <c r="G289" i="32"/>
  <c r="I289" i="33" s="1"/>
  <c r="AE286" i="33"/>
  <c r="AA286" i="33"/>
  <c r="AB286" i="33"/>
  <c r="AC286" i="33"/>
  <c r="Z286" i="33"/>
  <c r="AD286" i="33"/>
  <c r="O287" i="33"/>
  <c r="N287" i="33"/>
  <c r="W306" i="32" l="1"/>
  <c r="X308" i="32"/>
  <c r="Z307" i="32"/>
  <c r="AB307" i="32" s="1"/>
  <c r="T307" i="32"/>
  <c r="S307" i="32"/>
  <c r="V307" i="32"/>
  <c r="U307" i="32"/>
  <c r="AC307" i="32"/>
  <c r="AF307" i="32" s="1"/>
  <c r="L307" i="33" s="1"/>
  <c r="AD307" i="32"/>
  <c r="AG307" i="32" s="1"/>
  <c r="M307" i="33" s="1"/>
  <c r="AB299" i="32"/>
  <c r="AD299" i="32"/>
  <c r="Y285" i="32"/>
  <c r="AA284" i="32"/>
  <c r="AC284" i="32"/>
  <c r="AF284" i="32" s="1"/>
  <c r="L284" i="33" s="1"/>
  <c r="Y301" i="32"/>
  <c r="AA300" i="32"/>
  <c r="AC300" i="32"/>
  <c r="AB283" i="32"/>
  <c r="AD283" i="32"/>
  <c r="AG283" i="32" s="1"/>
  <c r="M283" i="33" s="1"/>
  <c r="AV299" i="32"/>
  <c r="AW298" i="32"/>
  <c r="AV283" i="32"/>
  <c r="AW282" i="32"/>
  <c r="AF290" i="32"/>
  <c r="L290" i="33" s="1"/>
  <c r="AG290" i="32"/>
  <c r="M290" i="33" s="1"/>
  <c r="H291" i="32"/>
  <c r="J291" i="33" s="1"/>
  <c r="G290" i="32"/>
  <c r="I290" i="33" s="1"/>
  <c r="AB287" i="33"/>
  <c r="AA287" i="33"/>
  <c r="AE287" i="33"/>
  <c r="Z287" i="33"/>
  <c r="AC287" i="33"/>
  <c r="AD287" i="33"/>
  <c r="O288" i="33"/>
  <c r="N288" i="33"/>
  <c r="W307" i="32" l="1"/>
  <c r="Z308" i="32"/>
  <c r="AB308" i="32" s="1"/>
  <c r="X309" i="32"/>
  <c r="T308" i="32"/>
  <c r="S308" i="32"/>
  <c r="V308" i="32"/>
  <c r="U308" i="32"/>
  <c r="AC308" i="32"/>
  <c r="AF308" i="32" s="1"/>
  <c r="L308" i="33" s="1"/>
  <c r="AD308" i="32"/>
  <c r="AG308" i="32" s="1"/>
  <c r="M308" i="33" s="1"/>
  <c r="AD284" i="32"/>
  <c r="AG284" i="32" s="1"/>
  <c r="M284" i="33" s="1"/>
  <c r="AB284" i="32"/>
  <c r="AA285" i="32"/>
  <c r="AC285" i="32"/>
  <c r="AF285" i="32" s="1"/>
  <c r="L285" i="33" s="1"/>
  <c r="AD300" i="32"/>
  <c r="AB300" i="32"/>
  <c r="AA301" i="32"/>
  <c r="AC301" i="32"/>
  <c r="AV284" i="32"/>
  <c r="AW283" i="32"/>
  <c r="AV300" i="32"/>
  <c r="AW299" i="32"/>
  <c r="AF291" i="32"/>
  <c r="L291" i="33" s="1"/>
  <c r="AG291" i="32"/>
  <c r="M291" i="33" s="1"/>
  <c r="H292" i="32"/>
  <c r="J292" i="33" s="1"/>
  <c r="G291" i="32"/>
  <c r="I291" i="33" s="1"/>
  <c r="AD288" i="33"/>
  <c r="Z288" i="33"/>
  <c r="AE288" i="33"/>
  <c r="AA288" i="33"/>
  <c r="AB288" i="33"/>
  <c r="AC288" i="33"/>
  <c r="O289" i="33"/>
  <c r="N289" i="33"/>
  <c r="Z309" i="32" l="1"/>
  <c r="AB309" i="32" s="1"/>
  <c r="X310" i="32"/>
  <c r="V309" i="32"/>
  <c r="U309" i="32"/>
  <c r="T309" i="32"/>
  <c r="S309" i="32"/>
  <c r="AC309" i="32"/>
  <c r="AF309" i="32" s="1"/>
  <c r="L309" i="33" s="1"/>
  <c r="AD309" i="32"/>
  <c r="AG309" i="32" s="1"/>
  <c r="M309" i="33" s="1"/>
  <c r="W308" i="32"/>
  <c r="AD301" i="32"/>
  <c r="AB301" i="32"/>
  <c r="AB285" i="32"/>
  <c r="AD285" i="32"/>
  <c r="AG285" i="32" s="1"/>
  <c r="M285" i="33" s="1"/>
  <c r="AV301" i="32"/>
  <c r="AW301" i="32" s="1"/>
  <c r="AW300" i="32"/>
  <c r="AV285" i="32"/>
  <c r="AW285" i="32" s="1"/>
  <c r="AW284" i="32"/>
  <c r="AF292" i="32"/>
  <c r="L292" i="33" s="1"/>
  <c r="AG292" i="32"/>
  <c r="M292" i="33" s="1"/>
  <c r="H293" i="32"/>
  <c r="J293" i="33" s="1"/>
  <c r="G292" i="32"/>
  <c r="I292" i="33" s="1"/>
  <c r="AA289" i="33"/>
  <c r="AB289" i="33"/>
  <c r="Z289" i="33"/>
  <c r="AD289" i="33"/>
  <c r="AC289" i="33"/>
  <c r="AE289" i="33"/>
  <c r="O290" i="33"/>
  <c r="N290" i="33"/>
  <c r="W309" i="32" l="1"/>
  <c r="X311" i="32"/>
  <c r="Z310" i="32"/>
  <c r="AB310" i="32" s="1"/>
  <c r="V310" i="32"/>
  <c r="S310" i="32"/>
  <c r="U310" i="32"/>
  <c r="T310" i="32"/>
  <c r="AC310" i="32"/>
  <c r="AF310" i="32" s="1"/>
  <c r="L310" i="33" s="1"/>
  <c r="AD310" i="32"/>
  <c r="AG310" i="32" s="1"/>
  <c r="M310" i="33" s="1"/>
  <c r="AF293" i="32"/>
  <c r="L293" i="33" s="1"/>
  <c r="AG293" i="32"/>
  <c r="M293" i="33" s="1"/>
  <c r="H294" i="32"/>
  <c r="J294" i="33" s="1"/>
  <c r="G293" i="32"/>
  <c r="I293" i="33" s="1"/>
  <c r="AC290" i="33"/>
  <c r="AE290" i="33"/>
  <c r="AA290" i="33"/>
  <c r="AB290" i="33"/>
  <c r="AD290" i="33"/>
  <c r="Z290" i="33"/>
  <c r="O291" i="33"/>
  <c r="N291" i="33"/>
  <c r="W310" i="32" l="1"/>
  <c r="Z311" i="32"/>
  <c r="AB311" i="32" s="1"/>
  <c r="X312" i="32"/>
  <c r="S311" i="32"/>
  <c r="T311" i="32"/>
  <c r="U311" i="32"/>
  <c r="V311" i="32"/>
  <c r="AC311" i="32"/>
  <c r="AF311" i="32" s="1"/>
  <c r="L311" i="33" s="1"/>
  <c r="AD311" i="32"/>
  <c r="AG311" i="32" s="1"/>
  <c r="M311" i="33" s="1"/>
  <c r="AF294" i="32"/>
  <c r="L294" i="33" s="1"/>
  <c r="AG294" i="32"/>
  <c r="M294" i="33" s="1"/>
  <c r="H295" i="32"/>
  <c r="J295" i="33" s="1"/>
  <c r="G294" i="32"/>
  <c r="I294" i="33" s="1"/>
  <c r="AB291" i="33"/>
  <c r="AA291" i="33"/>
  <c r="AE291" i="33"/>
  <c r="AD291" i="33"/>
  <c r="Z291" i="33"/>
  <c r="AC291" i="33"/>
  <c r="O292" i="33"/>
  <c r="N292" i="33"/>
  <c r="U312" i="32" l="1"/>
  <c r="T312" i="32"/>
  <c r="Z312" i="32"/>
  <c r="AB312" i="32" s="1"/>
  <c r="S312" i="32"/>
  <c r="V312" i="32"/>
  <c r="AC312" i="32"/>
  <c r="AF312" i="32" s="1"/>
  <c r="L312" i="33" s="1"/>
  <c r="AD312" i="32"/>
  <c r="AG312" i="32" s="1"/>
  <c r="M312" i="33" s="1"/>
  <c r="W311" i="32"/>
  <c r="AF295" i="32"/>
  <c r="L295" i="33" s="1"/>
  <c r="AG295" i="32"/>
  <c r="M295" i="33" s="1"/>
  <c r="H296" i="32"/>
  <c r="J296" i="33" s="1"/>
  <c r="G295" i="32"/>
  <c r="I295" i="33" s="1"/>
  <c r="AC292" i="33"/>
  <c r="Z292" i="33"/>
  <c r="AA292" i="33"/>
  <c r="AB292" i="33"/>
  <c r="AE292" i="33"/>
  <c r="AD292" i="33"/>
  <c r="N293" i="33"/>
  <c r="O293" i="33"/>
  <c r="W312" i="32" l="1"/>
  <c r="AF296" i="32"/>
  <c r="L296" i="33" s="1"/>
  <c r="AG296" i="32"/>
  <c r="M296" i="33" s="1"/>
  <c r="H297" i="32"/>
  <c r="J297" i="33" s="1"/>
  <c r="G296" i="32"/>
  <c r="I296" i="33" s="1"/>
  <c r="AD293" i="33"/>
  <c r="AB293" i="33"/>
  <c r="AA293" i="33"/>
  <c r="AE293" i="33"/>
  <c r="Z293" i="33"/>
  <c r="AC293" i="33"/>
  <c r="O294" i="33"/>
  <c r="N294" i="33"/>
  <c r="AF297" i="32" l="1"/>
  <c r="L297" i="33" s="1"/>
  <c r="AG297" i="32"/>
  <c r="M297" i="33" s="1"/>
  <c r="H298" i="32"/>
  <c r="J298" i="33" s="1"/>
  <c r="G297" i="32"/>
  <c r="I297" i="33" s="1"/>
  <c r="Z294" i="33"/>
  <c r="AC294" i="33"/>
  <c r="AD294" i="33"/>
  <c r="AB294" i="33"/>
  <c r="AE294" i="33"/>
  <c r="AA294" i="33"/>
  <c r="O295" i="33"/>
  <c r="N295" i="33"/>
  <c r="AF298" i="32" l="1"/>
  <c r="L298" i="33" s="1"/>
  <c r="AG298" i="32"/>
  <c r="M298" i="33" s="1"/>
  <c r="H299" i="32"/>
  <c r="J299" i="33" s="1"/>
  <c r="G298" i="32"/>
  <c r="I298" i="33" s="1"/>
  <c r="AE295" i="33"/>
  <c r="AB295" i="33"/>
  <c r="AC295" i="33"/>
  <c r="AD295" i="33"/>
  <c r="AA295" i="33"/>
  <c r="Z295" i="33"/>
  <c r="O296" i="33"/>
  <c r="N296" i="33"/>
  <c r="AF299" i="32" l="1"/>
  <c r="L299" i="33" s="1"/>
  <c r="AG299" i="32"/>
  <c r="M299" i="33" s="1"/>
  <c r="H300" i="32"/>
  <c r="J300" i="33" s="1"/>
  <c r="G299" i="32"/>
  <c r="I299" i="33" s="1"/>
  <c r="AA296" i="33"/>
  <c r="Z296" i="33"/>
  <c r="AD296" i="33"/>
  <c r="AC296" i="33"/>
  <c r="AE296" i="33"/>
  <c r="AB296" i="33"/>
  <c r="O297" i="33"/>
  <c r="N297" i="33"/>
  <c r="AF300" i="32" l="1"/>
  <c r="L300" i="33" s="1"/>
  <c r="AG300" i="32"/>
  <c r="M300" i="33" s="1"/>
  <c r="H301" i="32"/>
  <c r="J301" i="33" s="1"/>
  <c r="G300" i="32"/>
  <c r="I300" i="33" s="1"/>
  <c r="AE297" i="33"/>
  <c r="AA297" i="33"/>
  <c r="AC297" i="33"/>
  <c r="AD297" i="33"/>
  <c r="AB297" i="33"/>
  <c r="Z297" i="33"/>
  <c r="O298" i="33"/>
  <c r="N298" i="33"/>
  <c r="G301" i="32" l="1"/>
  <c r="I301" i="33" s="1"/>
  <c r="AF301" i="32"/>
  <c r="L301" i="33" s="1"/>
  <c r="AG301" i="32"/>
  <c r="M301" i="33" s="1"/>
  <c r="AE298" i="33"/>
  <c r="AD298" i="33"/>
  <c r="AB298" i="33"/>
  <c r="AC298" i="33"/>
  <c r="Z298" i="33"/>
  <c r="AA298" i="33"/>
  <c r="O299" i="33"/>
  <c r="N299" i="33"/>
  <c r="Z299" i="33" l="1"/>
  <c r="AD299" i="33"/>
  <c r="AA299" i="33"/>
  <c r="AB299" i="33"/>
  <c r="AE299" i="33"/>
  <c r="AC299" i="33"/>
  <c r="N300" i="33"/>
  <c r="O300" i="33"/>
  <c r="AE300" i="33" l="1"/>
  <c r="Z300" i="33"/>
  <c r="AA300" i="33"/>
  <c r="AC300" i="33"/>
  <c r="AD300" i="33"/>
  <c r="AB300" i="33"/>
  <c r="N301" i="33"/>
  <c r="O301" i="33"/>
  <c r="Z244" i="33" l="1"/>
  <c r="AA248" i="33"/>
  <c r="AB249" i="33"/>
  <c r="AC250" i="33"/>
  <c r="AC252" i="33"/>
  <c r="Z252" i="33"/>
  <c r="Z24" i="33"/>
  <c r="AC24" i="33"/>
  <c r="AB22" i="33"/>
  <c r="AC23" i="33"/>
  <c r="Z23" i="33"/>
  <c r="AB24" i="33"/>
  <c r="AE24" i="33"/>
  <c r="AD22" i="33"/>
  <c r="AE23" i="33"/>
  <c r="AE22" i="33"/>
  <c r="AB23" i="33"/>
  <c r="AA22" i="33"/>
  <c r="AA24" i="33"/>
  <c r="AD24" i="33"/>
  <c r="Z22" i="33"/>
  <c r="AD23" i="33"/>
  <c r="AA23" i="33"/>
  <c r="AC22" i="33"/>
  <c r="AE254" i="33"/>
  <c r="AE178" i="33"/>
  <c r="AD158" i="33"/>
  <c r="AD93" i="33"/>
  <c r="AD155" i="33"/>
  <c r="AA253" i="33"/>
  <c r="Z256" i="33"/>
  <c r="Z95" i="33"/>
  <c r="AB135" i="33"/>
  <c r="AE237" i="33"/>
  <c r="Z181" i="33"/>
  <c r="AD218" i="33"/>
  <c r="Z106" i="33"/>
  <c r="AC96" i="33"/>
  <c r="AA127" i="33"/>
  <c r="AD85" i="33"/>
  <c r="Z119" i="33"/>
  <c r="AD210" i="33"/>
  <c r="AC242" i="33"/>
  <c r="AD216" i="33"/>
  <c r="AA136" i="33"/>
  <c r="AA204" i="33"/>
  <c r="AA236" i="33"/>
  <c r="Z204" i="33"/>
  <c r="AC273" i="33"/>
  <c r="Z245" i="33"/>
  <c r="AA233" i="33"/>
  <c r="AC240" i="33"/>
  <c r="AB186" i="33"/>
  <c r="AD135" i="33"/>
  <c r="AB139" i="33"/>
  <c r="AE151" i="33"/>
  <c r="AD94" i="33"/>
  <c r="AE138" i="33"/>
  <c r="Z116" i="33"/>
  <c r="AD96" i="33"/>
  <c r="AB158" i="33"/>
  <c r="AD253" i="33"/>
  <c r="AC247" i="33"/>
  <c r="AB262" i="33"/>
  <c r="AD244" i="33"/>
  <c r="AA172" i="33"/>
  <c r="AC270" i="33"/>
  <c r="AC80" i="33"/>
  <c r="AC210" i="33"/>
  <c r="AE85" i="33"/>
  <c r="AB164" i="33"/>
  <c r="AC257" i="33"/>
  <c r="AA171" i="33"/>
  <c r="Z122" i="33"/>
  <c r="AD168" i="33"/>
  <c r="AE110" i="33"/>
  <c r="AC135" i="33"/>
  <c r="AC253" i="33"/>
  <c r="AE135" i="33"/>
  <c r="AB93" i="33"/>
  <c r="Z82" i="33"/>
  <c r="AE150" i="33"/>
  <c r="AD238" i="33"/>
  <c r="AB196" i="33"/>
  <c r="AA92" i="33"/>
  <c r="AC106" i="33"/>
  <c r="AE176" i="33"/>
  <c r="AE221" i="33"/>
  <c r="AD192" i="33"/>
  <c r="AA246" i="33"/>
  <c r="AA138" i="33"/>
  <c r="AA274" i="33"/>
  <c r="AE93" i="33"/>
  <c r="AA100" i="33"/>
  <c r="AD236" i="33"/>
  <c r="AD138" i="33"/>
  <c r="Z209" i="33"/>
  <c r="AD111" i="33"/>
  <c r="AB204" i="33"/>
  <c r="Z232" i="33"/>
  <c r="AB138" i="33"/>
  <c r="AB277" i="33"/>
  <c r="AB167" i="33"/>
  <c r="Z141" i="33"/>
  <c r="AD180" i="33"/>
  <c r="Z200" i="33"/>
  <c r="AE166" i="33"/>
  <c r="AE191" i="33"/>
  <c r="AC197" i="33"/>
  <c r="AD269" i="33"/>
  <c r="AC205" i="33"/>
  <c r="AC138" i="33"/>
  <c r="AA312" i="33"/>
  <c r="AA193" i="33"/>
  <c r="AD274" i="33"/>
  <c r="Z140" i="33"/>
  <c r="Z142" i="33"/>
  <c r="AE144" i="33"/>
  <c r="Z223" i="33"/>
  <c r="AC277" i="33"/>
  <c r="AC179" i="33"/>
  <c r="AD258" i="33"/>
  <c r="AE181" i="33"/>
  <c r="AD133" i="33"/>
  <c r="Z307" i="33"/>
  <c r="AA214" i="33"/>
  <c r="AB106" i="33"/>
  <c r="AB114" i="33"/>
  <c r="Z84" i="33"/>
  <c r="AD114" i="33"/>
  <c r="Z158" i="33"/>
  <c r="Z113" i="33"/>
  <c r="AD306" i="33"/>
  <c r="Z199" i="33"/>
  <c r="Z114" i="33"/>
  <c r="Z173" i="33"/>
  <c r="AB188" i="33"/>
  <c r="AC146" i="33"/>
  <c r="AB189" i="33"/>
  <c r="AC216" i="33"/>
  <c r="Z129" i="33"/>
  <c r="AD224" i="33"/>
  <c r="AD171" i="33"/>
  <c r="AD213" i="33"/>
  <c r="AD235" i="33"/>
  <c r="AB112" i="33"/>
  <c r="AB105" i="33"/>
  <c r="Z81" i="33"/>
  <c r="Z194" i="33"/>
  <c r="AC170" i="33"/>
  <c r="Z203" i="33"/>
  <c r="AB111" i="33"/>
  <c r="AC116" i="33"/>
  <c r="AB80" i="33"/>
  <c r="AA220" i="33"/>
  <c r="AB117" i="33"/>
  <c r="AE256" i="33"/>
  <c r="AB99" i="33"/>
  <c r="AD195" i="33"/>
  <c r="AE154" i="33"/>
  <c r="AC124" i="33"/>
  <c r="AD239" i="33"/>
  <c r="AC88" i="33"/>
  <c r="AB259" i="33"/>
  <c r="AE96" i="33"/>
  <c r="AE219" i="33"/>
  <c r="Z184" i="33"/>
  <c r="AA240" i="33"/>
  <c r="AE109" i="33"/>
  <c r="AE152" i="33"/>
  <c r="Z121" i="33"/>
  <c r="AB176" i="33"/>
  <c r="AE274" i="33"/>
  <c r="AD222" i="33"/>
  <c r="AA189" i="33"/>
  <c r="AC158" i="33"/>
  <c r="AB166" i="33"/>
  <c r="AB180" i="33"/>
  <c r="AA207" i="33"/>
  <c r="AD214" i="33"/>
  <c r="AA85" i="33"/>
  <c r="Z251" i="33"/>
  <c r="AA88" i="33"/>
  <c r="Z246" i="33"/>
  <c r="AE80" i="33"/>
  <c r="AB225" i="33"/>
  <c r="AB134" i="33"/>
  <c r="Z217" i="33"/>
  <c r="AE228" i="33"/>
  <c r="AE118" i="33"/>
  <c r="AE276" i="33"/>
  <c r="AC254" i="33"/>
  <c r="Z195" i="33"/>
  <c r="AA244" i="33"/>
  <c r="AB179" i="33"/>
  <c r="AE122" i="33"/>
  <c r="AE193" i="33"/>
  <c r="AD126" i="33"/>
  <c r="Z240" i="33"/>
  <c r="AD136" i="33"/>
  <c r="AD89" i="33"/>
  <c r="AA307" i="33"/>
  <c r="AC140" i="33"/>
  <c r="AC276" i="33"/>
  <c r="AD202" i="33"/>
  <c r="AB174" i="33"/>
  <c r="AA221" i="33"/>
  <c r="Z85" i="33"/>
  <c r="AC84" i="33"/>
  <c r="AC243" i="33"/>
  <c r="AC208" i="33"/>
  <c r="AB232" i="33"/>
  <c r="AB87" i="33"/>
  <c r="AE101" i="33"/>
  <c r="AB257" i="33"/>
  <c r="AD211" i="33"/>
  <c r="Z267" i="33"/>
  <c r="AD80" i="33"/>
  <c r="AD121" i="33"/>
  <c r="AE270" i="33"/>
  <c r="AC171" i="33"/>
  <c r="AB169" i="33"/>
  <c r="AB178" i="33"/>
  <c r="AC221" i="33"/>
  <c r="AD232" i="33"/>
  <c r="AE306" i="33"/>
  <c r="AE188" i="33"/>
  <c r="Z137" i="33"/>
  <c r="Z177" i="33"/>
  <c r="AB110" i="33"/>
  <c r="AA216" i="33"/>
  <c r="AA144" i="33"/>
  <c r="Z108" i="33"/>
  <c r="Z180" i="33"/>
  <c r="AB88" i="33"/>
  <c r="AE103" i="33"/>
  <c r="AE241" i="33"/>
  <c r="Z263" i="33"/>
  <c r="AE194" i="33"/>
  <c r="AE234" i="33"/>
  <c r="AD205" i="33"/>
  <c r="AD122" i="33"/>
  <c r="Z111" i="33"/>
  <c r="AC278" i="33"/>
  <c r="AA111" i="33"/>
  <c r="AE183" i="33"/>
  <c r="Z306" i="33"/>
  <c r="AA120" i="33"/>
  <c r="Z249" i="33"/>
  <c r="AE310" i="33"/>
  <c r="AA310" i="33"/>
  <c r="AD102" i="33"/>
  <c r="Z124" i="33"/>
  <c r="AD178" i="33"/>
  <c r="AB214" i="33"/>
  <c r="Z126" i="33"/>
  <c r="AC119" i="33"/>
  <c r="AE302" i="33"/>
  <c r="AB96" i="33"/>
  <c r="Z157" i="33"/>
  <c r="AC307" i="33"/>
  <c r="AC98" i="33"/>
  <c r="AC311" i="33"/>
  <c r="AC136" i="33"/>
  <c r="AB311" i="33"/>
  <c r="Z115" i="33"/>
  <c r="AD187" i="33"/>
  <c r="AA250" i="33"/>
  <c r="AA130" i="33"/>
  <c r="Z118" i="33"/>
  <c r="AD223" i="33"/>
  <c r="AA149" i="33"/>
  <c r="AC99" i="33"/>
  <c r="Z270" i="33"/>
  <c r="AB95" i="33"/>
  <c r="Z278" i="33"/>
  <c r="AE199" i="33"/>
  <c r="AE119" i="33"/>
  <c r="Z172" i="33"/>
  <c r="AC110" i="33"/>
  <c r="AE106" i="33"/>
  <c r="AB116" i="33"/>
  <c r="AE89" i="33"/>
  <c r="AE232" i="33"/>
  <c r="AC312" i="33"/>
  <c r="AA208" i="33"/>
  <c r="AD170" i="33"/>
  <c r="AB307" i="33"/>
  <c r="AD193" i="33"/>
  <c r="AE263" i="33"/>
  <c r="AC261" i="33"/>
  <c r="AA235" i="33"/>
  <c r="AA83" i="33"/>
  <c r="AE149" i="33"/>
  <c r="AD228" i="33"/>
  <c r="AC149" i="33"/>
  <c r="AA256" i="33"/>
  <c r="AD184" i="33"/>
  <c r="AD215" i="33"/>
  <c r="Z99" i="33"/>
  <c r="AC91" i="33"/>
  <c r="AA183" i="33"/>
  <c r="AD260" i="33"/>
  <c r="AC271" i="33"/>
  <c r="AA198" i="33"/>
  <c r="AB145" i="33"/>
  <c r="Z258" i="33"/>
  <c r="AA73" i="33"/>
  <c r="AD181" i="33"/>
  <c r="Z215" i="33"/>
  <c r="AD84" i="33"/>
  <c r="AE197" i="33"/>
  <c r="AE264" i="33"/>
  <c r="Z227" i="33"/>
  <c r="AA135" i="33"/>
  <c r="AB152" i="33"/>
  <c r="AC128" i="33"/>
  <c r="AC263" i="33"/>
  <c r="AA203" i="33"/>
  <c r="AD104" i="33"/>
  <c r="AD113" i="33"/>
  <c r="AC188" i="33"/>
  <c r="AC134" i="33"/>
  <c r="AE99" i="33"/>
  <c r="AE167" i="33"/>
  <c r="AB86" i="33"/>
  <c r="AE260" i="33"/>
  <c r="AA186" i="33"/>
  <c r="AA112" i="33"/>
  <c r="AB150" i="33"/>
  <c r="AE248" i="33"/>
  <c r="AA218" i="33"/>
  <c r="AD196" i="33"/>
  <c r="AD177" i="33"/>
  <c r="AA174" i="33"/>
  <c r="AD182" i="33"/>
  <c r="AA262" i="33"/>
  <c r="AE249" i="33"/>
  <c r="AC204" i="33"/>
  <c r="AC235" i="33"/>
  <c r="AD302" i="33"/>
  <c r="AB109" i="33"/>
  <c r="AE128" i="33"/>
  <c r="AA153" i="33"/>
  <c r="AA184" i="33"/>
  <c r="AB255" i="33"/>
  <c r="Z210" i="33"/>
  <c r="AB118" i="33"/>
  <c r="AC105" i="33"/>
  <c r="AA309" i="33"/>
  <c r="AB302" i="33"/>
  <c r="AA106" i="33"/>
  <c r="AD189" i="33"/>
  <c r="AD217" i="33"/>
  <c r="AB97" i="33"/>
  <c r="AA142" i="33"/>
  <c r="AC226" i="33"/>
  <c r="Z87" i="33"/>
  <c r="AC130" i="33"/>
  <c r="AB220" i="33"/>
  <c r="AD149" i="33"/>
  <c r="AB85" i="33"/>
  <c r="Z303" i="33"/>
  <c r="Z101" i="33"/>
  <c r="AA266" i="33"/>
  <c r="Z193" i="33"/>
  <c r="Z134" i="33"/>
  <c r="AC202" i="33"/>
  <c r="AD134" i="33"/>
  <c r="AE81" i="33"/>
  <c r="AE155" i="33"/>
  <c r="AE177" i="33"/>
  <c r="AE164" i="33"/>
  <c r="AB217" i="33"/>
  <c r="AA143" i="33"/>
  <c r="AE239" i="33"/>
  <c r="AA180" i="33"/>
  <c r="Z233" i="33"/>
  <c r="AB270" i="33"/>
  <c r="AD243" i="33"/>
  <c r="AD240" i="33"/>
  <c r="AC113" i="33"/>
  <c r="AD225" i="33"/>
  <c r="AC203" i="33"/>
  <c r="AD271" i="33"/>
  <c r="Z92" i="33"/>
  <c r="AC303" i="33"/>
  <c r="Z125" i="33"/>
  <c r="AB256" i="33"/>
  <c r="AA305" i="33"/>
  <c r="AE209" i="33"/>
  <c r="Z312" i="33"/>
  <c r="AE207" i="33"/>
  <c r="AC237" i="33"/>
  <c r="AA154" i="33"/>
  <c r="AA95" i="33"/>
  <c r="AB209" i="33"/>
  <c r="AC219" i="33"/>
  <c r="AB200" i="33"/>
  <c r="AD169" i="33"/>
  <c r="AA196" i="33"/>
  <c r="AD309" i="33"/>
  <c r="AE140" i="33"/>
  <c r="Z211" i="33"/>
  <c r="AE235" i="33"/>
  <c r="AE206" i="33"/>
  <c r="AC173" i="33"/>
  <c r="Z310" i="33"/>
  <c r="AE126" i="33"/>
  <c r="Z146" i="33"/>
  <c r="AA98" i="33"/>
  <c r="Z90" i="33"/>
  <c r="AB266" i="33"/>
  <c r="AE200" i="33"/>
  <c r="AB199" i="33"/>
  <c r="AA157" i="33"/>
  <c r="Z147" i="33"/>
  <c r="Z264" i="33"/>
  <c r="AE272" i="33"/>
  <c r="Z214" i="33"/>
  <c r="AC157" i="33"/>
  <c r="AB194" i="33"/>
  <c r="AC152" i="33"/>
  <c r="AE157" i="33"/>
  <c r="AB304" i="33"/>
  <c r="AA265" i="33"/>
  <c r="AB273" i="33"/>
  <c r="AB208" i="33"/>
  <c r="AB239" i="33"/>
  <c r="AD141" i="33"/>
  <c r="AD262" i="33"/>
  <c r="AE158" i="33"/>
  <c r="AE141" i="33"/>
  <c r="AD197" i="33"/>
  <c r="AE165" i="33"/>
  <c r="AC176" i="33"/>
  <c r="AB120" i="33"/>
  <c r="AD98" i="33"/>
  <c r="AD127" i="33"/>
  <c r="Z138" i="33"/>
  <c r="AB274" i="33"/>
  <c r="AE84" i="33"/>
  <c r="AE204" i="33"/>
  <c r="AC227" i="33"/>
  <c r="AB91" i="33"/>
  <c r="Z97" i="33"/>
  <c r="Z98" i="33"/>
  <c r="AD90" i="33"/>
  <c r="AE111" i="33"/>
  <c r="AB143" i="33"/>
  <c r="AE146" i="33"/>
  <c r="AC114" i="33"/>
  <c r="AC178" i="33"/>
  <c r="AA150" i="33"/>
  <c r="AD166" i="33"/>
  <c r="Z192" i="33"/>
  <c r="AD194" i="33"/>
  <c r="AE123" i="33"/>
  <c r="AA199" i="33"/>
  <c r="AC104" i="33"/>
  <c r="AA304" i="33"/>
  <c r="Z219" i="33"/>
  <c r="AC264" i="33"/>
  <c r="AA102" i="33"/>
  <c r="AC225" i="33"/>
  <c r="AA89" i="33"/>
  <c r="AE120" i="33"/>
  <c r="AA109" i="33"/>
  <c r="AE210" i="33"/>
  <c r="Z254" i="33"/>
  <c r="AA101" i="33"/>
  <c r="AA125" i="33"/>
  <c r="Z228" i="33"/>
  <c r="AB218" i="33"/>
  <c r="Z243" i="33"/>
  <c r="AD251" i="33"/>
  <c r="AD268" i="33"/>
  <c r="AA151" i="33"/>
  <c r="AC238" i="33"/>
  <c r="AB98" i="33"/>
  <c r="AA146" i="33"/>
  <c r="AC129" i="33"/>
  <c r="AA234" i="33"/>
  <c r="AE216" i="33"/>
  <c r="AE114" i="33"/>
  <c r="AE262" i="33"/>
  <c r="AA93" i="33"/>
  <c r="AA232" i="33"/>
  <c r="AB243" i="33"/>
  <c r="AE266" i="33"/>
  <c r="AE129" i="33"/>
  <c r="AC309" i="33"/>
  <c r="AC262" i="33"/>
  <c r="AC182" i="33"/>
  <c r="AA170" i="33"/>
  <c r="AA260" i="33"/>
  <c r="Z202" i="33"/>
  <c r="AA270" i="33"/>
  <c r="AD201" i="33"/>
  <c r="AB241" i="33"/>
  <c r="AC310" i="33"/>
  <c r="AB73" i="33"/>
  <c r="AD105" i="33"/>
  <c r="AE312" i="33"/>
  <c r="AB265" i="33"/>
  <c r="AC260" i="33"/>
  <c r="AA195" i="33"/>
  <c r="AC193" i="33"/>
  <c r="AC223" i="33"/>
  <c r="Z128" i="33"/>
  <c r="Z207" i="33"/>
  <c r="AA271" i="33"/>
  <c r="AA224" i="33"/>
  <c r="AC232" i="33"/>
  <c r="AB215" i="33"/>
  <c r="AE201" i="33"/>
  <c r="AB213" i="33"/>
  <c r="Z68" i="33"/>
  <c r="Z261" i="33"/>
  <c r="AE268" i="33"/>
  <c r="Z187" i="33"/>
  <c r="AE224" i="33"/>
  <c r="AE202" i="33"/>
  <c r="AE148" i="33"/>
  <c r="AE214" i="33"/>
  <c r="AB264" i="33"/>
  <c r="AD266" i="33"/>
  <c r="AE147" i="33"/>
  <c r="AE195" i="33"/>
  <c r="AE107" i="33"/>
  <c r="AB133" i="33"/>
  <c r="AA115" i="33"/>
  <c r="AB202" i="33"/>
  <c r="Z238" i="33"/>
  <c r="AC93" i="33"/>
  <c r="Z186" i="33"/>
  <c r="AB312" i="33"/>
  <c r="AB275" i="33"/>
  <c r="AC94" i="33"/>
  <c r="AD86" i="33"/>
  <c r="AA84" i="33"/>
  <c r="AE115" i="33"/>
  <c r="Z179" i="33"/>
  <c r="AE208" i="33"/>
  <c r="AC141" i="33"/>
  <c r="AE311" i="33"/>
  <c r="AD140" i="33"/>
  <c r="AB90" i="33"/>
  <c r="AE137" i="33"/>
  <c r="AB233" i="33"/>
  <c r="AB115" i="33"/>
  <c r="AE308" i="33"/>
  <c r="Z268" i="33"/>
  <c r="Z152" i="33"/>
  <c r="AD203" i="33"/>
  <c r="AE153" i="33"/>
  <c r="AB206" i="33"/>
  <c r="AD183" i="33"/>
  <c r="AE240" i="33"/>
  <c r="AA121" i="33"/>
  <c r="AD199" i="33"/>
  <c r="AA86" i="33"/>
  <c r="AE172" i="33"/>
  <c r="AA191" i="33"/>
  <c r="Z103" i="33"/>
  <c r="AB123" i="33"/>
  <c r="Z208" i="33"/>
  <c r="AB278" i="33"/>
  <c r="Z242" i="33"/>
  <c r="AD252" i="33"/>
  <c r="AB148" i="33"/>
  <c r="AA215" i="33"/>
  <c r="AA105" i="33"/>
  <c r="Z182" i="33"/>
  <c r="AD265" i="33"/>
  <c r="AE102" i="33"/>
  <c r="AC132" i="33"/>
  <c r="AC148" i="33"/>
  <c r="AE227" i="33"/>
  <c r="AD261" i="33"/>
  <c r="AA116" i="33"/>
  <c r="AB308" i="33"/>
  <c r="AB184" i="33"/>
  <c r="AA247" i="33"/>
  <c r="AC233" i="33"/>
  <c r="AC164" i="33"/>
  <c r="AB126" i="33"/>
  <c r="AA188" i="33"/>
  <c r="AE179" i="33"/>
  <c r="AB136" i="33"/>
  <c r="Z120" i="33"/>
  <c r="AC90" i="33"/>
  <c r="AB94" i="33"/>
  <c r="AC133" i="33"/>
  <c r="AA166" i="33"/>
  <c r="AC121" i="33"/>
  <c r="Z257" i="33"/>
  <c r="Z135" i="33"/>
  <c r="AC85" i="33"/>
  <c r="AD234" i="33"/>
  <c r="AB130" i="33"/>
  <c r="AD164" i="33"/>
  <c r="AE184" i="33"/>
  <c r="AD88" i="33"/>
  <c r="AC137" i="33"/>
  <c r="AC115" i="33"/>
  <c r="Z151" i="33"/>
  <c r="AC147" i="33"/>
  <c r="AD108" i="33"/>
  <c r="AC187" i="33"/>
  <c r="AD307" i="33"/>
  <c r="AD233" i="33"/>
  <c r="Z156" i="33"/>
  <c r="AA167" i="33"/>
  <c r="AA104" i="33"/>
  <c r="AE205" i="33"/>
  <c r="AC215" i="33"/>
  <c r="AE255" i="33"/>
  <c r="AC167" i="33"/>
  <c r="AC131" i="33"/>
  <c r="AB122" i="33"/>
  <c r="AD172" i="33"/>
  <c r="AC108" i="33"/>
  <c r="AB306" i="33"/>
  <c r="AE88" i="33"/>
  <c r="AE125" i="33"/>
  <c r="AD254" i="33"/>
  <c r="Z176" i="33"/>
  <c r="AD245" i="33"/>
  <c r="AC218" i="33"/>
  <c r="AE132" i="33"/>
  <c r="AC191" i="33"/>
  <c r="AB100" i="33"/>
  <c r="AA179" i="33"/>
  <c r="AE133" i="33"/>
  <c r="Z105" i="33"/>
  <c r="AD147" i="33"/>
  <c r="AE83" i="33"/>
  <c r="AE182" i="33"/>
  <c r="AC127" i="33"/>
  <c r="Z167" i="33"/>
  <c r="AC123" i="33"/>
  <c r="AC154" i="33"/>
  <c r="AD248" i="33"/>
  <c r="AB182" i="33"/>
  <c r="AD226" i="33"/>
  <c r="AC267" i="33"/>
  <c r="AB224" i="33"/>
  <c r="AA147" i="33"/>
  <c r="AB242" i="33"/>
  <c r="AA268" i="33"/>
  <c r="AD242" i="33"/>
  <c r="AB260" i="33"/>
  <c r="AE169" i="33"/>
  <c r="AC89" i="33"/>
  <c r="AB219" i="33"/>
  <c r="AD221" i="33"/>
  <c r="AD142" i="33"/>
  <c r="AE105" i="33"/>
  <c r="AA308" i="33"/>
  <c r="AC198" i="33"/>
  <c r="AD118" i="33"/>
  <c r="AE187" i="33"/>
  <c r="AD81" i="33"/>
  <c r="Z74" i="33"/>
  <c r="AC212" i="33"/>
  <c r="Z273" i="33"/>
  <c r="Z183" i="33"/>
  <c r="Z168" i="33"/>
  <c r="Z224" i="33"/>
  <c r="AA277" i="33"/>
  <c r="AA210" i="33"/>
  <c r="Z266" i="33"/>
  <c r="AE233" i="33"/>
  <c r="AC112" i="33"/>
  <c r="AC306" i="33"/>
  <c r="AB170" i="33"/>
  <c r="AC81" i="33"/>
  <c r="AA209" i="33"/>
  <c r="AC144" i="33"/>
  <c r="AE257" i="33"/>
  <c r="AD95" i="33"/>
  <c r="AA303" i="33"/>
  <c r="AA103" i="33"/>
  <c r="AA273" i="33"/>
  <c r="AE236" i="33"/>
  <c r="AC241" i="33"/>
  <c r="AC228" i="33"/>
  <c r="Z174" i="33"/>
  <c r="Z145" i="33"/>
  <c r="Z206" i="33"/>
  <c r="Z248" i="33"/>
  <c r="AE269" i="33"/>
  <c r="Z102" i="33"/>
  <c r="AE174" i="33"/>
  <c r="AD186" i="33"/>
  <c r="AD130" i="33"/>
  <c r="AC103" i="33"/>
  <c r="AB205" i="33"/>
  <c r="AB84" i="33"/>
  <c r="AA141" i="33"/>
  <c r="AC153" i="33"/>
  <c r="AA155" i="33"/>
  <c r="AC195" i="33"/>
  <c r="AE104" i="33"/>
  <c r="AD139" i="33"/>
  <c r="AE250" i="33"/>
  <c r="AA255" i="33"/>
  <c r="Z304" i="33"/>
  <c r="AC256" i="33"/>
  <c r="AE97" i="33"/>
  <c r="AC201" i="33"/>
  <c r="AB244" i="33"/>
  <c r="Z311" i="33"/>
  <c r="AB246" i="33"/>
  <c r="AA272" i="33"/>
  <c r="AA263" i="33"/>
  <c r="AB113" i="33"/>
  <c r="AB258" i="33"/>
  <c r="Z189" i="33"/>
  <c r="Z169" i="33"/>
  <c r="AA205" i="33"/>
  <c r="AE139" i="33"/>
  <c r="AB107" i="33"/>
  <c r="Z107" i="33"/>
  <c r="AB141" i="33"/>
  <c r="AC194" i="33"/>
  <c r="AA148" i="33"/>
  <c r="AB269" i="33"/>
  <c r="Z188" i="33"/>
  <c r="Z91" i="33"/>
  <c r="AB154" i="33"/>
  <c r="AD209" i="33"/>
  <c r="Z127" i="33"/>
  <c r="AD144" i="33"/>
  <c r="AB198" i="33"/>
  <c r="AD220" i="33"/>
  <c r="AB124" i="33"/>
  <c r="AA276" i="33"/>
  <c r="AB129" i="33"/>
  <c r="AA145" i="33"/>
  <c r="AC111" i="33"/>
  <c r="AA258" i="33"/>
  <c r="AE244" i="33"/>
  <c r="AB252" i="33"/>
  <c r="AB168" i="33"/>
  <c r="Z201" i="33"/>
  <c r="AE265" i="33"/>
  <c r="Z132" i="33"/>
  <c r="AE121" i="33"/>
  <c r="AB263" i="33"/>
  <c r="Z253" i="33"/>
  <c r="AA97" i="33"/>
  <c r="AE212" i="33"/>
  <c r="AE117" i="33"/>
  <c r="AD219" i="33"/>
  <c r="AB201" i="33"/>
  <c r="AC165" i="33"/>
  <c r="AB240" i="33"/>
  <c r="AB156" i="33"/>
  <c r="AA201" i="33"/>
  <c r="AD255" i="33"/>
  <c r="AD132" i="33"/>
  <c r="AD257" i="33"/>
  <c r="AE198" i="33"/>
  <c r="AD112" i="33"/>
  <c r="Z154" i="33"/>
  <c r="AB276" i="33"/>
  <c r="AC245" i="33"/>
  <c r="AD272" i="33"/>
  <c r="Z216" i="33"/>
  <c r="AA124" i="33"/>
  <c r="AE223" i="33"/>
  <c r="AD249" i="33"/>
  <c r="AC82" i="33"/>
  <c r="AE95" i="33"/>
  <c r="AC258" i="33"/>
  <c r="AC143" i="33"/>
  <c r="Z104" i="33"/>
  <c r="AE215" i="33"/>
  <c r="AC304" i="33"/>
  <c r="AB149" i="33"/>
  <c r="AA169" i="33"/>
  <c r="AE98" i="33"/>
  <c r="Z305" i="33"/>
  <c r="AA206" i="33"/>
  <c r="AA126" i="33"/>
  <c r="AC168" i="33"/>
  <c r="AC248" i="33"/>
  <c r="AB102" i="33"/>
  <c r="AE108" i="33"/>
  <c r="AE171" i="33"/>
  <c r="AE242" i="33"/>
  <c r="AB172" i="33"/>
  <c r="AA249" i="33"/>
  <c r="AD101" i="33"/>
  <c r="AA267" i="33"/>
  <c r="AA91" i="33"/>
  <c r="AB92" i="33"/>
  <c r="AE309" i="33"/>
  <c r="AB144" i="33"/>
  <c r="AA108" i="33"/>
  <c r="Z279" i="33"/>
  <c r="AE213" i="33"/>
  <c r="AE271" i="33"/>
  <c r="AD185" i="33"/>
  <c r="AB271" i="33"/>
  <c r="AC175" i="33"/>
  <c r="AC155" i="33"/>
  <c r="AE143" i="33"/>
  <c r="AB238" i="33"/>
  <c r="Z162" i="33"/>
  <c r="AE226" i="33"/>
  <c r="AD151" i="33"/>
  <c r="AA243" i="33"/>
  <c r="Z260" i="33"/>
  <c r="AE303" i="33"/>
  <c r="Z269" i="33"/>
  <c r="AB140" i="33"/>
  <c r="AE112" i="33"/>
  <c r="AC265" i="33"/>
  <c r="AA212" i="33"/>
  <c r="AD150" i="33"/>
  <c r="AB226" i="33"/>
  <c r="Z222" i="33"/>
  <c r="AE259" i="33"/>
  <c r="AE94" i="33"/>
  <c r="AC308" i="33"/>
  <c r="Z93" i="33"/>
  <c r="AC107" i="33"/>
  <c r="Z149" i="33"/>
  <c r="AA302" i="33"/>
  <c r="AC102" i="33"/>
  <c r="AC196" i="33"/>
  <c r="AD157" i="33"/>
  <c r="AD278" i="33"/>
  <c r="AC192" i="33"/>
  <c r="AB236" i="33"/>
  <c r="AD246" i="33"/>
  <c r="AD200" i="33"/>
  <c r="AC166" i="33"/>
  <c r="AB151" i="33"/>
  <c r="AE130" i="33"/>
  <c r="AE91" i="33"/>
  <c r="AA278" i="33"/>
  <c r="AE190" i="33"/>
  <c r="AB83" i="33"/>
  <c r="AE161" i="33"/>
  <c r="Z275" i="33"/>
  <c r="AC220" i="33"/>
  <c r="AE189" i="33"/>
  <c r="AD82" i="33"/>
  <c r="AA178" i="33"/>
  <c r="AC120" i="33"/>
  <c r="AC229" i="33"/>
  <c r="AB210" i="33"/>
  <c r="AA213" i="33"/>
  <c r="AD305" i="33"/>
  <c r="AD304" i="33"/>
  <c r="AA185" i="33"/>
  <c r="AA252" i="33"/>
  <c r="AC207" i="33"/>
  <c r="AE136" i="33"/>
  <c r="AC100" i="33"/>
  <c r="AA182" i="33"/>
  <c r="Z170" i="33"/>
  <c r="AE134" i="33"/>
  <c r="AA237" i="33"/>
  <c r="AD273" i="33"/>
  <c r="AB108" i="33"/>
  <c r="AD156" i="33"/>
  <c r="Z271" i="33"/>
  <c r="AD143" i="33"/>
  <c r="AD264" i="33"/>
  <c r="AB177" i="33"/>
  <c r="AB235" i="33"/>
  <c r="AA134" i="33"/>
  <c r="AE307" i="33"/>
  <c r="AB203" i="33"/>
  <c r="AD207" i="33"/>
  <c r="AB247" i="33"/>
  <c r="AA241" i="33"/>
  <c r="AC206" i="33"/>
  <c r="AE131" i="33"/>
  <c r="AD227" i="33"/>
  <c r="AC183" i="33"/>
  <c r="AC122" i="33"/>
  <c r="AA152" i="33"/>
  <c r="AD275" i="33"/>
  <c r="AD310" i="33"/>
  <c r="AC126" i="33"/>
  <c r="AD120" i="33"/>
  <c r="AD146" i="33"/>
  <c r="Z277" i="33"/>
  <c r="AB253" i="33"/>
  <c r="AD148" i="33"/>
  <c r="AC184" i="33"/>
  <c r="AB165" i="33"/>
  <c r="AE246" i="33"/>
  <c r="AE220" i="33"/>
  <c r="AB121" i="33"/>
  <c r="AA156" i="33"/>
  <c r="AC190" i="33"/>
  <c r="AB251" i="33"/>
  <c r="Z165" i="33"/>
  <c r="AC305" i="33"/>
  <c r="AD165" i="33"/>
  <c r="AD303" i="33"/>
  <c r="AA114" i="33"/>
  <c r="AC274" i="33"/>
  <c r="Z88" i="33"/>
  <c r="AC117" i="33"/>
  <c r="AA128" i="33"/>
  <c r="AA264" i="33"/>
  <c r="AD241" i="33"/>
  <c r="Z139" i="33"/>
  <c r="Z161" i="33"/>
  <c r="AE252" i="33"/>
  <c r="AC275" i="33"/>
  <c r="AE305" i="33"/>
  <c r="AB162" i="33"/>
  <c r="AC150" i="33"/>
  <c r="Z237" i="33"/>
  <c r="AE222" i="33"/>
  <c r="AC259" i="33"/>
  <c r="AB101" i="33"/>
  <c r="AA279" i="33"/>
  <c r="AE245" i="33"/>
  <c r="AC156" i="33"/>
  <c r="AA227" i="33"/>
  <c r="Z83" i="33"/>
  <c r="Z148" i="33"/>
  <c r="AD190" i="33"/>
  <c r="AB248" i="33"/>
  <c r="AA123" i="33"/>
  <c r="AB234" i="33"/>
  <c r="AA275" i="33"/>
  <c r="AD308" i="33"/>
  <c r="AB191" i="33"/>
  <c r="AC199" i="33"/>
  <c r="AE196" i="33"/>
  <c r="AD152" i="33"/>
  <c r="AD110" i="33"/>
  <c r="AE156" i="33"/>
  <c r="AC209" i="33"/>
  <c r="Z133" i="33"/>
  <c r="AD116" i="33"/>
  <c r="AA223" i="33"/>
  <c r="Z130" i="33"/>
  <c r="AB197" i="33"/>
  <c r="AA269" i="33"/>
  <c r="AC236" i="33"/>
  <c r="Z218" i="33"/>
  <c r="AD175" i="33"/>
  <c r="AD167" i="33"/>
  <c r="AC268" i="33"/>
  <c r="AD107" i="33"/>
  <c r="AE180" i="33"/>
  <c r="AC180" i="33"/>
  <c r="AD153" i="33"/>
  <c r="AB181" i="33"/>
  <c r="AA254" i="33"/>
  <c r="Z131" i="33"/>
  <c r="AA118" i="33"/>
  <c r="AA211" i="33"/>
  <c r="AE278" i="33"/>
  <c r="AB119" i="33"/>
  <c r="AC302" i="33"/>
  <c r="AA99" i="33"/>
  <c r="AA82" i="33"/>
  <c r="AB147" i="33"/>
  <c r="AC249" i="33"/>
  <c r="Z110" i="33"/>
  <c r="AD91" i="33"/>
  <c r="AD100" i="33"/>
  <c r="AA228" i="33"/>
  <c r="Z262" i="33"/>
  <c r="AE267" i="33"/>
  <c r="AE87" i="33"/>
  <c r="Z236" i="33"/>
  <c r="AB89" i="33"/>
  <c r="AA176" i="33"/>
  <c r="AD97" i="33"/>
  <c r="AD277" i="33"/>
  <c r="AA133" i="33"/>
  <c r="AE275" i="33"/>
  <c r="Z265" i="33"/>
  <c r="AB104" i="33"/>
  <c r="Z272" i="33"/>
  <c r="AA202" i="33"/>
  <c r="AC239" i="33"/>
  <c r="AB305" i="33"/>
  <c r="AC177" i="33"/>
  <c r="AD99" i="33"/>
  <c r="AE168" i="33"/>
  <c r="AE304" i="33"/>
  <c r="AA217" i="33"/>
  <c r="Z69" i="33"/>
  <c r="Z191" i="33"/>
  <c r="AC109" i="33"/>
  <c r="Z144" i="33"/>
  <c r="Z255" i="33"/>
  <c r="AB82" i="33"/>
  <c r="AC151" i="33"/>
  <c r="AB195" i="33"/>
  <c r="AC214" i="33"/>
  <c r="AE225" i="33"/>
  <c r="AD247" i="33"/>
  <c r="AE273" i="33"/>
  <c r="AA81" i="33"/>
  <c r="AE251" i="33"/>
  <c r="Z276" i="33"/>
  <c r="AB237" i="33"/>
  <c r="Z171" i="33"/>
  <c r="AA219" i="33"/>
  <c r="AB207" i="33"/>
  <c r="AD191" i="33"/>
  <c r="AB221" i="33"/>
  <c r="AC101" i="33"/>
  <c r="Z205" i="33"/>
  <c r="AE100" i="33"/>
  <c r="AD173" i="33"/>
  <c r="AA158" i="33"/>
  <c r="AB212" i="33"/>
  <c r="AB227" i="33"/>
  <c r="AC244" i="33"/>
  <c r="Z117" i="33"/>
  <c r="AC200" i="33"/>
  <c r="AA168" i="33"/>
  <c r="AC142" i="33"/>
  <c r="AD267" i="33"/>
  <c r="AD137" i="33"/>
  <c r="AE253" i="33"/>
  <c r="AB146" i="33"/>
  <c r="Z239" i="33"/>
  <c r="AD250" i="33"/>
  <c r="Z308" i="33"/>
  <c r="AD279" i="33"/>
  <c r="AA261" i="33"/>
  <c r="AC139" i="33"/>
  <c r="Z109" i="33"/>
  <c r="AC272" i="33"/>
  <c r="AA311" i="33"/>
  <c r="AA226" i="33"/>
  <c r="AA225" i="33"/>
  <c r="AA242" i="33"/>
  <c r="AE124" i="33"/>
  <c r="AD106" i="33"/>
  <c r="AA197" i="33"/>
  <c r="AC255" i="33"/>
  <c r="AA173" i="33"/>
  <c r="AD174" i="33"/>
  <c r="AD125" i="33"/>
  <c r="AA192" i="33"/>
  <c r="AB250" i="33"/>
  <c r="AB74" i="33"/>
  <c r="AB310" i="33"/>
  <c r="AE203" i="33"/>
  <c r="AA200" i="33"/>
  <c r="AE173" i="33"/>
  <c r="AB254" i="33"/>
  <c r="AA137" i="33"/>
  <c r="AB309" i="33"/>
  <c r="AC224" i="33"/>
  <c r="AD259" i="33"/>
  <c r="Z94" i="33"/>
  <c r="AC234" i="33"/>
  <c r="AD206" i="33"/>
  <c r="AB193" i="33"/>
  <c r="AB137" i="33"/>
  <c r="AA306" i="33"/>
  <c r="AB272" i="33"/>
  <c r="AA187" i="33"/>
  <c r="Z212" i="33"/>
  <c r="Z309" i="33"/>
  <c r="AE277" i="33"/>
  <c r="Z123" i="33"/>
  <c r="AB125" i="33"/>
  <c r="AD208" i="33"/>
  <c r="AE142" i="33"/>
  <c r="Z250" i="33"/>
  <c r="AD103" i="33"/>
  <c r="AC217" i="33"/>
  <c r="AE86" i="33"/>
  <c r="AA239" i="33"/>
  <c r="AB211" i="33"/>
  <c r="AA96" i="33"/>
  <c r="Z220" i="33"/>
  <c r="AE258" i="33"/>
  <c r="AB69" i="33"/>
  <c r="AA113" i="33"/>
  <c r="AA94" i="33"/>
  <c r="AE116" i="33"/>
  <c r="AA177" i="33"/>
  <c r="AD263" i="33"/>
  <c r="AE238" i="33"/>
  <c r="Z226" i="33"/>
  <c r="AE113" i="33"/>
  <c r="Z178" i="33"/>
  <c r="AB155" i="33"/>
  <c r="AA257" i="33"/>
  <c r="AD179" i="33"/>
  <c r="AC92" i="33"/>
  <c r="AE82" i="33"/>
  <c r="Z86" i="33"/>
  <c r="Z225" i="33"/>
  <c r="Z136" i="33"/>
  <c r="Z234" i="33"/>
  <c r="AC186" i="33"/>
  <c r="AD311" i="33"/>
  <c r="Z190" i="33"/>
  <c r="AD312" i="33"/>
  <c r="AD270" i="33"/>
  <c r="Z274" i="33"/>
  <c r="AB303" i="33"/>
  <c r="Z302" i="33"/>
  <c r="AE279" i="33"/>
  <c r="AC280" i="33"/>
  <c r="AB279" i="33"/>
  <c r="AD276" i="33"/>
  <c r="Z280" i="33"/>
  <c r="AB280" i="33"/>
  <c r="AC279" i="33"/>
  <c r="AD281" i="33"/>
  <c r="AD280" i="33"/>
  <c r="AA280" i="33"/>
  <c r="AA281" i="33"/>
  <c r="AE280" i="33"/>
  <c r="AC282" i="33"/>
  <c r="Z281" i="33"/>
  <c r="AC281" i="33"/>
  <c r="AB282" i="33"/>
  <c r="AB283" i="33"/>
  <c r="AE282" i="33"/>
  <c r="AE283" i="33"/>
  <c r="AB281" i="33"/>
  <c r="AE281" i="33"/>
  <c r="Z282" i="33"/>
  <c r="AA283" i="33"/>
  <c r="Z284" i="33"/>
  <c r="AD282" i="33"/>
  <c r="Z283" i="33"/>
  <c r="AA282" i="33"/>
  <c r="AD283" i="33"/>
  <c r="AA284" i="33"/>
  <c r="AC285" i="33"/>
  <c r="AC283" i="33"/>
  <c r="AB284" i="33"/>
  <c r="AE284" i="33"/>
  <c r="AD284" i="33"/>
  <c r="AC284" i="33"/>
  <c r="Z285" i="33"/>
  <c r="AD285" i="33"/>
  <c r="AA285" i="33"/>
  <c r="AB285" i="33"/>
  <c r="AE285" i="33"/>
  <c r="AC301" i="33"/>
  <c r="AD301" i="33"/>
  <c r="AA301" i="33"/>
  <c r="AE301" i="33"/>
  <c r="Z301" i="33"/>
  <c r="AB30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tc={66584D4E-4D6D-8E45-A974-0D51E440E767}</author>
    <author>tc={1FC62B67-F774-DD45-A9D3-F57185072392}</author>
  </authors>
  <commentList>
    <comment ref="X1" authorId="0" shapeId="0" xr:uid="{66584D4E-4D6D-8E45-A974-0D51E440E767}">
      <text>
        <t xml:space="preserve">[Threaded comment]
Your version of Excel allows you to read this threaded comment; however, any edits to it will get removed if the file is opened in a newer version of Excel. Learn more: https://go.microsoft.com/fwlink/?linkid=870924
Comment:
    BASIC CODE
</t>
      </text>
    </comment>
    <comment ref="AL1" authorId="1" shapeId="0" xr:uid="{1FC62B67-F774-DD45-A9D3-F57185072392}">
      <text>
        <t>[Threaded comment]
Your version of Excel allows you to read this threaded comment; however, any edits to it will get removed if the file is opened in a newer version of Excel. Learn more: https://go.microsoft.com/fwlink/?linkid=870924
Comment:
    Coding note:
When article report “mixed-ability” we code 20% for struggling reader, an NA for disability.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tc={6A3E6349-88F5-2446-A89B-C73625FC7B0A}</author>
    <author>tc={C5C631C7-026D-3F4E-B0C4-B090BF2323EE}</author>
    <author>tc={03A313D3-3105-B54D-B163-6E78D765E932}</author>
    <author>tc={450F0153-0036-294B-A1BA-A59794FB7DDD}</author>
    <author>tc={F5F37210-1F5C-C94F-89B0-862E141B17E1}</author>
    <author>tc={15367638-EFAC-0C41-B55C-5B4FA7B2AA11}</author>
    <author>tc={2826D8F8-8C46-8E40-A385-B99C9D0B935A}</author>
    <author>tc={5F59C648-AD66-D143-97E3-D07BBF4AA490}</author>
    <author>tc={276439B1-2C39-5F42-8BA2-E635AC9D8596}</author>
    <author>tc={B9E69DB7-82CB-9449-B6FA-3A8C63FA9C64}</author>
    <author>tc={9D170BF5-35AC-C44C-B49F-0E611B2F2558}</author>
    <author>tc={824C0FE7-EFC0-EA46-AE54-E4D7B32EEAA5}</author>
    <author>tc={EE120BF1-D8ED-4B44-BBB1-C3826D087EC8}</author>
    <author>tc={F2F510CC-3C04-5042-9FDC-AB132CA93F06}</author>
    <author>tc={9B49A14A-86A7-844F-B190-67A6FBD98089}</author>
    <author>tc={59D08123-DB9B-E54B-83D4-5DD256E67B1C}</author>
    <author>tc={0C67F604-5E6C-0547-88E8-FCDF095251CC}</author>
    <author>tc={4608B7E3-AFDC-A248-B817-BEB29833D130}</author>
    <author>tc={79841158-8AF9-F047-AD85-D356167F9CA1}</author>
    <author>tc={49B3072B-6D1D-4849-B4C6-B5F5FD45EBD0}</author>
    <author>tc={B685148D-65F6-1E47-B52B-41C00D4DCB29}</author>
    <author>tc={3FFA45E4-625C-8A49-AF9B-6E28F771F213}</author>
    <author>tc={AD11070F-36B7-7E40-8EAE-EC5DE0FD6BEE}</author>
    <author>tc={C7282ED4-865D-564A-97BF-F8C8ACDF7F83}</author>
    <author>tc={1810750F-36C5-FB42-A27D-F2EC1B7DA355}</author>
    <author>tc={D860718F-7CBC-5F43-9708-6FBF3A261082}</author>
    <author>tc={4DFF3693-B654-EC4C-82CB-D96AC4AEC2C4}</author>
    <author>tc={C4EB45CD-FB6C-9144-917C-34BDF8464832}</author>
    <author>tc={CD51F4D8-6B87-3C49-A9FE-C84A4E857509}</author>
    <author>tc={990EB2FB-ED37-0641-B093-146D302DF083}</author>
    <author>tc={6D4B48E8-103D-C440-8BF9-84C326873A41}</author>
    <author>tc={1626437A-699F-0F41-8D79-FFE675569CC8}</author>
    <author>tc={D7CABF29-3BD9-2544-AB0B-94471F1B97F9}</author>
    <author>tc={13992C6F-0769-7A46-B6CC-0AFC91CC7B2E}</author>
    <author>tc={D48FBCD8-75AF-584E-A1E3-7F661D011C83}</author>
    <author>tc={B1C13DBE-16D9-8A42-9666-77A8C8E82ABB}</author>
    <author>tc={A4B5F789-3CC5-7B4F-A498-9454BE9E0E80}</author>
    <author>tc={2E7ABCE6-E944-1E41-A853-9D1B97896967}</author>
    <author>tc={92A12523-AB50-E242-9105-ED031B56FEAC}</author>
    <author>tc={CF71FFBB-FDA7-CF47-93D0-E649F6A09AC7}</author>
    <author>tc={4652B5EB-2CD6-DB4A-B902-5614304079B3}</author>
    <author>tc={A1166E22-D7FC-6049-A160-C47EAE67FA87}</author>
    <author>tc={82680F84-744E-534E-A51D-8F98CAB47B1D}</author>
    <author>tc={1DA98282-8EC2-5146-AB81-1F7C6AD0FB99}</author>
    <author>tc={198198DF-EB7A-4945-B22F-7B5265C94362}</author>
    <author>tc={5AA97D02-03D6-9E49-B019-3677474122C1}</author>
    <author>tc={7E5CBA7B-0495-4747-BF5F-8B20FF83AD16}</author>
    <author>tc={00CF5490-A834-AD4B-94BF-6684D804EE1D}</author>
    <author>tc={D7CA03C6-517B-AD4D-982F-F36682798AE0}</author>
    <author>tc={05BBBAA1-7587-2747-B620-7B4783E87718}</author>
    <author>tc={202FBA75-24D8-7645-B973-D0DB83AC892E}</author>
    <author>tc={E8B15734-41D5-BD48-A7CC-E32BB12250C0}</author>
    <author>tc={A115B99D-E82C-094C-BA13-E8E9E35B1E8E}</author>
    <author>tc={534CFD3C-4643-AF44-8FC7-B9B9C2CCFCE0}</author>
    <author>tc={5B4C0806-0643-2A4A-A89F-AA81B51A9FF7}</author>
    <author>tc={38BEEDCE-77C4-284B-AD67-1E6B6FA6A630}</author>
    <author>tc={BBBA6710-DF45-6746-B179-604A8F531EC0}</author>
    <author>tc={F81FAE21-5578-9C48-9001-765545D408E0}</author>
    <author>tc={EA5F1501-B0E2-B04D-9704-18ED522BE6D8}</author>
    <author>tc={33A42075-0B36-4C43-BCD2-4ABA7BCD5D6C}</author>
    <author>tc={7D8EA0DC-34F4-4E4D-88D8-8B36DBB40346}</author>
    <author>tc={F93E4D63-A1C7-6F4D-BA16-181289B02F60}</author>
    <author>tc={A87BC0C7-7B53-FE4F-B3F2-9466C58AD464}</author>
    <author>tc={A0092A61-0F9F-CE49-84C7-2001C282FDCB}</author>
    <author>tc={77E51F62-2DB2-F440-BC7E-65B28B3BF2F3}</author>
    <author>tc={A10397F7-A041-6C46-A536-770444A87F9B}</author>
    <author>tc={2D4A6ACA-49BF-9E4E-8EF8-75AEB65E5BF0}</author>
    <author>tc={B1984A5C-EC3D-E846-8EA2-A17511E0FFAA}</author>
    <author>tc={D930923F-85CD-3044-9939-AE8091EDE647}</author>
    <author>tc={9763A9D5-BC4E-9D4F-A06D-C72EFF1E44A5}</author>
    <author>tc={9183F6DA-B592-D44D-8750-D2B2568E935B}</author>
    <author>tc={45285DC9-175A-7C48-A65D-60D1D2F892F7}</author>
    <author>tc={F3A69D19-153F-3F44-8236-EF042EEA4142}</author>
    <author>tc={A2E19FE0-633B-DB4B-A32E-09ED98F217D5}</author>
    <author>tc={FD39F7CB-9727-1045-ABA9-ADC81C63C42E}</author>
    <author>tc={A8CA57B6-1D91-2E42-B575-2892C5F7F678}</author>
    <author>tc={1FC13EAC-CD92-4242-905A-9E4E93660197}</author>
    <author>tc={CD0377A6-6D8C-8448-BC95-37A58B26DAF4}</author>
    <author>tc={9B9B74F2-39A6-7844-A3BD-5F80DB483ADE}</author>
    <author>tc={899CA7CF-6158-5242-89A7-0E11969E06D7}</author>
    <author>tc={743A5264-4B4D-F14C-BD3B-2562403166DA}</author>
  </authors>
  <commentList>
    <comment ref="AB17" authorId="0" shapeId="0" xr:uid="{6A3E6349-88F5-2446-A89B-C73625FC7B0A}">
      <text>
        <t xml:space="preserve">[Threaded comment]
Your version of Excel allows you to read this threaded comment; however, any edits to it will get removed if the file is opened in a newer version of Excel. Learn more: https://go.microsoft.com/fwlink/?linkid=870924
Comment:
    Read naturally is a published program that is scripted.
</t>
      </text>
    </comment>
    <comment ref="AD22" authorId="1" shapeId="0" xr:uid="{C5C631C7-026D-3F4E-B0C4-B090BF2323EE}">
      <text>
        <t>[Threaded comment]
Your version of Excel allows you to read this threaded comment; however, any edits to it will get removed if the file is opened in a newer version of Excel. Learn more: https://go.microsoft.com/fwlink/?linkid=870924
Comment:
    Subjects assigned to the same experimental condition met in groups of five in a private room with a female instructor, who was a member of the project staff from outside the school. There were two small groups for each experimental condition (total of six groups). The order in which groups met with the instructor was rotated to eliminate potential effects due to meeting time.</t>
      </text>
    </comment>
    <comment ref="AI22" authorId="2" shapeId="0" xr:uid="{03A313D3-3105-B54D-B163-6E78D765E932}">
      <text>
        <t>[Threaded comment]
Your version of Excel allows you to read this threaded comment; however, any edits to it will get removed if the file is opened in a newer version of Excel. Learn more: https://go.microsoft.com/fwlink/?linkid=870924
Comment:
    Our periodic observations of the sessions confirmed they were implemented correctly and that subjects maintained interest.</t>
      </text>
    </comment>
    <comment ref="AT35" authorId="3" shapeId="0" xr:uid="{450F0153-0036-294B-A1BA-A59794FB7DDD}">
      <text>
        <t>[Threaded comment]
Your version of Excel allows you to read this threaded comment; however, any edits to it will get removed if the file is opened in a newer version of Excel. Learn more: https://go.microsoft.com/fwlink/?linkid=870924
Comment:
    Not the same sample participate in the follow up test.</t>
      </text>
    </comment>
    <comment ref="N39" authorId="4" shapeId="0" xr:uid="{F5F37210-1F5C-C94F-89B0-862E141B17E1}">
      <text>
        <t xml:space="preserve">[Threaded comment]
Your version of Excel allows you to read this threaded comment; however, any edits to it will get removed if the file is opened in a newer version of Excel. Learn more: https://go.microsoft.com/fwlink/?linkid=870924
Comment:
    Or NV
</t>
      </text>
    </comment>
    <comment ref="AF39" authorId="5" shapeId="0" xr:uid="{15367638-EFAC-0C41-B55C-5B4FA7B2AA11}">
      <text>
        <t xml:space="preserve">[Threaded comment]
Your version of Excel allows you to read this threaded comment; however, any edits to it will get removed if the file is opened in a newer version of Excel. Learn more: https://go.microsoft.com/fwlink/?linkid=870924
Comment:
    6-week teacher-delivered integrated-class -&gt; we can assume this is part of their daily school lesson, so I count 6*5=30 as the total number of  sessions. The Email group can add two 30-min email sessions as described in the text. </t>
      </text>
    </comment>
    <comment ref="AI39" authorId="6" shapeId="0" xr:uid="{2826D8F8-8C46-8E40-A385-B99C9D0B935A}">
      <text>
        <t xml:space="preserve">[Threaded comment]
Your version of Excel allows you to read this threaded comment; however, any edits to it will get removed if the file is opened in a newer version of Excel. Learn more: https://go.microsoft.com/fwlink/?linkid=870924
Comment:
    The email process is monitored. 
</t>
      </text>
    </comment>
    <comment ref="V45" authorId="7" shapeId="0" xr:uid="{5F59C648-AD66-D143-97E3-D07BBF4AA490}">
      <text>
        <t>[Threaded comment]
Your version of Excel allows you to read this threaded comment; however, any edits to it will get removed if the file is opened in a newer version of Excel. Learn more: https://go.microsoft.com/fwlink/?linkid=870924
Comment:
    Further, the girls were from same socio-economic status. The girls’ mothers are housewives and their fathers’ occupations are primarily governmental ones with salaries that range between 350 and 420 Jordanian Dinars.</t>
      </text>
    </comment>
    <comment ref="AD45" authorId="8" shapeId="0" xr:uid="{276439B1-2C39-5F42-8BA2-E635AC9D8596}">
      <text>
        <t>[Threaded comment]
Your version of Excel allows you to read this threaded comment; however, any edits to it will get removed if the file is opened in a newer version of Excel. Learn more: https://go.microsoft.com/fwlink/?linkid=870924
Comment:
    The students in CORI classes (M = 4.180) outperformed the students in the control group (M = 3.655),</t>
      </text>
    </comment>
    <comment ref="AF45" authorId="9" shapeId="0" xr:uid="{B9E69DB7-82CB-9449-B6FA-3A8C63FA9C64}">
      <text>
        <t xml:space="preserve">[Threaded comment]
Your version of Excel allows you to read this threaded comment; however, any edits to it will get removed if the file is opened in a newer version of Excel. Learn more: https://go.microsoft.com/fwlink/?linkid=870924
Comment:
    The 50-minute daily reading intervention program, implemented in the beginning of the second semester 2014 (from February to the end of May), was the main reading program for the total of 16 weeks.
</t>
      </text>
    </comment>
    <comment ref="AF47" authorId="10" shapeId="0" xr:uid="{9D170BF5-35AC-C44C-B49F-0E611B2F2558}">
      <text>
        <t xml:space="preserve">[Threaded comment]
Your version of Excel allows you to read this threaded comment; however, any edits to it will get removed if the file is opened in a newer version of Excel. Learn more: https://go.microsoft.com/fwlink/?linkid=870924
Comment:
    Pretest =   Oct  -  Nov
Post-test = May - July
Duration:     7.5 months
</t>
      </text>
    </comment>
    <comment ref="V49" authorId="11" shapeId="0" xr:uid="{824C0FE7-EFC0-EA46-AE54-E4D7B32EEAA5}">
      <text>
        <t>[Threaded comment]
Your version of Excel allows you to read this threaded comment; however, any edits to it will get removed if the file is opened in a newer version of Excel. Learn more: https://go.microsoft.com/fwlink/?linkid=870924
Comment:
    In addition, the SI schools were relatively high in SES and entering achievement. Thus, two of the highest achievement classrooms in SI schools and two of the lowestachieving classrooms in CORI schools were dropped to equate the entering reading achievement levels. This permitted the equivalent groups, pre- and postdesign analyses to be performed. There were 315 students included in these analyses.</t>
      </text>
    </comment>
    <comment ref="AC49" authorId="12" shapeId="0" xr:uid="{EE120BF1-D8ED-4B44-BBB1-C3826D087EC8}">
      <text>
        <t>[Threaded comment]
Your version of Excel allows you to read this threaded comment; however, any edits to it will get removed if the file is opened in a newer version of Excel. Learn more: https://go.microsoft.com/fwlink/?linkid=870924
Comment:
    The instructional models were not scripts and required extensive expertise that not all teachers acquired.</t>
      </text>
    </comment>
    <comment ref="AM50" authorId="13" shapeId="0" xr:uid="{F2F510CC-3C04-5042-9FDC-AB132CA93F06}">
      <text>
        <t xml:space="preserve">[Threaded comment]
Your version of Excel allows you to read this threaded comment; however, any edits to it will get removed if the file is opened in a newer version of Excel. Learn more: https://go.microsoft.com/fwlink/?linkid=870924
Comment:
    Across-time correlation of these responses for parallel forms was r (151) = 0.46, p &lt; .001.
</t>
      </text>
    </comment>
    <comment ref="M55" authorId="14" shapeId="0" xr:uid="{9B49A14A-86A7-844F-B190-67A6FBD98089}">
      <text>
        <t xml:space="preserve">[Threaded comment]
Your version of Excel allows you to read this threaded comment; however, any edits to it will get removed if the file is opened in a newer version of Excel. Learn more: https://go.microsoft.com/fwlink/?linkid=870924
Comment:
    Data analysis
A quasi-experimental pre-post design consisting of an IG and a CG in first grade was used.
</t>
      </text>
    </comment>
    <comment ref="S55" authorId="15" shapeId="0" xr:uid="{59D08123-DB9B-E54B-83D4-5DD256E67B1C}">
      <text>
        <t>[Threaded comment]
Your version of Excel allows you to read this threaded comment; however, any edits to it will get removed if the file is opened in a newer version of Excel. Learn more: https://go.microsoft.com/fwlink/?linkid=870924
Comment:
    7 years and 6 months
= 7 + 6/12 = 7.5</t>
      </text>
    </comment>
    <comment ref="W55" authorId="16" shapeId="0" xr:uid="{0C67F604-5E6C-0547-88E8-FCDF095251CC}">
      <text>
        <t xml:space="preserve">[Threaded comment]
Your version of Excel allows you to read this threaded comment; however, any edits to it will get removed if the file is opened in a newer version of Excel. Learn more: https://go.microsoft.com/fwlink/?linkid=870924
Comment:
    58 native Hebrew-speaking children,
</t>
      </text>
    </comment>
    <comment ref="AF55" authorId="17" shapeId="0" xr:uid="{4608B7E3-AFDC-A248-B817-BEB29833D130}">
      <text>
        <t>[Threaded comment]
Your version of Excel allows you to read this threaded comment; however, any edits to it will get removed if the file is opened in a newer version of Excel. Learn more: https://go.microsoft.com/fwlink/?linkid=870924
Comment:
    A six-month intervention (6*4 week), 5 days a week, 2 sessions per day, 45 minute per session.</t>
      </text>
    </comment>
    <comment ref="AH55" authorId="18" shapeId="0" xr:uid="{79841158-8AF9-F047-AD85-D356167F9CA1}">
      <text>
        <t xml:space="preserve">[Threaded comment]
Your version of Excel allows you to read this threaded comment; however, any edits to it will get removed if the file is opened in a newer version of Excel. Learn more: https://go.microsoft.com/fwlink/?linkid=870924
Comment:
    two weekly lessons (90minutes)
</t>
      </text>
    </comment>
    <comment ref="M57" authorId="19" shapeId="0" xr:uid="{49B3072B-6D1D-4849-B4C6-B5F5FD45EBD0}">
      <text>
        <t xml:space="preserve">[Threaded comment]
Your version of Excel allows you to read this threaded comment; however, any edits to it will get removed if the file is opened in a newer version of Excel. Learn more: https://go.microsoft.com/fwlink/?linkid=870924
Comment:
    Although the authors stated “We used a non-equivalent groups pretest-posttest design. (p. 525)”, their pre-test data on RC and motivational measures are non-significant (p. 531, Table 3). Therefore, we consider the groups are matched.
</t>
      </text>
    </comment>
    <comment ref="Y57" authorId="20" shapeId="0" xr:uid="{B685148D-65F6-1E47-B52B-41C00D4DCB29}">
      <text>
        <t xml:space="preserve">[Threaded comment]
Your version of Excel allows you to read this threaded comment; however, any edits to it will get removed if the file is opened in a newer version of Excel. Learn more: https://go.microsoft.com/fwlink/?linkid=870924
Comment:
    The vast majority of the participants were white native speakers of Norwegian, with only 14 participants (12 in the intervention group, 2 in the control group) having a first language other than Norwegian,
</t>
      </text>
    </comment>
    <comment ref="AB57" authorId="21" shapeId="0" xr:uid="{3FFA45E4-625C-8A49-AF9B-6E28F771F213}">
      <text>
        <t xml:space="preserve">[Threaded comment]
Your version of Excel allows you to read this threaded comment; however, any edits to it will get removed if the file is opened in a newer version of Excel. Learn more: https://go.microsoft.com/fwlink/?linkid=870924
Comment:
    P55 The instructional content consisted of topics from the Norwegian national fifth-grade social studies curriculum. This content area was chosen because all teachers involved in the intervention taught social studies in their fifth-grade class- rooms. Moreover, social studies require extensive expository text comprehension. The specific topics of instruction were Nordic Stone Age, Bronze Age, and Iron Age, as well as Norwegian natural landscape and geography. The same topics were taught in the same order to the control group during the same period. Within ERCI, teachers attempted to use the following four instructional practices, which were derived from the principles of relevant background knowledge, reading comprehension strategies, reading-group organization, and reading motivation (see above).
</t>
      </text>
    </comment>
    <comment ref="AS57" authorId="22" shapeId="0" xr:uid="{AD11070F-36B7-7E40-8EAE-EC5DE0FD6BEE}">
      <text>
        <t>[Threaded comment]
Your version of Excel allows you to read this threaded comment; however, any edits to it will get removed if the file is opened in a newer version of Excel. Learn more: https://go.microsoft.com/fwlink/?linkid=870924
Comment:
    p. 532. The third research question, concerning the effects of our intervention on reading comprehension … Eighty-nine students in the intervention group and 90 students in the control group had complete data sets and were available for this analysis.</t>
      </text>
    </comment>
    <comment ref="AS58" authorId="23" shapeId="0" xr:uid="{C7282ED4-865D-564A-97BF-F8C8ACDF7F83}">
      <text>
        <t>[Threaded comment]
Your version of Excel allows you to read this threaded comment; however, any edits to it will get removed if the file is opened in a newer version of Excel. Learn more: https://go.microsoft.com/fwlink/?linkid=870924
Comment:
    p. 532. The third research question, concerning the effects of our intervention on reading comprehension … Eighty-nine students in the intervention group and 90 students in the control group had complete data sets and were available for this analysis.</t>
      </text>
    </comment>
    <comment ref="M65" authorId="24" shapeId="0" xr:uid="{1810750F-36C5-FB42-A27D-F2EC1B7DA355}">
      <text>
        <t>[Threaded comment]
Your version of Excel allows you to read this threaded comment; however, any edits to it will get removed if the file is opened in a newer version of Excel. Learn more: https://go.microsoft.com/fwlink/?linkid=870924
Comment:
    The groups were selected so that the conditions were dispersed between the teachers, with each teacher teaching two different conditions to control for teacher effects: teacher 1 taught a control condition and a textbook ISR condition, teacher 2 taught a control condition and a module ISR condition, and teacher 3 taught a textbook ISR condition and a module ISR condition.
Reply:
    and the school randomly assigned those students to the classes in this study.</t>
      </text>
    </comment>
    <comment ref="AQ65" authorId="25" shapeId="0" xr:uid="{D860718F-7CBC-5F43-9708-6FBF3A261082}">
      <text>
        <t>[Threaded comment]
Your version of Excel allows you to read this threaded comment; however, any edits to it will get removed if the file is opened in a newer version of Excel. Learn more: https://go.microsoft.com/fwlink/?linkid=870924
Comment:
    Table 4 Reading comprehension with total reading ability as the covariate: control versus textbook ISR versus module ISR
Will contact author for raw data</t>
      </text>
    </comment>
    <comment ref="M84" authorId="26" shapeId="0" xr:uid="{4DFF3693-B654-EC4C-82CB-D96AC4AEC2C4}">
      <text>
        <t>[Threaded comment]
Your version of Excel allows you to read this threaded comment; however, any edits to it will get removed if the file is opened in a newer version of Excel. Learn more: https://go.microsoft.com/fwlink/?linkid=870924
Comment:
    As in Study 1, we used an equivalent groups pretest–posttest design (Pedhazur &amp; Schmelkin, 1991).</t>
      </text>
    </comment>
    <comment ref="U86" authorId="27" shapeId="0" xr:uid="{C4EB45CD-FB6C-9144-917C-34BDF8464832}">
      <text>
        <t>[Threaded comment]
Your version of Excel allows you to read this threaded comment; however, any edits to it will get removed if the file is opened in a newer version of Excel. Learn more: https://go.microsoft.com/fwlink/?linkid=870924
Comment:
    The table reported the percentage as 11%</t>
      </text>
    </comment>
    <comment ref="AW90" authorId="28" shapeId="0" xr:uid="{CD51F4D8-6B87-3C49-A9FE-C84A4E857509}">
      <text>
        <t>[Threaded comment]
Your version of Excel allows you to read this threaded comment; however, any edits to it will get removed if the file is opened in a newer version of Excel. Learn more: https://go.microsoft.com/fwlink/?linkid=870924
Comment:
    from mid-March to mid-May, 2020, and follow-up measurements from October to November 2020.
7 mo = mid-March to mid-October</t>
      </text>
    </comment>
    <comment ref="M93" authorId="29" shapeId="0" xr:uid="{990EB2FB-ED37-0641-B093-146D302DF083}">
      <text>
        <t>[Threaded comment]
Your version of Excel allows you to read this threaded comment; however, any edits to it will get removed if the file is opened in a newer version of Excel. Learn more: https://go.microsoft.com/fwlink/?linkid=870924
Comment:
    Because students in the two experimental conditions received essentially similar treatments and because there were no differences in pre- and posttest outcomes by condition, we simplified our main analysis and presentation of the results by combining the two conditions (MS and MS-H).
Reply:
    Combine two intervention groups into 1 - can this still be considered as RCT?</t>
      </text>
    </comment>
    <comment ref="AK93" authorId="30" shapeId="0" xr:uid="{6D4B48E8-103D-C440-8BF9-84C326873A41}">
      <text>
        <t>[Threaded comment]
Your version of Excel allows you to read this threaded comment; however, any edits to it will get removed if the file is opened in a newer version of Excel. Learn more: https://go.microsoft.com/fwlink/?linkid=870924
Comment:
    Primary grade students are only tested for Reading Skills and ... No, MAP is not a standardized test. It is an adaptive test and is ... 
https://blog.etutorworld.com/map-testing-measure-of-academic-progress/</t>
      </text>
    </comment>
    <comment ref="I97" authorId="31" shapeId="0" xr:uid="{1626437A-699F-0F41-8D79-FFE675569CC8}">
      <text>
        <t xml:space="preserve">[Threaded comment]
Your version of Excel allows you to read this threaded comment; however, any edits to it will get removed if the file is opened in a newer version of Excel. Learn more: https://go.microsoft.com/fwlink/?linkid=870924
Comment:
    Hong Kong
</t>
      </text>
    </comment>
    <comment ref="V97" authorId="32" shapeId="0" xr:uid="{D7CABF29-3BD9-2544-AB0B-94471F1B97F9}">
      <text>
        <t>[Threaded comment]
Your version of Excel allows you to read this threaded comment; however, any edits to it will get removed if the file is opened in a newer version of Excel. Learn more: https://go.microsoft.com/fwlink/?linkid=870924
Comment:
    children mostly came from lower-class families,</t>
      </text>
    </comment>
    <comment ref="AD97" authorId="33" shapeId="0" xr:uid="{13992C6F-0769-7A46-B6CC-0AFC91CC7B2E}">
      <text>
        <t>[Threaded comment]
Your version of Excel allows you to read this threaded comment; however, any edits to it will get removed if the file is opened in a newer version of Excel. Learn more: https://go.microsoft.com/fwlink/?linkid=870924
Comment:
    Condition 1 – Direct instruction integrated with the jigsaw approach. In lessons 1 and 2, the teacher taught the text following a whole-class approach. In lessons 3–5, students were assigned to six home groups comprising students of different ability, with five to six students in each group.</t>
      </text>
    </comment>
    <comment ref="AW97" authorId="34" shapeId="0" xr:uid="{D48FBCD8-75AF-584E-A1E3-7F661D011C83}">
      <text>
        <t>[Threaded comment]
Your version of Excel allows you to read this threaded comment; however, any edits to it will get removed if the file is opened in a newer version of Excel. Learn more: https://go.microsoft.com/fwlink/?linkid=870924
Comment:
    Students in the jigsaw group also performed better on understanding the story than the control group in the re-test after 3 months.</t>
      </text>
    </comment>
    <comment ref="AB100" authorId="35" shapeId="0" xr:uid="{B1C13DBE-16D9-8A42-9666-77A8C8E82ABB}">
      <text>
        <t>[Threaded comment]
Your version of Excel allows you to read this threaded comment; however, any edits to it will get removed if the file is opened in a newer version of Excel. Learn more: https://go.microsoft.com/fwlink/?linkid=870924
Comment:
    Reading Materials  Students selected books of their own choice from the list of books recommended for third-grade students by the school. In the treatment classroom, the less proficient readers of the pair selected books from the list.</t>
      </text>
    </comment>
    <comment ref="W102" authorId="36" shapeId="0" xr:uid="{A4B5F789-3CC5-7B4F-A498-9454BE9E0E80}">
      <text>
        <t>[Threaded comment]
Your version of Excel allows you to read this threaded comment; however, any edits to it will get removed if the file is opened in a newer version of Excel. Learn more: https://go.microsoft.com/fwlink/?linkid=870924
Comment:
    Three models were run: one involving only ELs (n 1⁄4 76), one with only native English speakers (n 1⁄4 125), and one in which students were not separated by language status (n 1⁄4 203).</t>
      </text>
    </comment>
    <comment ref="AH102" authorId="37" shapeId="0" xr:uid="{2E7ABCE6-E944-1E41-A853-9D1B97896967}">
      <text>
        <t xml:space="preserve">[Threaded comment]
Your version of Excel allows you to read this threaded comment; however, any edits to it will get removed if the file is opened in a newer version of Excel. Learn more: https://go.microsoft.com/fwlink/?linkid=870924
Comment:
    The dosage info can be found in the limitation section! </t>
      </text>
    </comment>
    <comment ref="AT102" authorId="38" shapeId="0" xr:uid="{92A12523-AB50-E242-9105-ED031B56FEAC}">
      <text>
        <t>[Threaded comment]
Your version of Excel allows you to read this threaded comment; however, any edits to it will get removed if the file is opened in a newer version of Excel. Learn more: https://go.microsoft.com/fwlink/?linkid=870924
Comment:
    Waitlist design. The condition changed before the delayed posttest.</t>
      </text>
    </comment>
    <comment ref="M108" authorId="39" shapeId="0" xr:uid="{CF71FFBB-FDA7-CF47-93D0-E649F6A09AC7}">
      <text>
        <t xml:space="preserve">[Threaded comment]
Your version of Excel allows you to read this threaded comment; however, any edits to it will get removed if the file is opened in a newer version of Excel. Learn more: https://go.microsoft.com/fwlink/?linkid=870924
Comment:
    RCT - class level
</t>
      </text>
    </comment>
    <comment ref="AH108" authorId="40" shapeId="0" xr:uid="{4652B5EB-2CD6-DB4A-B902-5614304079B3}">
      <text>
        <t xml:space="preserve">[Threaded comment]
Your version of Excel allows you to read this threaded comment; however, any edits to it will get removed if the file is opened in a newer version of Excel. Learn more: https://go.microsoft.com/fwlink/?linkid=870924
Comment:
    The dosage info can be found in the limitation section! </t>
      </text>
    </comment>
    <comment ref="M142" authorId="41" shapeId="0" xr:uid="{A1166E22-D7FC-6049-A160-C47EAE67FA87}">
      <text>
        <t>[Threaded comment]
Your version of Excel allows you to read this threaded comment; however, any edits to it will get removed if the file is opened in a newer version of Excel. Learn more: https://go.microsoft.com/fwlink/?linkid=870924
Comment:
    This study incorporated multi-site cluster-randomized design.
In each school, researchers randomly assigned teachers to treatment or control conditions within each grade level.</t>
      </text>
    </comment>
    <comment ref="AL166" authorId="42" shapeId="0" xr:uid="{82680F84-744E-534E-A51D-8F98CAB47B1D}">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T166" authorId="43" shapeId="0" xr:uid="{1DA98282-8EC2-5146-AB81-1F7C6AD0FB99}">
      <text>
        <t>[Threaded comment]
Your version of Excel allows you to read this threaded comment; however, any edits to it will get removed if the file is opened in a newer version of Excel. Learn more: https://go.microsoft.com/fwlink/?linkid=870924
Comment:
    Waitlist design. The condition changed before the delayed posttest.</t>
      </text>
    </comment>
    <comment ref="AL167" authorId="44" shapeId="0" xr:uid="{198198DF-EB7A-4945-B22F-7B5265C94362}">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L168" authorId="45" shapeId="0" xr:uid="{5AA97D02-03D6-9E49-B019-3677474122C1}">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L176" authorId="46" shapeId="0" xr:uid="{7E5CBA7B-0495-4747-BF5F-8B20FF83AD16}">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L177" authorId="47" shapeId="0" xr:uid="{00CF5490-A834-AD4B-94BF-6684D804EE1D}">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AL178" authorId="48" shapeId="0" xr:uid="{D7CA03C6-517B-AD4D-982F-F36682798AE0}">
      <text>
        <t xml:space="preserve">[Threaded comment]
Your version of Excel allows you to read this threaded comment; however, any edits to it will get removed if the file is opened in a newer version of Excel. Learn more: https://go.microsoft.com/fwlink/?linkid=870924
Comment:
    Text comprehension. Text comprehension tasks were designed to be similar to reading activities, which were prominent in the traditional classrooms.
- over align with TI, not the intervention condition
</t>
      </text>
    </comment>
    <comment ref="R186" authorId="49" shapeId="0" xr:uid="{05BBBAA1-7587-2747-B620-7B4783E87718}">
      <text>
        <t>[Threaded comment]
Your version of Excel allows you to read this threaded comment; however, any edits to it will get removed if the file is opened in a newer version of Excel. Learn more: https://go.microsoft.com/fwlink/?linkid=870924
Comment:
    Netherlands secondary grades (12-14 years of age)
Reply:
    We selected students in their first year of secondary education (12–14 years of age).</t>
      </text>
    </comment>
    <comment ref="AI188" authorId="50" shapeId="0" xr:uid="{202FBA75-24D8-7645-B973-D0DB83AC892E}">
      <text>
        <t>[Threaded comment]
Your version of Excel allows you to read this threaded comment; however, any edits to it will get removed if the file is opened in a newer version of Excel. Learn more: https://go.microsoft.com/fwlink/?linkid=870924
Comment:
    Occasional observations by the authors confirmed that it was properly implemented.</t>
      </text>
    </comment>
    <comment ref="AF195" authorId="51" shapeId="0" xr:uid="{E8B15734-41D5-BD48-A7CC-E32BB12250C0}">
      <text>
        <t>[Threaded comment]
Your version of Excel allows you to read this threaded comment; however, any edits to it will get removed if the file is opened in a newer version of Excel. Learn more: https://go.microsoft.com/fwlink/?linkid=870924
Comment:
    Over the course of the five-week program, students received a total of 40 hours of  instruction, delivered by head teachers who were supported by undergraduate assistant  teachers.</t>
      </text>
    </comment>
    <comment ref="AH195" authorId="52" shapeId="0" xr:uid="{A115B99D-E82C-094C-BA13-E8E9E35B1E8E}">
      <text>
        <t>[Threaded comment]
Your version of Excel allows you to read this threaded comment; however, any edits to it will get removed if the file is opened in a newer version of Excel. Learn more: https://go.microsoft.com/fwlink/?linkid=870924
Comment:
    Each group received one hour of daily instruction in both the RAVE-O and  Wilson Reading programs’ curricula proven to improve fluency and phonics skills  respectively</t>
      </text>
    </comment>
    <comment ref="H197" authorId="53" shapeId="0" xr:uid="{534CFD3C-4643-AF44-8FC7-B9B9C2CCFCE0}">
      <text>
        <t>[Threaded comment]
Your version of Excel allows you to read this threaded comment; however, any edits to it will get removed if the file is opened in a newer version of Excel. Learn more: https://go.microsoft.com/fwlink/?linkid=870924
Comment:
    CAI</t>
      </text>
    </comment>
    <comment ref="T199" authorId="54" shapeId="0" xr:uid="{5B4C0806-0643-2A4A-A89F-AA81B51A9FF7}">
      <text>
        <t>[Threaded comment]
Your version of Excel allows you to read this threaded comment; however, any edits to it will get removed if the file is opened in a newer version of Excel. Learn more: https://go.microsoft.com/fwlink/?linkid=870924
Comment:
    All students had active IEPs that included reading goals.</t>
      </text>
    </comment>
    <comment ref="AJ201" authorId="55" shapeId="0" xr:uid="{38BEEDCE-77C4-284B-AD67-1E6B6FA6A630}">
      <text>
        <t>[Threaded comment]
Your version of Excel allows you to read this threaded comment; however, any edits to it will get removed if the file is opened in a newer version of Excel. Learn more: https://go.microsoft.com/fwlink/?linkid=870924
Comment:
    The MAP reading test comprises four areas, Word Meaning, Literal Comprehension, Interpretive Comprehension, and Evaluative Comprehension, which compose an overall MAP reading score.</t>
      </text>
    </comment>
    <comment ref="AJ204" authorId="56" shapeId="0" xr:uid="{BBBA6710-DF45-6746-B179-604A8F531EC0}">
      <text>
        <t>[Threaded comment]
Your version of Excel allows you to read this threaded comment; however, any edits to it will get removed if the file is opened in a newer version of Excel. Learn more: https://go.microsoft.com/fwlink/?linkid=870924
Comment:
    The MAP reading test comprises four areas, Word Meaning, Literal Comprehension, Interpretive Comprehension, and Evaluative Comprehension, which compose an overall MAP reading score.</t>
      </text>
    </comment>
    <comment ref="V205" authorId="57" shapeId="0" xr:uid="{F81FAE21-5578-9C48-9001-765545D408E0}">
      <text>
        <t>[Threaded comment]
Your version of Excel allows you to read this threaded comment; however, any edits to it will get removed if the file is opened in a newer version of Excel. Learn more: https://go.microsoft.com/fwlink/?linkid=870924
Comment:
    children predominantly were lower-middle class.</t>
      </text>
    </comment>
    <comment ref="V209" authorId="58" shapeId="0" xr:uid="{EA5F1501-B0E2-B04D-9704-18ED522BE6D8}">
      <text>
        <t>[Threaded comment]
Your version of Excel allows you to read this threaded comment; however, any edits to it will get removed if the file is opened in a newer version of Excel. Learn more: https://go.microsoft.com/fwlink/?linkid=870924
Comment:
    childrenpredominantlywere lower middle class</t>
      </text>
    </comment>
    <comment ref="AF212" authorId="59" shapeId="0" xr:uid="{33A42075-0B36-4C43-BCD2-4ABA7BCD5D6C}">
      <text>
        <t>[Threaded comment]
Your version of Excel allows you to read this threaded comment; however, any edits to it will get removed if the file is opened in a newer version of Excel. Learn more: https://go.microsoft.com/fwlink/?linkid=870924
Comment:
    Not reported directly. Estimate to be the same as the PI group.
Reply:
    Reading is organized on a daily basis, integrated in other activities, without a fixed time schedule.</t>
      </text>
    </comment>
    <comment ref="V214" authorId="60" shapeId="0" xr:uid="{7D8EA0DC-34F4-4E4D-88D8-8B36DBB40346}">
      <text>
        <t>[Threaded comment]
Your version of Excel allows you to read this threaded comment; however, any edits to it will get removed if the file is opened in a newer version of Excel. Learn more: https://go.microsoft.com/fwlink/?linkid=870924
Comment:
    the median household income was CAN$100,000 to CAN$124,999.</t>
      </text>
    </comment>
    <comment ref="W214" authorId="61" shapeId="0" xr:uid="{F93E4D63-A1C7-6F4D-BA16-181289B02F60}">
      <text>
        <t>[Threaded comment]
Your version of Excel allows you to read this threaded comment; however, any edits to it will get removed if the file is opened in a newer version of Excel. Learn more: https://go.microsoft.com/fwlink/?linkid=870924
Comment:
    the primary language spoken at home by the final sample of 25 students was either English or English and French</t>
      </text>
    </comment>
    <comment ref="G220" authorId="62" shapeId="0" xr:uid="{A87BC0C7-7B53-FE4F-B3F2-9466C58AD464}">
      <text>
        <t>[Threaded comment]
Your version of Excel allows you to read this threaded comment; however, any edits to it will get removed if the file is opened in a newer version of Excel. Learn more: https://go.microsoft.com/fwlink/?linkid=870924
Comment:
    Demographic info is on page 33-35. Table 2 has most of the info (pp.35).
Reply:
    Dosage = 20 RN + 10 Read Aloud</t>
      </text>
    </comment>
    <comment ref="M220" authorId="63" shapeId="0" xr:uid="{A0092A61-0F9F-CE49-84C7-2001C282FDCB}">
      <text>
        <t>[Threaded comment]
Your version of Excel allows you to read this threaded comment; however, any edits to it will get removed if the file is opened in a newer version of Excel. Learn more: https://go.microsoft.com/fwlink/?linkid=870924
Comment:
    students with  learning disabilities (LD) and other high incidence disabilities were stratified by class and  randomly assigned to one of three conditions:</t>
      </text>
    </comment>
    <comment ref="M232" authorId="64" shapeId="0" xr:uid="{77E51F62-2DB2-F440-BC7E-65B28B3BF2F3}">
      <text>
        <t>[Threaded comment]
Your version of Excel allows you to read this threaded comment; however, any edits to it will get removed if the file is opened in a newer version of Excel. Learn more: https://go.microsoft.com/fwlink/?linkid=870924
Comment:
    [INDIVIDUAL] Students from each class were randomly assigned to one of four instruction conditions.</t>
      </text>
    </comment>
    <comment ref="AL232" authorId="65" shapeId="0" xr:uid="{A10397F7-A041-6C46-A536-770444A87F9B}">
      <text>
        <t>[Threaded comment]
Your version of Excel allows you to read this threaded comment; however, any edits to it will get removed if the file is opened in a newer version of Excel. Learn more: https://go.microsoft.com/fwlink/?linkid=870924
Comment:
    For each test a passage similar to those used for the reading tasks in Phase 2 was employed</t>
      </text>
    </comment>
    <comment ref="AW232" authorId="66" shapeId="0" xr:uid="{2D4A6ACA-49BF-9E4E-8EF8-75AEB65E5BF0}">
      <text>
        <t>[Threaded comment]
Your version of Excel allows you to read this threaded comment; however, any edits to it will get removed if the file is opened in a newer version of Excel. Learn more: https://go.microsoft.com/fwlink/?linkid=870924
Comment:
    four weeks after (maintenance test).</t>
      </text>
    </comment>
    <comment ref="M236" authorId="67" shapeId="0" xr:uid="{B1984A5C-EC3D-E846-8EA2-A17511E0FFAA}">
      <text>
        <t>[Threaded comment]
Your version of Excel allows you to read this threaded comment; however, any edits to it will get removed if the file is opened in a newer version of Excel. Learn more: https://go.microsoft.com/fwlink/?linkid=870924
Comment:
    [INDIVIDUAL] Students from each class were randomly assigned to one of four instruction conditions.</t>
      </text>
    </comment>
    <comment ref="G240" authorId="68" shapeId="0" xr:uid="{D930923F-85CD-3044-9939-AE8091EDE647}">
      <text>
        <t>[Threaded comment]
Your version of Excel allows you to read this threaded comment; however, any edits to it will get removed if the file is opened in a newer version of Excel. Learn more: https://go.microsoft.com/fwlink/?linkid=870924
Comment:
    Table 2 on page 98</t>
      </text>
    </comment>
    <comment ref="AG240" authorId="69" shapeId="0" xr:uid="{9763A9D5-BC4E-9D4F-A06D-C72EFF1E44A5}">
      <text>
        <t>[Threaded comment]
Your version of Excel allows you to read this threaded comment; however, any edits to it will get removed if the file is opened in a newer version of Excel. Learn more: https://go.microsoft.com/fwlink/?linkid=870924
Comment:
    The instruction was provided for forty minutes a day for  eight weeks to social studies classes.</t>
      </text>
    </comment>
    <comment ref="AP240" authorId="70" shapeId="0" xr:uid="{9183F6DA-B592-D44D-8750-D2B2568E935B}">
      <text>
        <t xml:space="preserve">[Threaded comment]
Your version of Excel allows you to read this threaded comment; however, any edits to it will get removed if the file is opened in a newer version of Excel. Learn more: https://go.microsoft.com/fwlink/?linkid=870924
Comment:
    Cannot find the exact # of students in each group.
</t>
      </text>
    </comment>
    <comment ref="G244" authorId="71" shapeId="0" xr:uid="{45285DC9-175A-7C48-A65D-60D1D2F892F7}">
      <text>
        <t>[Threaded comment]
Your version of Excel allows you to read this threaded comment; however, any edits to it will get removed if the file is opened in a newer version of Excel. Learn more: https://go.microsoft.com/fwlink/?linkid=870924
Comment:
    Table 2 on page 98</t>
      </text>
    </comment>
    <comment ref="M248" authorId="72" shapeId="0" xr:uid="{F3A69D19-153F-3F44-8236-EF042EEA4142}">
      <text>
        <t>[Threaded comment]
Your version of Excel allows you to read this threaded comment; however, any edits to it will get removed if the file is opened in a newer version of Excel. Learn more: https://go.microsoft.com/fwlink/?linkid=870924
Comment:
    Sixty children with LD were randomly assigned to three groups of 20 students. Two groups received the experimental treatment: self-instructional training and self-instructional plus attributional training</t>
      </text>
    </comment>
    <comment ref="AW248" authorId="73" shapeId="0" xr:uid="{A2E19FE0-633B-DB4B-A32E-09ED98F217D5}">
      <text>
        <t>[Threaded comment]
Your version of Excel allows you to read this threaded comment; however, any edits to it will get removed if the file is opened in a newer version of Excel. Learn more: https://go.microsoft.com/fwlink/?linkid=870924
Comment:
    2 months later</t>
      </text>
    </comment>
    <comment ref="M251" authorId="74" shapeId="0" xr:uid="{FD39F7CB-9727-1045-ABA9-ADC81C63C42E}">
      <text>
        <t>[Threaded comment]
Your version of Excel allows you to read this threaded comment; however, any edits to it will get removed if the file is opened in a newer version of Excel. Learn more: https://go.microsoft.com/fwlink/?linkid=870924
Comment:
    Sixty children with LD were randomly assigned to three groups of 20 students. Two groups received the experimental treatment: self-instructional training and self-instructional plus attributional training</t>
      </text>
    </comment>
    <comment ref="M254" authorId="75" shapeId="0" xr:uid="{A8CA57B6-1D91-2E42-B575-2892C5F7F678}">
      <text>
        <t>[Threaded comment]
Your version of Excel allows you to read this threaded comment; however, any edits to it will get removed if the file is opened in a newer version of Excel. Learn more: https://go.microsoft.com/fwlink/?linkid=870924
Comment:
    Sixty children with LD were randomly assigned to three groups of 20 students. Two groups received the experimental treatment: self-instructional training and self-instructional plus attributional training</t>
      </text>
    </comment>
    <comment ref="M257" authorId="76" shapeId="0" xr:uid="{1FC13EAC-CD92-4242-905A-9E4E93660197}">
      <text>
        <t>[Threaded comment]
Your version of Excel allows you to read this threaded comment; however, any edits to it will get removed if the file is opened in a newer version of Excel. Learn more: https://go.microsoft.com/fwlink/?linkid=870924
Comment:
    Didn’t mention RANDOM</t>
      </text>
    </comment>
    <comment ref="AG259" authorId="77" shapeId="0" xr:uid="{CD0377A6-6D8C-8448-BC95-37A58B26DAF4}">
      <text>
        <t xml:space="preserve">[Threaded comment]
Your version of Excel allows you to read this threaded comment; however, any edits to it will get removed if the file is opened in a newer version of Excel. Learn more: https://go.microsoft.com/fwlink/?linkid=870924
Comment:
    See fig 2
</t>
      </text>
    </comment>
    <comment ref="AH259" authorId="78" shapeId="0" xr:uid="{9B9B74F2-39A6-7844-A3BD-5F80DB483ADE}">
      <text>
        <t>[Threaded comment]
Your version of Excel allows you to read this threaded comment; however, any edits to it will get removed if the file is opened in a newer version of Excel. Learn more: https://go.microsoft.com/fwlink/?linkid=870924
Comment:
    20 class period. In Germany, class periods are normally 45 minutes long.</t>
      </text>
    </comment>
    <comment ref="G302" authorId="79" shapeId="0" xr:uid="{899CA7CF-6158-5242-89A7-0E11969E06D7}">
      <text>
        <t>[Threaded comment]
Your version of Excel allows you to read this threaded comment; however, any edits to it will get removed if the file is opened in a newer version of Excel. Learn more: https://go.microsoft.com/fwlink/?linkid=870924
Comment:
    Demographic Data table is on page 26
Reply:
    Number of minutes - table 4</t>
      </text>
    </comment>
    <comment ref="AN302" authorId="80" shapeId="0" xr:uid="{743A5264-4B4D-F14C-BD3B-2562403166DA}">
      <text>
        <t xml:space="preserve">[Threaded comment]
Your version of Excel allows you to read this threaded comment; however, any edits to it will get removed if the file is opened in a newer version of Excel. Learn more: https://go.microsoft.com/fwlink/?linkid=870924
Comment:
    Not sig.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tc={63D52874-6D89-684B-BD33-D3766C3A5C4C}</author>
    <author>tc={490CB2BE-BC1D-4BDC-9712-0453DC5255AE}</author>
    <author>tc={B7DFB100-FEB1-9947-BCF3-E28F783AA852}</author>
    <author>tc={47C5F538-CECD-0F4E-86DA-FFAA05228925}</author>
    <author>tc={F0907F58-9AD4-AE4B-93F3-88A69D039637}</author>
    <author>tc={86E875B0-2F42-814E-A1E6-B048B4A3F8D5}</author>
    <author>tc={D47E5083-379C-49E5-8C7B-71D8529CE4B0}</author>
    <author>tc={C745E283-A86B-DF4C-B835-FB6BA773DB50}</author>
    <author>tc={54099CBC-A351-504F-890D-6FC91B744B2D}</author>
    <author>tc={D0DF8830-CCF3-D54C-A8AF-2118B2BDB1A0}</author>
    <author>tc={765F3FF1-3DB7-C446-A6F0-DF673A36DD6C}</author>
    <author>tc={39CDCD51-8923-8A42-A757-F5752B602441}</author>
    <author>tc={FBC63844-DC91-FA4B-B6C4-8C6A3CCB3A81}</author>
    <author>tc={C6A62D0F-4878-D84D-A085-2B149BE1EC1E}</author>
    <author>tc={18428521-4CD6-324F-9973-1E1989DA5C46}</author>
    <author>tc={3571807A-2084-FF48-B11B-33B543417DEF}</author>
    <author>tc={DF8437D5-5C05-2843-B409-25A4304171FE}</author>
    <author>tc={343015DF-AEA9-2349-95A1-F9B28E459D35}</author>
    <author>tc={3E4FFAE6-71F1-3441-B3DB-7EB8CC063F76}</author>
    <author>tc={10F97D06-D13B-7948-BA3B-0A33B0797751}</author>
    <author>tc={597DB333-656E-CE45-879A-CE3B2C78C121}</author>
    <author>tc={DC16C6D3-2F53-9D45-B06D-D3F85963730F}</author>
    <author>tc={08F74B5A-AFE3-4547-A476-C9469C205A1A}</author>
    <author>tc={25D4FC43-B9A9-254F-88E7-F1C6CE6CAD2A}</author>
    <author>tc={11C765E1-B241-6F44-B8BD-700E2B325AD9}</author>
    <author>tc={15BF5B7D-8C11-DA4C-81D4-2BD23E5C607E}</author>
    <author>tc={6CB3C667-1068-6546-9248-888EC431FEF9}</author>
    <author>tc={5D7977EE-C14A-2C46-910F-B940843209C4}</author>
    <author>tc={42B8D4B0-34A1-2541-A77E-A02F4D5EE31A}</author>
    <author>tc={03E3099B-50E9-C24A-ADC4-03EA00C4316C}</author>
    <author>tc={2391AFC0-D853-D54B-AE99-4F83F0F42857}</author>
    <author>tc={9AD27FF7-18EC-9244-8476-697875312976}</author>
    <author>tc={C273A6D2-CBBE-2B45-8D4D-BA7538665339}</author>
    <author>tc={1A653062-21C1-A948-9D5E-37A2688090F6}</author>
  </authors>
  <commentList>
    <comment ref="P11" authorId="0" shapeId="0" xr:uid="{63D52874-6D89-684B-BD33-D3766C3A5C4C}">
      <text>
        <t>[Threaded comment]
Your version of Excel allows you to read this threaded comment; however, any edits to it will get removed if the file is opened in a newer version of Excel. Learn more: https://go.microsoft.com/fwlink/?linkid=870924
Comment:
    Just need to divide the number by 100. ;)</t>
      </text>
    </comment>
    <comment ref="AB11" authorId="1" shapeId="0" xr:uid="{490CB2BE-BC1D-4BDC-9712-0453DC5255AE}">
      <text>
        <t>[Threaded comment]
Your version of Excel allows you to read this threaded comment; however, any edits to it will get removed if the file is opened in a newer version of Excel. Learn more: https://go.microsoft.com/fwlink/?linkid=870924
Comment:
    Fixed - It makes sense to exclude math fluency practice time. What about writing activity? Maybe the time dedicated to activities involving 'literacy' and motivational training?</t>
      </text>
    </comment>
    <comment ref="X14" authorId="2" shapeId="0" xr:uid="{B7DFB100-FEB1-9947-BCF3-E28F783AA852}">
      <text>
        <t>[Threaded comment]
Your version of Excel allows you to read this threaded comment; however, any edits to it will get removed if the file is opened in a newer version of Excel. Learn more: https://go.microsoft.com/fwlink/?linkid=870924
Comment:
    “Each teacher continued to use previously established classroom organizational procedures.”
Reply:
    P. 21 "… randomly assigned to one of three conditions: RCS+AR, RCS, or RN. This resulted in 21 total instructional groups (7 RCS+AR, 7 RCS, and 7 RN) of not more than seven students."</t>
      </text>
    </comment>
    <comment ref="Y14" authorId="3" shapeId="0" xr:uid="{47C5F538-CECD-0F4E-86DA-FFAA05228925}">
      <text>
        <t>[Threaded comment]
Your version of Excel allows you to read this threaded comment; however, any edits to it will get removed if the file is opened in a newer version of Excel. Learn more: https://go.microsoft.com/fwlink/?linkid=870924
Comment:
    See table Table 1 - they major instructors are researchers in the RCS+AR condition (5 researchers and 2 SpEd teachers)</t>
      </text>
    </comment>
    <comment ref="Q20" authorId="4" shapeId="0" xr:uid="{F0907F58-9AD4-AE4B-93F3-88A69D039637}">
      <text>
        <t xml:space="preserve">[Threaded comment]
Your version of Excel allows you to read this threaded comment; however, any edits to it will get removed if the file is opened in a newer version of Excel. Learn more: https://go.microsoft.com/fwlink/?linkid=870924
Comment:
    “Twenty-one students (64%) received some instruction in English as a second language classes.”
</t>
      </text>
    </comment>
    <comment ref="Y20" authorId="5" shapeId="0" xr:uid="{86E875B0-2F42-814E-A1E6-B048B4A3F8D5}">
      <text>
        <t>[Threaded comment]
Your version of Excel allows you to read this threaded comment; however, any edits to it will get removed if the file is opened in a newer version of Excel. Learn more: https://go.microsoft.com/fwlink/?linkid=870924
Comment:
    “a female adult trainer from outside the school.”
Reply:
    that makes sense and now this code looks clear!</t>
      </text>
    </comment>
    <comment ref="AC20" authorId="6" shapeId="0" xr:uid="{D47E5083-379C-49E5-8C7B-71D8529CE4B0}">
      <text>
        <t>[Threaded comment]
Your version of Excel allows you to read this threaded comment; however, any edits to it will get removed if the file is opened in a newer version of Excel. Learn more: https://go.microsoft.com/fwlink/?linkid=870924
Comment:
    P. 5 "Periodic observations of the training procedure by the authors confirmed that it was properly implemented and that children maintained their interest."
I thought this part implied somewhat degree of implementation fidelity. I think we need to clarify whether "1 = reported" indicates exact numeric data reported or any indication of checking fidelity reported.</t>
      </text>
    </comment>
    <comment ref="AE23" authorId="7" shapeId="0" xr:uid="{C745E283-A86B-DF4C-B835-FB6BA773DB50}">
      <text>
        <t>[Threaded comment]
Your version of Excel allows you to read this threaded comment; however, any edits to it will get removed if the file is opened in a newer version of Excel. Learn more: https://go.microsoft.com/fwlink/?linkid=870924
Comment:
    The eight passages described and provided information about persons, animals, places, and events. Passages ranged in length from 4 to 25 sentences (A/= 14 sentences), and each passage was followed by one to four questions (e.g., "What is the first paragraph mostly about?", "What is the most important idea in this passage?", "What is the writer's feeling?", "What is a good title for this passage?") for a total of 20 questions. Passages and questions ranged in difficulty; four passages (nine questions) were appropriate for Grade 2 students of average reading ability (Book A), two passages (six questions) for Grade 3 students (Book B), and two passages (five questions) for Grade 4 students (Book C). Passages and questions corresponded in reading level to those on the skill test but were not identical. A sample self-efficacy passage and question are shown in Table 1.</t>
      </text>
    </comment>
    <comment ref="M26" authorId="8" shapeId="0" xr:uid="{54099CBC-A351-504F-890D-6FC91B744B2D}">
      <text>
        <t>[Threaded comment]
Your version of Excel allows you to read this threaded comment; however, any edits to it will get removed if the file is opened in a newer version of Excel. Learn more: https://go.microsoft.com/fwlink/?linkid=870924
Comment:
    P. 46 (Abstract) 75 upper elementary school students were assigned to four treatment groups.
I thought upper elementary in US is Grades 4, 5</t>
      </text>
    </comment>
    <comment ref="Y26" authorId="9" shapeId="0" xr:uid="{D0DF8830-CCF3-D54C-A8AF-2118B2BDB1A0}">
      <text>
        <t>[Threaded comment]
Your version of Excel allows you to read this threaded comment; however, any edits to it will get removed if the file is opened in a newer version of Excel. Learn more: https://go.microsoft.com/fwlink/?linkid=870924
Comment:
    Authors simply mentioned "instructor"</t>
      </text>
    </comment>
    <comment ref="T34" authorId="10" shapeId="0" xr:uid="{765F3FF1-3DB7-C446-A6F0-DF673A36DD6C}">
      <text>
        <t>[Threaded comment]
Your version of Excel allows you to read this threaded comment; however, any edits to it will get removed if the file is opened in a newer version of Excel. Learn more: https://go.microsoft.com/fwlink/?linkid=870924
Comment:
    P. 38-39 Learning Strategies Curriculum includes a number of strategies designed to help students derive information from texts, identify and remember important information, or develop writing or academic competence. The LCS including word identification, visual imagery, self-questioning, paraphrasing, sentence writing, vocabulary, and inferencing.
There was 'word identification' component, so I coded as "cm." I was not confident on this decision, so I would like to hear your thoughts!</t>
      </text>
    </comment>
    <comment ref="Z34" authorId="11" shapeId="0" xr:uid="{39CDCD51-8923-8A42-A757-F5752B602441}">
      <text>
        <t>[Threaded comment]
Your version of Excel allows you to read this threaded comment; however, any edits to it will get removed if the file is opened in a newer version of Excel. Learn more: https://go.microsoft.com/fwlink/?linkid=870924
Comment:
    I thought the intervention was implemented for three years. So I computed as 3years*5days per week*36weeks in academic year*session length. Let me know if I misunderstood!</t>
      </text>
    </comment>
    <comment ref="V35" authorId="12" shapeId="0" xr:uid="{FBC63844-DC91-FA4B-B6C4-8C6A3CCB3A81}">
      <text>
        <t>[Threaded comment]
Your version of Excel allows you to read this threaded comment; however, any edits to it will get removed if the file is opened in a newer version of Excel. Learn more: https://go.microsoft.com/fwlink/?linkid=870924
Comment:
    Researcher-developed school-wide professional development was implemented to BAU</t>
      </text>
    </comment>
    <comment ref="Z36" authorId="13" shapeId="0" xr:uid="{C6A62D0F-4878-D84D-A085-2B149BE1EC1E}">
      <text>
        <t>[Threaded comment]
Your version of Excel allows you to read this threaded comment; however, any edits to it will get removed if the file is opened in a newer version of Excel. Learn more: https://go.microsoft.com/fwlink/?linkid=870924
Comment:
    I thought the intervention was implemented for four years. So I computed as 4years*5days per week*36weeks in academic year*session length. Let me know if I misunderstood!</t>
      </text>
    </comment>
    <comment ref="P46" authorId="14" shapeId="0" xr:uid="{18428521-4CD6-324F-9973-1E1989DA5C46}">
      <text>
        <t>[Threaded comment]
Your version of Excel allows you to read this threaded comment; however, any edits to it will get removed if the file is opened in a newer version of Excel. Learn more: https://go.microsoft.com/fwlink/?linkid=870924
Comment:
    I compared average Jordan household salary in 2016 and authors' report. Average household salary in 2016 was around 931-992 JOD, and 350 to 420 JOD per month is substantially below the country average, so I assigned low SES to this study participants.</t>
      </text>
    </comment>
    <comment ref="Q46" authorId="15" shapeId="0" xr:uid="{3571807A-2084-FF48-B11B-33B543417DEF}">
      <text>
        <t>[Threaded comment]
Your version of Excel allows you to read this threaded comment; however, any edits to it will get removed if the file is opened in a newer version of Excel. Learn more: https://go.microsoft.com/fwlink/?linkid=870924
Comment:
    English as foreign language can be included?</t>
      </text>
    </comment>
    <comment ref="AC46" authorId="16" shapeId="0" xr:uid="{DF8437D5-5C05-2843-B409-25A4304171FE}">
      <text>
        <t>[Threaded comment]
Your version of Excel allows you to read this threaded comment; however, any edits to it will get removed if the file is opened in a newer version of Excel. Learn more: https://go.microsoft.com/fwlink/?linkid=870924
Comment:
    Although the authors mentioned that they made regular visits with teachers, visits were not occurred in classrooms and I do not think regular visit outside of the classrooms does not guarantee the fidelity ..</t>
      </text>
    </comment>
    <comment ref="V47" authorId="17" shapeId="0" xr:uid="{343015DF-AEA9-2349-95A1-F9B28E459D35}">
      <text>
        <t>[Threaded comment]
Your version of Excel allows you to read this threaded comment; however, any edits to it will get removed if the file is opened in a newer version of Excel. Learn more: https://go.microsoft.com/fwlink/?linkid=870924
Comment:
    Traditional teaching method</t>
      </text>
    </comment>
    <comment ref="G56" authorId="18" shapeId="0" xr:uid="{3E4FFAE6-71F1-3441-B3DB-7EB8CC063F76}">
      <text>
        <t>[Threaded comment]
Your version of Excel allows you to read this threaded comment; however, any edits to it will get removed if the file is opened in a newer version of Excel. Learn more: https://go.microsoft.com/fwlink/?linkid=870924
Comment:
    Would teacher random assignment be RCT?
(p.8) The two first grade teachers were assigned to either the IG or the CG by a coin toss.</t>
      </text>
    </comment>
    <comment ref="AF61" authorId="19" shapeId="0" xr:uid="{10F97D06-D13B-7948-BA3B-0A33B0797751}">
      <text>
        <t>[Threaded comment]
Your version of Excel allows you to read this threaded comment; however, any edits to it will get removed if the file is opened in a newer version of Excel. Learn more: https://go.microsoft.com/fwlink/?linkid=870924
Comment:
    P. 529 The text was selected from a fifth-grade social studies textbook not used by the participants and the topic of the passage was Norwegian fisheries. 
Should this be considered as 'not overaligned'?</t>
      </text>
    </comment>
    <comment ref="AF67" authorId="20" shapeId="0" xr:uid="{597DB333-656E-CE45-879A-CE3B2C78C121}">
      <text>
        <t>[Threaded comment]
Your version of Excel allows you to read this threaded comment; however, any edits to it will get removed if the file is opened in a newer version of Excel. Learn more: https://go.microsoft.com/fwlink/?linkid=870924
Comment:
    I thought that this four reading assignment measures were possibly overaligned to the intervention, because those passages were used as instructional material (see Table 9)</t>
      </text>
    </comment>
    <comment ref="V76" authorId="21" shapeId="0" xr:uid="{DC16C6D3-2F53-9D45-B06D-D3F85963730F}">
      <text>
        <t>[Threaded comment]
Your version of Excel allows you to read this threaded comment; however, any edits to it will get removed if the file is opened in a newer version of Excel. Learn more: https://go.microsoft.com/fwlink/?linkid=870924
Comment:
    P. 452 control group covered the same reading material each week as the two treatment groups … Each teacher used a variety of methods to cover the material with the control classes but did not have the classes engage in ISR (independent silent reading).</t>
      </text>
    </comment>
    <comment ref="X98" authorId="22" shapeId="0" xr:uid="{08F74B5A-AFE3-4547-A476-C9469C205A1A}">
      <text>
        <t>[Threaded comment]
Your version of Excel allows you to read this threaded comment; however, any edits to it will get removed if the file is opened in a newer version of Excel. Learn more: https://go.microsoft.com/fwlink/?linkid=870924
Comment:
    Lesson 1, 2 were taught in wholeclass and lesson 3, 4, 5 were taught in small group. I coded as small group based on the frequency.</t>
      </text>
    </comment>
    <comment ref="AF98" authorId="23" shapeId="0" xr:uid="{25D4FC43-B9A9-254F-88E7-F1C6CE6CAD2A}">
      <text>
        <t>[Threaded comment]
Your version of Excel allows you to read this threaded comment; however, any edits to it will get removed if the file is opened in a newer version of Excel. Learn more: https://go.microsoft.com/fwlink/?linkid=870924
Comment:
    P. 411. … the students were asked to complete a reading test developed to assess their higher-order reading comprehension of the story "they had studied in the programme."
Maybe over aligned?</t>
      </text>
    </comment>
    <comment ref="W101" authorId="24" shapeId="0" xr:uid="{11C765E1-B241-6F44-B8BD-700E2B325AD9}">
      <text>
        <t>[Threaded comment]
Your version of Excel allows you to read this threaded comment; however, any edits to it will get removed if the file is opened in a newer version of Excel. Learn more: https://go.microsoft.com/fwlink/?linkid=870924
Comment:
    P. 484 The teachers were given the handouts describing the specific steps for conducting PALS. - But not sure whether this handout was script for intervention.</t>
      </text>
    </comment>
    <comment ref="AF103" authorId="25" shapeId="0" xr:uid="{15BF5B7D-8C11-DA4C-81D4-2BD23E5C607E}">
      <text>
        <t>[Threaded comment]
Your version of Excel allows you to read this threaded comment; however, any edits to it will get removed if the file is opened in a newer version of Excel. Learn more: https://go.microsoft.com/fwlink/?linkid=870924
Comment:
    P.8 We chose passages that were not topically related to the intervention unit topics so that scores would not be confounded by content instruction.</t>
      </text>
    </comment>
    <comment ref="V104" authorId="26" shapeId="0" xr:uid="{6CB3C667-1068-6546-9248-888EC431FEF9}">
      <text>
        <t>[Threaded comment]
Your version of Excel allows you to read this threaded comment; however, any edits to it will get removed if the file is opened in a newer version of Excel. Learn more: https://go.microsoft.com/fwlink/?linkid=870924
Comment:
    students in Sequence A were taught with USHER units related to American Indians, European exploration, and two cultures meet (i.e., interactions between the American Indians and European Explorers), 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
I coded Sequence A pretest-posttest treatment and comparison groups design data, where students in treatment group were taught USHER while students in comparison group were taught typical social studies instruction.</t>
      </text>
    </comment>
    <comment ref="A167" authorId="27" shapeId="0" xr:uid="{5D7977EE-C14A-2C46-910F-B940843209C4}">
      <text>
        <t>[Threaded comment]
Your version of Excel allows you to read this threaded comment; however, any edits to it will get removed if the file is opened in a newer version of Excel. Learn more: https://go.microsoft.com/fwlink/?linkid=870924
Comment:
    Reading comprehension outcome: text comprehension = story comprehension + informational text comprehension; text comprehension seem to be summed score of two subtests.</t>
      </text>
    </comment>
    <comment ref="AF167" authorId="28" shapeId="0" xr:uid="{42B8D4B0-34A1-2541-A77E-A02F4D5EE31A}">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AF172" authorId="29" shapeId="0" xr:uid="{03E3099B-50E9-C24A-ADC4-03EA00C4316C}">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AF177" authorId="30" shapeId="0" xr:uid="{2391AFC0-D853-D54B-AE99-4F83F0F42857}">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AF182" authorId="31" shapeId="0" xr:uid="{9AD27FF7-18EC-9244-8476-697875312976}">
      <text>
        <t>[Threaded comment]
Your version of Excel allows you to read this threaded comment; however, any edits to it will get removed if the file is opened in a newer version of Excel. Learn more: https://go.microsoft.com/fwlink/?linkid=870924
Comment:
    Not sure. (p.267) Text comprehension tasks were designed to be similar to reading activities, which were prominent in the traditional classrooms.</t>
      </text>
    </comment>
    <comment ref="M187" authorId="32" shapeId="0" xr:uid="{C273A6D2-CBBE-2B45-8D4D-BA7538665339}">
      <text>
        <t>[Threaded comment]
Your version of Excel allows you to read this threaded comment; however, any edits to it will get removed if the file is opened in a newer version of Excel. Learn more: https://go.microsoft.com/fwlink/?linkid=870924
Comment:
    Netherlands secondary grades (12-14 years of age)</t>
      </text>
    </comment>
    <comment ref="M188" authorId="33" shapeId="0" xr:uid="{1A653062-21C1-A948-9D5E-37A2688090F6}">
      <text>
        <t xml:space="preserve">[Threaded comment]
Your version of Excel allows you to read this threaded comment; however, any edits to it will get removed if the file is opened in a newer version of Excel. Learn more: https://go.microsoft.com/fwlink/?linkid=870924
Comment:
    13;6
= 13 + 6/12 = 13.5
</t>
      </text>
    </comment>
  </commentList>
</comments>
</file>

<file path=xl/sharedStrings.xml><?xml version="1.0" encoding="utf-8"?>
<sst xmlns="http://schemas.openxmlformats.org/spreadsheetml/2006/main" count="11877" uniqueCount="1034">
  <si>
    <t>1. Study Info</t>
  </si>
  <si>
    <t>2.1 ConditionID and Sample Information</t>
  </si>
  <si>
    <t>3. Reading Components in each Condition</t>
  </si>
  <si>
    <t>3.2 Intervention Features (Skip if BAU)</t>
  </si>
  <si>
    <t>4.1 Reading Comprehension Outcome</t>
  </si>
  <si>
    <t>4.2 Descriptive Statistics for PRETEST and POST-TEST</t>
  </si>
  <si>
    <t xml:space="preserve">4.3 Other ES for POST-TEST </t>
  </si>
  <si>
    <t>5.1 Number of follow up testing session</t>
  </si>
  <si>
    <t xml:space="preserve">Yixian's Notes </t>
  </si>
  <si>
    <t>Nayoung 's Notes</t>
  </si>
  <si>
    <t>Author Name</t>
  </si>
  <si>
    <t>Study ID</t>
  </si>
  <si>
    <t xml:space="preserve">Country
</t>
    <phoneticPr fontId="1" type="noConversion"/>
  </si>
  <si>
    <t>Context</t>
  </si>
  <si>
    <t xml:space="preserve">pubtype 
</t>
    <phoneticPr fontId="1" type="noConversion"/>
  </si>
  <si>
    <t xml:space="preserve">Design
</t>
    <phoneticPr fontId="1" type="noConversion"/>
  </si>
  <si>
    <t>Condition
ID</t>
  </si>
  <si>
    <t>Name of Condition</t>
  </si>
  <si>
    <t xml:space="preserve">Grade </t>
  </si>
  <si>
    <t>Average Age</t>
  </si>
  <si>
    <t>% of Struggling Readers</t>
  </si>
  <si>
    <t>% of 
Disability</t>
  </si>
  <si>
    <t>% of low SES/FRL</t>
  </si>
  <si>
    <t>% of 
EB/ESL</t>
  </si>
  <si>
    <t>% of 
boys</t>
  </si>
  <si>
    <t>% of 
non-white</t>
  </si>
  <si>
    <t>Reading Components or Conditions</t>
  </si>
  <si>
    <t>Description of Components /Conditions</t>
  </si>
  <si>
    <t>Source of Curriculum</t>
  </si>
  <si>
    <t xml:space="preserve">Scripted Lesson?
</t>
  </si>
  <si>
    <t xml:space="preserve">Group size
</t>
  </si>
  <si>
    <t>Major Implementer</t>
  </si>
  <si>
    <t>Total dosage (in minutes)</t>
  </si>
  <si>
    <t>Session Length (in minutes)</t>
  </si>
  <si>
    <t>fidelity / integrity</t>
  </si>
  <si>
    <t>measure names</t>
  </si>
  <si>
    <t xml:space="preserve">standardized? </t>
  </si>
  <si>
    <r>
      <t xml:space="preserve">Measure Reliability?
</t>
    </r>
    <r>
      <rPr>
        <b/>
        <sz val="8"/>
        <color theme="1"/>
        <rFont val="Calibri (Body)"/>
      </rPr>
      <t>If reported, enter a number value. If not, enter NA</t>
    </r>
  </si>
  <si>
    <r>
      <t xml:space="preserve">M_pretest
</t>
    </r>
    <r>
      <rPr>
        <b/>
        <sz val="8"/>
        <color theme="1"/>
        <rFont val="Calibri (Body)"/>
      </rPr>
      <t>(NA is accpetable)</t>
    </r>
  </si>
  <si>
    <r>
      <t xml:space="preserve">SD_pretest
</t>
    </r>
    <r>
      <rPr>
        <b/>
        <sz val="8"/>
        <color theme="1"/>
        <rFont val="Calibri (Body)"/>
      </rPr>
      <t>(NA is accpetable)</t>
    </r>
  </si>
  <si>
    <r>
      <t xml:space="preserve">N_pretest
</t>
    </r>
    <r>
      <rPr>
        <b/>
        <sz val="8"/>
        <color theme="1"/>
        <rFont val="Calibri (Body)"/>
      </rPr>
      <t>(NA is accpetable)</t>
    </r>
  </si>
  <si>
    <r>
      <t xml:space="preserve">M_posttest
</t>
    </r>
    <r>
      <rPr>
        <b/>
        <sz val="8"/>
        <color theme="1"/>
        <rFont val="Calibri (Body)"/>
      </rPr>
      <t>(NA is NOT accpetable)</t>
    </r>
  </si>
  <si>
    <r>
      <t xml:space="preserve">SD_posttest
</t>
    </r>
    <r>
      <rPr>
        <b/>
        <sz val="8"/>
        <color theme="1"/>
        <rFont val="Calibri (Body)"/>
      </rPr>
      <t>(NA is NOT accpetable)</t>
    </r>
  </si>
  <si>
    <r>
      <t xml:space="preserve">N_posttest
</t>
    </r>
    <r>
      <rPr>
        <b/>
        <sz val="8"/>
        <color theme="1"/>
        <rFont val="Calibri (Body)"/>
      </rPr>
      <t>(NA is NOT accpetable)</t>
    </r>
  </si>
  <si>
    <t>Report this only when descriptive stats is not available.</t>
  </si>
  <si>
    <t>Report when available.</t>
  </si>
  <si>
    <t>Orkin et al., 2017</t>
  </si>
  <si>
    <t>USA</t>
  </si>
  <si>
    <t>1=After school Program</t>
  </si>
  <si>
    <t>0 = peer reviewed paper</t>
  </si>
  <si>
    <t>0 = RCT</t>
  </si>
  <si>
    <t>Intervention group</t>
  </si>
  <si>
    <t>NA</t>
  </si>
  <si>
    <t xml:space="preserve">cm = combined coding + meaning </t>
  </si>
  <si>
    <t>Each group received daily instruction in both the RAVE-O and Wilson Reading Program curricula, proven to improve fluency and phonics skills, respectively… 
RAVE-O lessons also instruct children on semantic, syntactic, morphological, and text comprehension strategies</t>
  </si>
  <si>
    <t>1 = Published or Commercially available curriculum</t>
  </si>
  <si>
    <t>1 = Yes (Including CAI)</t>
  </si>
  <si>
    <t>1 = small group (3–7 students)</t>
  </si>
  <si>
    <t>1 = School Staff</t>
  </si>
  <si>
    <t>1 = Reported</t>
  </si>
  <si>
    <t>SRI PC = Standard Reading Inventory, Passage Comprehension;</t>
  </si>
  <si>
    <t>1 = YES - standardized</t>
  </si>
  <si>
    <t>summer program</t>
  </si>
  <si>
    <t>Control group</t>
  </si>
  <si>
    <t>The two program used, RAVE-O and Wilson Reading Program, are scripted program according to online informaiton.</t>
  </si>
  <si>
    <t>Toste et al., 2019</t>
  </si>
  <si>
    <t>0=School Environment</t>
  </si>
  <si>
    <t>MWR</t>
  </si>
  <si>
    <t>4, 5</t>
  </si>
  <si>
    <t>c = code-based</t>
  </si>
  <si>
    <t>MWR instruction. Lessons in both treatment conditions, MWR and MWR+MB, were taught with the same reading intervention curriculum. Each lesson consisted of seven instructional components: warm-up, affix bank, word play, beat the clock, write word, speedy read, and text reading. Due to space limitations, we provide brief descriptions of these components (for details, see Toste, Williams, &amp; Capin, 2017).
Text reading. The last lesson activity each day was text reading. For the first 20 lessons, students read sentences that were developed to have at least two multisyllabic words and spotlight words.</t>
  </si>
  <si>
    <t>0 = Researcher-developed curriculum</t>
  </si>
  <si>
    <t>0 = Research Staff</t>
  </si>
  <si>
    <t>WJIII PC</t>
  </si>
  <si>
    <t>Age - age is not directly reported. We use the age equivalents to estimate it.</t>
  </si>
  <si>
    <t>GMRT-RC</t>
  </si>
  <si>
    <t>MWR+MB</t>
  </si>
  <si>
    <t xml:space="preserve">4, 5 </t>
  </si>
  <si>
    <t>BAU</t>
  </si>
  <si>
    <t>Business-as-Usual Control Research staff met with the four ... 
Teachers reported that the majority of the time was spent on computer-based programming, guided reading, sustained silent reading, and preparation sessions for the State of Texas Assessments of Academic Readiness.</t>
  </si>
  <si>
    <t>2 = District/State curriculum</t>
  </si>
  <si>
    <t>Toste et al., 2017</t>
  </si>
  <si>
    <t>MWR only</t>
  </si>
  <si>
    <t>3, 4</t>
  </si>
  <si>
    <t>MWR instruction. Students in both treatment conditions, MWR only and MWR 1 MB, were exposed to the same reading instruction. Each lesson consisted of seven instructional components. First, each lesson began with “Warm-Up” (2 min- utes), wherein students practiced reading skills that were prerequisite to success with multisyllabic words. ...
The core of each lesson included time where students were exposed to meaning- ful linguistic units (i.e., morphemes) through repeated practice, blending and seg- menting word parts, and exposure to a large number of words. During “Word Play”</t>
  </si>
  <si>
    <t>WRAT4 - Sentence comprehension</t>
  </si>
  <si>
    <t>Age was calculated based on our coding rule</t>
  </si>
  <si>
    <t>MWR + MB</t>
  </si>
  <si>
    <t>Controlgroup. All students in the study received the same core reading instruction. …  The principal investigator met with the third- and fourth-grade teachers at both schools to obtain information about the instruction received by the students in the control group while students in the treatment conditions received reading intervention. In- struction during this time varied throughout the year, but teachers provided pri- marily small-group instruction that included practice such as guided reading, silent reading, and computer-based programming and preparation sessions for the State of Texas Assessments of Academic Readiness.</t>
  </si>
  <si>
    <t>Berkeley et al., 2011</t>
  </si>
  <si>
    <t>RCS + AR</t>
  </si>
  <si>
    <t>7, 8, 9</t>
  </si>
  <si>
    <t>m = meaning-based</t>
  </si>
  <si>
    <t>RCS materials. Six reading comprehension strategies were taught in the RCS lessons: (a) setting a purpose, (b) preview- ing, (c) activating background knowledge, (d) self-questioning, (e) summarizing, and (f) strategy monitoring (see Figure 1).</t>
  </si>
  <si>
    <t>Summary test</t>
  </si>
  <si>
    <t>0 = NO - Not standardized</t>
  </si>
  <si>
    <t>6-week follow-up</t>
  </si>
  <si>
    <t>% of SES was calculated based on our coding rule</t>
  </si>
  <si>
    <t>Passage test</t>
  </si>
  <si>
    <t>RCS</t>
  </si>
  <si>
    <t>RN</t>
  </si>
  <si>
    <t xml:space="preserve">Read Naturally materials. RN was the program currently adopted by the participating schools to help poor readers improve fluency and reading comprehension through explicit repeated reading practice. </t>
  </si>
  <si>
    <t>The program used, Read Naturally, is a published and scripted reading program.</t>
  </si>
  <si>
    <t>Schunk and Rice, 1989</t>
  </si>
  <si>
    <t xml:space="preserve">T - Process Goal </t>
  </si>
  <si>
    <t>The instructional material consisted of a training packet that included several reading passages, each of which was followed by one or more multiple-choice questions assessing comprehension of main ideas. The passages in the packet were drawn from different sources and were similar to those typically used by children's remedial teachers. The reading passages were ordered from least-to-most difficult;</t>
  </si>
  <si>
    <t>Comprehension Skill</t>
  </si>
  <si>
    <t>% of low SES: Author reported that " Although different socioeconomic backgrounds were represented, children predominantly were lower-middle class." We made an estimation of 85%.</t>
  </si>
  <si>
    <t>Implementer was a female adult trainer from outside of the school (p. 4)</t>
  </si>
  <si>
    <t xml:space="preserve">T - Product Goal </t>
  </si>
  <si>
    <t>C -general goal</t>
  </si>
  <si>
    <t>Each group received daily instruction in both the RAVE-O and Wilson Reading Program curricula, proven to improve fluency and phonics skills, respectively. Wilson Reading Program is a structured literacy program that provides explicit instruction in the phonetic components of language. RAVE-O program is a multicomponential reading program that addresses the multiple linguistic processes that contribute to fluent reading and comprehension. 
RAVE-O lessons also instruct children on semantic, syntactic, morphological, and text comprehension strategies</t>
  </si>
  <si>
    <t>MWR instruction. Lessons in both treatment conditions, MWR and MWR+MB, were taught with the same reading intervention curriculum. Each lesson consisted of seven instructional components: warm-up, affix bank, word play, beat the clock, write word, speedy read, and text reading. Due to space limitations, we provide brief descriptions of these components (for details, see Toste, Williams, &amp; Capin, 2017).</t>
  </si>
  <si>
    <t>Students in both treatment conditions were exposed to the same reading instruction. Each lession consisted of seven instructional components: warm-up, affix bank, word play, beat the clock, write word, speedy read, and text reading.</t>
  </si>
  <si>
    <t>WART4 SC</t>
  </si>
  <si>
    <t xml:space="preserve">The principal investigator met with the third- and fourth-grade teachers at both schools to obtain information about the instruction received by the students in the control group while students in the treatment conditions received reading intervention. Instruction during this time varied throughout the year, but teachers provided primarily small-group instruction that included practice such as guided reading, silent reading, and computer-based programming and preparation sessions for the State of Texas Assessments of Academic Readiness. </t>
  </si>
  <si>
    <t>RCS+AR</t>
  </si>
  <si>
    <t>students in both RCS and RCS+AR conditions received 20 minutes of instruction in how and when to use the reading comprehension strategies. Lessons included explicit instruction on six reading comprehension strategies.</t>
  </si>
  <si>
    <t>Summarization</t>
  </si>
  <si>
    <t>Passage-specific content</t>
  </si>
  <si>
    <t>students in both RCS and RCS+AR conditions received 20 minutes of instruction in how and when to use the reading comprehension strategies. Lessons included explicit instruction on six reading comprehension strategies. For 10 minutes at the end of the lesson, studnets in both RCS and RN conditions listened to the teacher read aloud short stories selected by students from high-interest short story collections to promote reading for pleasure.</t>
  </si>
  <si>
    <t>The RN program required students to: (a) make predictions about the story, (b) practice reading the story using a repeated reading technique, (c) answer implicit and explicit comprehension questions about specific factual content in the story, and (d) graph their fluency progress. For 10 minutes at the end of the lesson, studnets in both RCS and RN conditions listened to the teacher read aloud short stories selected by students from high-interest short story collections to promote reading for pleasure.</t>
  </si>
  <si>
    <t>Process Goal</t>
  </si>
  <si>
    <t>The instructional material consisted of a training packet that included several reading passages, each of which was followed by one or more multiple-choice questions assessing comprehension of main ideas. In the training room was a poster board on which was printed a five-step reading comprehension strategy. This strategy, which was developed in previous research (Schunk &amp; Rice, 1986), was as follows:
What do I have to do? (1 ) Read the questions. (2) Read the passage to find out what it is mostly about. (3) Think about what the details have in common. (4) Think about what would make a good title. (5) Reread the story if I don't know the answer to a question.</t>
  </si>
  <si>
    <t>comprehension skill</t>
  </si>
  <si>
    <t>Product Goal</t>
  </si>
  <si>
    <t>Control</t>
  </si>
  <si>
    <t xml:space="preserve">Notes </t>
  </si>
  <si>
    <t xml:space="preserve">Testing Reliability (1-5): </t>
  </si>
  <si>
    <t>Coloumn</t>
  </si>
  <si>
    <t>Total Aggreed</t>
  </si>
  <si>
    <t>Total Items</t>
  </si>
  <si>
    <t>Reliability Rate</t>
  </si>
  <si>
    <t>Section 1 (Study Info):</t>
  </si>
  <si>
    <t>A3:F22</t>
  </si>
  <si>
    <t>Section 2 (Sample Info):</t>
  </si>
  <si>
    <t>G3:P22</t>
  </si>
  <si>
    <t/>
  </si>
  <si>
    <t>Section 3 (Intervention Info):</t>
  </si>
  <si>
    <t>Q3:Y22</t>
  </si>
  <si>
    <t>Section 4 (Outcomes):</t>
  </si>
  <si>
    <t>Z3:AJ22</t>
  </si>
  <si>
    <t>Total</t>
  </si>
  <si>
    <t>A3:AJ22</t>
  </si>
  <si>
    <t>Double checked</t>
  </si>
  <si>
    <t>Schunk and Rice, 1991</t>
  </si>
  <si>
    <t>5</t>
  </si>
  <si>
    <t>The instructional material consisted of a packet that included several reading passages, each of which was followed by one or more multiple-choice questions assessing comprehension of main ideas. The passages were drawn from different sources and were similar to those typically used by subjects' remedial teachers.
In the training room the five-step comprehension strategy was printed on a poster board. This strategy was as follows (Schunk &amp; Rice, 1989):
What do I have to do?
(1) Read the questions.
(2) Read the passage to find out what it is mostly about.
(3) Think about what the details have in common.
(4) Think about what would make a good title.
(5) Reread the story if I don't know the answer to a question.</t>
  </si>
  <si>
    <t xml:space="preserve">0 = Not reported </t>
  </si>
  <si>
    <t>Process Goal + Feedback</t>
  </si>
  <si>
    <t>Borkowski et al., 1988</t>
  </si>
  <si>
    <t>RS + Complex Attribution</t>
  </si>
  <si>
    <t xml:space="preserve">Reading strategy Training - Training procedures were adapted from the Main Ideas and Details, Topic Sentences, and Summarization sections of the Chicago Mastery Learning Reading Curriculum, Levels H-L (Jones, Monsaas, &amp; Katims, 1979). Mate- rials for the pretraining assessment ofall children and training sessions for the Reading Strategies Control group consisted of prose paragraphs that the children were asked to summarize. </t>
  </si>
  <si>
    <t>0 = No / Not reported</t>
  </si>
  <si>
    <t>NA (5 sessions)</t>
  </si>
  <si>
    <t>Post 1-Paragraph Summarization</t>
  </si>
  <si>
    <t>Post 2-Paragraph Summarization</t>
  </si>
  <si>
    <t>RS+Attribution</t>
  </si>
  <si>
    <t>Attribution C (Control)</t>
  </si>
  <si>
    <t>RS Control</t>
  </si>
  <si>
    <t>Cantrell et al., 2014</t>
  </si>
  <si>
    <t>Int.  n = 462</t>
  </si>
  <si>
    <t>0 = classroom/ large group</t>
  </si>
  <si>
    <t>GRADE Reading Comprehension</t>
  </si>
  <si>
    <t>Con.  n = 389</t>
  </si>
  <si>
    <t>Cantrell et al., 2016</t>
  </si>
  <si>
    <t>1091-1</t>
  </si>
  <si>
    <t>Grade 6 Int. 605</t>
  </si>
  <si>
    <t>* GRADE = Group Reading and Diagnostic Evaluation</t>
  </si>
  <si>
    <t>1092-1</t>
  </si>
  <si>
    <t>Grade 6 Con. 530</t>
  </si>
  <si>
    <t>1091-2</t>
  </si>
  <si>
    <t>Grade 9 Int. 593</t>
  </si>
  <si>
    <t>1092-2</t>
  </si>
  <si>
    <t>Grade 9 Con. 535</t>
  </si>
  <si>
    <t>Ng et al., 2013</t>
  </si>
  <si>
    <t>Australia</t>
  </si>
  <si>
    <t>TLS-e-mail （motivation)</t>
  </si>
  <si>
    <t>Students learned to identify toplevel structure in texts, to understand the signal words and other cues indicating the various forms of such structure, and to discuss examples of these in commonly encountered text materials. Six lessons covered four main structures found in texts (Bartlett, 1978, 2010), specifically listing, comparison, problem-solution, and cause-effect. These lessons were taught to the experimental groups (see Table 1).</t>
  </si>
  <si>
    <t>NAPLAN Reading  test (National Assessment Program of Literacy and Numeracy)</t>
  </si>
  <si>
    <t>Reading  comprehension  test</t>
  </si>
  <si>
    <t>TLS-only</t>
  </si>
  <si>
    <t>Students in the control group had their normal 60-minute lessons from the school curriculum and studied identical reading materials used in the experimental groups, without the opportunities of learning top-level structuring and completing related learning activities.</t>
  </si>
  <si>
    <t>All subjects worked on instructional materials covering comprehension of main ideas.
Product goal subjects were told by the instructor at the start of each session, "While you're working, it helps to keep in mind what you're trying to do. You'll be trying to answer questions about what you've read." In this and the other conditions, the instructor asked subjects if the goal sounded reasonable; this was done to promote subjects' goal commitment. Goals do not enhance performance if individuals do not make a commitment to attempt to attain them (Locke et al., 1981). No subject in any condition expressed displeasure with the goal.</t>
  </si>
  <si>
    <t xml:space="preserve">All subjects worked on instructional materials covering comprehension of main ideas.
To process goal subjects, the instructor emphasized learning the steps in the strategy by remarking at the start of each session, "While you're working, it helps to keep in mind what you're trying to do. You'll be trying to learn how to use the steps to answer questions about what you've read." </t>
  </si>
  <si>
    <t>Process Goal+Feedback</t>
  </si>
  <si>
    <t>All subjects worked on instructional materials covering comprehension of main ideas.
Subjects in the process goal plus progress feedback condition received the process goal at the start of each session. In addition, each subject was given progress feedback 3-4 times each session.</t>
  </si>
  <si>
    <t>RS+CA</t>
  </si>
  <si>
    <t>Prose summarization training consisted of instructions on the use of three reading strategies adapted from the Chicago Mastery Learning Reading Curriculum (Levels H, J, and K). Sections used were Main Ideas and Details, Topic Sentence, and Summarization. Students were informed at the beginning of each session that the effortful use of reading strategies would help them to understand and remember what they read. They then heard a short review on the importance of attributing success and failure to controllable factors and its importance to success on academic tasks. Previously covered information was then reviewed until the child understood the topic under discussion. 
Session 4 began with a review, followed by a demonstration of the difference between a category topic and examples of the category. The structure of paragraphs in terms of main ideas and details was then described. After the student practiced the exercise, a second example paragraph was shown, and the instructor intentionally made a mistake by not using the strategy (e.g., picking an erroneous topic sentence at random instead of one that tells what the other sentences are about). The discussion of possible reasons for failure followed; the cartoon character was again used as a guide to explain that the mistake was made because of a controllable factor: not using the appropriate reading strategy. The importance of not attributing failure to uncontrollable factors was again stressed. The instructor then combined the positive self-attribution "I need to try and use the strategy" with the actual use of the strategy to successfully perform the previously failed item, modeling the strategy aloud. Next, the relation between the effortful use of the reading strategy and correctly picking the topic sentence was reiterated. The formula "strategy use equals success" was emphasized. During the remainder of the session, the instructor and the students took turns with short paragraphs; the instructor alternated errors and correct answers. On each occasion, the association among effort, strategy use, and good performance was emphasized.
In Session 5, a topic and a topic sentence were identified in situations in which it was not contained in the paragraph. The relevance of topics and topic sentences to summarizing less explicit paragraphs was discussed. When students made mistakes, instances were used to emphasize the importance of strategy use. Descriptive paragraphs were defined, and the use of comprehension strategics relative to understanding such paragraphs was explained. The student and the instructor again took turns using the strategy with example paragraphs.
In Session 6, a three-step strategy for summarization of explanatory paragraphs was introduced, beginning with the definition of a summary. Instructions in creating titles for paragraphs, locating the main idea, and finding a rationale for the idea were the instructed strategies. A review of all training sessions followed, reinforcing positive selfattributions and the effortful use of strategies.ck 3-4 times each session.</t>
  </si>
  <si>
    <t>summarization post1</t>
  </si>
  <si>
    <t>summarization post2</t>
  </si>
  <si>
    <t>RS+A</t>
  </si>
  <si>
    <t>Students in the Reading Strategies Plus Attribution condition received the paired-associate and clustering-rehearsal tasks in Sessions 2 and 3, without strategy or attributional instructions. They were asked to remember which pictures went together, as well as to organize the categorizable items before recall. As described earlier, Sessions 4-6 (reading strategies and attributional training) for the Reading Strategies Plus Attribution condition were identical to that of the Reading Strategies Plus Complex Attribution condition. Thus only Phase 1 (Sessions 2 and 3) differentiated the Reading Strategies Plus Complex Attribution and Reading Strategies Plus Attribution conditions. Essentially, this training sensitized students in the more complex condition to the importance of attributional beliefs before the learning of the reading strategies embedded in an appropriate attributional context.</t>
  </si>
  <si>
    <t>Attribution Cont</t>
  </si>
  <si>
    <t>Students in the Attribution Control condition received strategy training identical to the procedures used in the Reading Strategies Plus Complex Attribution condition in Sessions 2-6, except that no attribution training was included. Mistakes were purposely made by the instructor, and students were allowed an opportunity to correct their answers. The importance of understanding the controllable causes of performance, however, was not emphasized.</t>
  </si>
  <si>
    <t>Reading Cont</t>
  </si>
  <si>
    <t>During Phase 1, students in the Reading Strategies Control condition learned the same tasks used in the other condition, but without explicit training. Phase 2 consisted of the opportunity to read and summarize paragraphs, with no direct teaching of reading strategies or effort-related attributions. However, the importance of "making an effort" and "trying hard" were emphasized in order to create a positive motivational set.</t>
  </si>
  <si>
    <t>Intervention</t>
  </si>
  <si>
    <t>During the classes, teachers used eight instructional stages to teach the Learning Strategies Curriculum strategies. Teachers were free to select the strategies they taught based on their assessment of students’ needs. In the first year, teachers focused on the following strategies from the Learning Strategies Curriculum: word identification, self-questioning, visual imagery, vocabulary, paraphrasing, and sentence writing. In years 2 and 3, teachers had three additional strategies in their repertoire from which to draw: fundamentals of paraphrasing and summarizing and inferencing. In these years, teachers also incorporated possible selves, which involves Learning Strategies Curriculum activities for building students’ motivation. These strategies were selected for focus because, as a group, they represented each strand of the model (Acquisition, Storage, and Expression) and provided students with tools for word recognition, comprehension, vocabulary, and writing.</t>
  </si>
  <si>
    <t>GRADE</t>
  </si>
  <si>
    <t>This investigation was implemented in 12 middle schools across a rural state. This initiative was comprised of two primary components: (a) a school-wide model that involved professional development for all content teachers in content area literacy and (b) a targeted intervention (Learning Strategies Curriculum). All students were provided the whole-school model, but only a randomly selected group of struggling readers received the Learning Strategies Curriculum. Although it was expected that students in both the treatment and control groups would benefit similarly from the whole-school model, the randomized-controlled research design enabled us to ascertain the effectiveness of the targeted intervention over and above the whole-school model.</t>
  </si>
  <si>
    <t>Interv Grade6</t>
  </si>
  <si>
    <t>p.8 The Learning Strategies Curriculum was developed to assist adolescents with LD in the general education classroom and is divided into three strands: (a) acquisition, (b) storage, and (c) expression. The acquisition strand was geared toward helping students gain information from text. This strand included strategies such as word identification, visual imagery, self-questioning, and paraphrasing. ... The storage stand included the following strategies: FIRST-letter Mnemonic, Paired-Associates, and the LINCS Vocabulary Learning Strategy. ... The expression strand included strategies for assisting students with writing and academic competence. It included the Sentence Writing Strategy, the InSPECT strategy, the Theme Writing Strategy, the Assignment Completion Strategy, and the Test-Taking Strategy.</t>
  </si>
  <si>
    <t>Cont Grade6</t>
  </si>
  <si>
    <t>Students who were selected for the control group received a regular elective as part of their sixth- or ninth-grade program. A wide range of electives was taken, including band, chorus, civics, and physical education. In general, it was not expected that the electives included sufficient literacy content to influence the literacy achievement of students in the control group, as these courses did not include defined targeted reading skill components. Reading intervention teachers did not interact with or teach students in the control group, and intervention teachers did not share teaching or learning strategies with other teachers who may have influenced the performance of students in the control group.</t>
  </si>
  <si>
    <t>Interv Grade9</t>
  </si>
  <si>
    <t>Cont Grade9</t>
  </si>
  <si>
    <t>TLS+Email</t>
  </si>
  <si>
    <t>Students learned to identify toplevel structure in texts, to understand the signal words and other cues indicating the various forms of such structure, and to discuss examples of these in commonly encountered text materials. Three male older adults with a mean age of 54 years provided motivational support to students in the TLSe-mail group. Each of the older adults was responsible for 9 or 10 students in the TLS-e-mail group.</t>
  </si>
  <si>
    <t>reading comprehension test</t>
  </si>
  <si>
    <t>Sample size for each condition was not reported. Paired t-test result of TLS+Emal reading comprehension test: t(26) = -6.62, p &lt; .0001, r = .65.</t>
  </si>
  <si>
    <t>NAPLAN reading test</t>
  </si>
  <si>
    <t>Sample size for each condition was not reported. Paired t-test result of TLS+Emal NAPLAN: t(21) = -4.69, p &lt; .0001, r = .51.</t>
  </si>
  <si>
    <t>Students learned to identify toplevel structure in texts, to understand the signal words and other cues indicating the various forms of such structure, and to discuss examples of these in commonly encountered text materials.</t>
  </si>
  <si>
    <t>Sample size for each condition was not reported. Paired t-test result of TLS+Emal reading comprehension test: t(21) = -3.71, p &lt; .0001, r = .37.</t>
  </si>
  <si>
    <t>Sample size for each condition was not reported. Paired t-test result of TLS+Emal NAPLAN: t(22) = -5.94, p &lt; .0001, r = .61.</t>
  </si>
  <si>
    <t>Sample size for each condition and relevant statistics report for control condition were not reported</t>
  </si>
  <si>
    <t>A23:F45</t>
  </si>
  <si>
    <t>G23:P45</t>
  </si>
  <si>
    <t>Q23:Y45</t>
  </si>
  <si>
    <t>Z23:AJ45</t>
  </si>
  <si>
    <t>A3:AJ45</t>
  </si>
  <si>
    <t>A23:AJ45</t>
  </si>
  <si>
    <t>Total SO FAR</t>
  </si>
  <si>
    <t>The accurate sample size in each group is not reported. We use the total sample size (76) devided by 3 conditions to get the average sample size in each condition.</t>
  </si>
  <si>
    <t>P. 46 (Abstract) 75 upper elementary school students were assigned to four treatment groups.
I thought upper elementary in US is Grades 4, 5</t>
  </si>
  <si>
    <t>The grade level is reported as upper elementary. In the US, upper elementary is considered as grade 4 and 5.</t>
  </si>
  <si>
    <t xml:space="preserve"> -- </t>
  </si>
  <si>
    <t>1 = disseration</t>
  </si>
  <si>
    <t>2 = report/chapter/others</t>
  </si>
  <si>
    <t xml:space="preserve">0 = peer reviewed paper </t>
  </si>
  <si>
    <t xml:space="preserve"> 0 = RCT </t>
  </si>
  <si>
    <t xml:space="preserve">1 = QED with matched group </t>
  </si>
  <si>
    <t>AC (other area)</t>
  </si>
  <si>
    <t xml:space="preserve">c = code-based  </t>
  </si>
  <si>
    <t>3 = NA (for BAU/AC Condition)</t>
  </si>
  <si>
    <t>Alhabahba et al., 2016</t>
  </si>
  <si>
    <t>Jordan</t>
  </si>
  <si>
    <t xml:space="preserve">1 = QED with matched group  </t>
  </si>
  <si>
    <t>CORI</t>
  </si>
  <si>
    <t>CORI is also known as an instructional reading intervention program that combines science instruction, strategy instruction, a set of motivational practises developed to advance school students’ comprehension, motivation (i.e. intrinsic), and strategy learning and use (Guthrie, 2004).</t>
  </si>
  <si>
    <t>Post RC test</t>
  </si>
  <si>
    <t>Pretest SMD is not reported, but it is reported to be non-significant (the pre-RCT was not significantly related to post-RCT at (F = .062, df = 1,63, p = .804).)</t>
  </si>
  <si>
    <t>Regarding the context of the study, it is important to highlight what constitutes traditional reading method in Jordan, compared with other regions of the world. In most cases, schools in Jordan receive limited funding from the government and, therefore, conducting up-to-date professional development is unlikely to occur (Alhabahba et al., 2016). Thus, teachers are left by their own to figure out and choose teaching styles that they think suitable for their students. Thus, with the authoritarian power that exists in the context, teachers focus on rote learning and memorisation that do not support student-centred and task-based learning approaches.</t>
  </si>
  <si>
    <t>Netherlands</t>
  </si>
  <si>
    <t xml:space="preserve">PBL + ‘Who reads this’ </t>
  </si>
  <si>
    <t>Within the programme, numerous different possibilities were utilized to involve the children in the reading and writing of texts to the greatest extent possible and keep them highly involved. The most important motivational factors proved to be an exciting begin for each unit, choosing the problem oneself, working the problem out into a concrete product and the actual presentation of the product. The problem-oriented reading programme consists of a manual for the teacher and a workbook for the pupils. In the manual, relatively detailed descriptions of how the lessons can be implemented are provided. A large number of suggestions and tips are also provided with regard to the guidance of small groups of pupils. The workbooks contain texts, instructions, explanations and tasks.</t>
  </si>
  <si>
    <t xml:space="preserve">NA </t>
  </si>
  <si>
    <t>Reading Comprehension Test</t>
  </si>
  <si>
    <t>Control = ‘Who reads this’</t>
  </si>
  <si>
    <t>the pupils in the control group according to the usual reading comprehension programme ‘Who reads this’ (Wie dit leest) (Aarnoutse &amp; Van de Wouw, 1991). With the exception of the reading comprehension lessons, the pupils were otherwise taught in the usual manner according to the remaining sections of the standard programme (i.e., technical reading, information processing and reading promotion).</t>
  </si>
  <si>
    <t>Wigfield et al., 2008</t>
  </si>
  <si>
    <t>CORI (5t, 2school)</t>
  </si>
  <si>
    <t>Concept-Oriented Reading Instruction. As noted earlier, CORI is based on the engagement model of reading development (Guthrie &amp; Wigfield, 2000). The model suggests that effective instruction for comprehension includes support for motivational, cognitive, conceptual, and social processes within the classroom. Within CORI, students’ processes of engagement were explicitly supported through five practices: (a) using content goals in a conceptual theme for reading instruction, (b) affording choices and control to students, (c) providing hands-on activities, (d) using interesting texts for instruction, and (e) organizing collaboration for learning from text (see Guthrie, 2004). To implement the practice of using content goals in a conceptual theme during reading instruction, students were taught reading comprehension in the theme of ecology, following the science goals prescribed by the school district.</t>
  </si>
  <si>
    <t>Gates Comprehension Test (level 4)</t>
  </si>
  <si>
    <t>Equivalent: PRETEST is not provided, but the authors claimed "We used an equivalent group’s pretest–posttest design (Pedhazur &amp; Schmelkin, 1991)."</t>
  </si>
  <si>
    <t>Multiple text comprehension</t>
  </si>
  <si>
    <t xml:space="preserve">SI (7t, 2school) </t>
  </si>
  <si>
    <t>SI. The implementation was designed to be as similar as possible to existing practices of multiple strategy instruction that are consistent with research-based recommendations (National Reading Panel, 2000) and to the strategy instruction in CORI described previously.
(Strategy Instruction in CORI. Systematic, explicit instruction in reading comprehension was provided in CORI. This instruction was embedded in the six practices designed to support reading engagement. Explicit strategy instruction was provided for the following reading comprehension strategies: (a) activating background knowledge, (b) questioning, (c) searching for information, (d) summarizing, (e) organizing graphically, and (f) identifying story structure. Each of the six strategies was taught for 1 week in the order presented (a) through (f), and in the next 6 weeks, strategies were systematically integrated with each other.)</t>
  </si>
  <si>
    <t xml:space="preserve">Accurate sample size is not reported. We use the total sample size (315) to devide the number of condition (3) to get an average of 105 students in each condition. </t>
  </si>
  <si>
    <t>TI (3t, 1school)</t>
  </si>
  <si>
    <t>Traditional Instruction  TI consisted of three classrooms in a school selected by the district to be comparable to the CORI and SI schools. Teachers provided their normal reading and language arts instruction with basal materials, trade books, and vocabulary books. We collected pre- and posttest data, but did not provide professional development, or any materials to these classrooms.</t>
  </si>
  <si>
    <t>Israel</t>
  </si>
  <si>
    <t>IG (CORI adapted)</t>
  </si>
  <si>
    <t>The intervention program was built by the researchers in collaboration with the IG teacher based on three practices out of five from the CORI reading motivation program
(a) Five days a week, the IG teacher spent 10 minutes reading aloud a chapter from a book. (b) During two weekly lessons (90 minutes), students visited a learning center and were engaged with various written materials, board and card games related to letters and words, and participated in activities like solving riddles, completing poems and crossword puzzles. (c) During one weekly lesson (45 minutes), children invented games containing words they had already learned.</t>
  </si>
  <si>
    <t>Reading comprehension  Accuracy (from RAMA-the Israeli National Authority for Measurement and Evaluation (2015))</t>
  </si>
  <si>
    <t xml:space="preserve">Equivalent: Pretest equivalence is provided on phonological awareness and reading motivation. </t>
  </si>
  <si>
    <t>Control Group</t>
  </si>
  <si>
    <t>All children learned an equal number of reading and writing lessons, using the official phonetic reading program of the Ministry of Education in Israel. While the IG acquired reading using a variety of activities designed to enhance reading motivation, the CG acquired reading skills using booklets, workbooks and worksheets. The CG children were instructed to practice these basic skills using their workbooks, while the IG children used a variety of relevant reading materials, games and activities, and were given the opportunity to choose assignments and reading materials and encouraged to work in collaboration with fellow classmates.</t>
  </si>
  <si>
    <t xml:space="preserve">In the first phase, emphasis was placed on content in the conceptual theme for reading instruction, to offer female school students an involving and meaningful learning environment. This included learning about animals and their living conditions in their context. Second, the teachers provided hands-on activities to motivate female students’ situational interest, which included field observation of living animals and plants, and experiments on seed planting (refer to Appendix). The third phase included using information sources and interesting texts in relation to the conceptual theme (e.g., defined conceptual theme in relation to the topic taught by teachers). Fourth, the teachers provided some interesting texts and exercises to the students. The fifth phase included teaching a set of strategies that are considered effective in developing reading comprehension. Such strategies included activating background knowledge, self-questioning, looking up information, and forming graphically (refer to Guthrie &amp; Wigfield, 2000; Guthrie, 2004; Guthrie &amp; Taboada, 2004; Guthrie et al., 2007). It is noteworthy to mention that supplementary texts were provided and ranged from easy to difficult. These reading texts were selected based on some criteria, which included, amongst all, suitability of the texts to the cultural and learning values in relation to the context. The teacher participants and the director of supervision Department of Education in the context of the study were also consulted during the selection of the reading texts. </t>
  </si>
  <si>
    <t>Reading Comprehension Test (RCT)</t>
  </si>
  <si>
    <t>SES was estimated based on government-reported data</t>
  </si>
  <si>
    <t>in the control group the traditional teaching method was used.</t>
  </si>
  <si>
    <t>Aarnoutse &amp; Schellings, 2003</t>
  </si>
  <si>
    <t>The pupils in the experimental group were taught according to the experimental programme and the pupils in the control group according to the usual reading comprehension programme Who reads (Wie dit leest)</t>
  </si>
  <si>
    <t>As noted earlier, CORI is based on the engagement model of reading development (Guthrie &amp; Wigfield, 2000). The model suggests that effective instruction for comprehension includes support for motivational, cognitive, conceptual, and social processes within the classroom. Within CORI, students’ processes of engagement were explicitly supported through five practices: (a) using content goals in a conceptual theme for reading instruction, (b) affording choices and control to students, (c) providing hands-on activities, (d) using interesting texts for instruction, and (e) organizing collaboration for learning from text (see Guthrie, 2004). To implement the practice of using content goals in a conceptual theme during reading instruction, students were taught reading comprehension in the theme of ecology, following the science goals prescribed by the school district. Systematic, explicit instruction in reading comprehension was
provided in CORI. This instruction was embedded in the six practices designed to support reading engagement. Explicit strategy instruction was provided for the following reading comprehension strategies: (a) activating background knowledge, (b) questioning, (c) searching for information, (d) summarizing, (e) organizing graphically, and (f) identifying story structure. Each of the six strategies was taught for 1 week in the order presented (a) through (f), and in the next 6 weeks, strategies were systematically integrated with each other. The exception was story structure, which was taught in allweeks.</t>
  </si>
  <si>
    <t>GMRT (Gates-MacGinitie Comprehension Test)</t>
  </si>
  <si>
    <t>Sample size for each condition was not reported</t>
  </si>
  <si>
    <t>SI</t>
  </si>
  <si>
    <t>The second instructional framework used as a treatment condition in this study was SI. The implementation was designed to be as similar as possible to existing practices of multiple strategy instruction that are consistent with research-based recommendations (National Reading Panel, 2000) and to the strategy instruction in CORI described previously. Teachers used the materials within their schools consisting of basal programs and some trade books. SI teachers used information texts for science and social studies as approximately 30% of their reading materials. The SI teachers taught the same county-based life science objectives (with heavy emphasis on ecology) and included the same science observations and activities (e.g., aquariums) as the CORI teachers. No explicit support for student motivation was stipulated in the SI program, although teachers used a variety of practices to motivate their students to read. In particular, SI teachers provided support for students’ self-efficacy by enabling them to become confident in using strategies as tools to improve their reading. The sequence of strategies was the same in SI and CORI.</t>
  </si>
  <si>
    <t>TI</t>
  </si>
  <si>
    <t>TI consisted of three classrooms in a school selected by the district to be comparable to the CORI and SI schools. Teachers provided their normal reading and language arts instruction with basal materials, trade books, and vocabulary books. We collected pre- and posttest data, but did not provide professional development, or any materials to these classrooms.</t>
  </si>
  <si>
    <t>IG</t>
  </si>
  <si>
    <t>CORI: The intervention program was built by the researchers in collaboration with the IG teacher based on three practices out of five from the CORI reading motivation program, which is usually used with older children (third graders and up). Relevance, choice and collaboration were chosen because they are most be suitable to young children who are being exposed to formal reading instruction and can be easily implemented in the formal required curriculum for language arts in first grade. The additional two practices of CORI—success and thematic units—were not used in the current intervention program because they are more suitable for older children who are at a more advanced stage of reading and, therefore, can accurately evaluate their reading abilities and are able to structure the content of reading activities presented to them.</t>
  </si>
  <si>
    <t>RAMA Reading comprehension</t>
  </si>
  <si>
    <t>CG</t>
  </si>
  <si>
    <t>An additional classroom of children in the same school served as a control group (CG) and went through the year with the traditional official curriculum in Hebrew for reading instruction While the IG acquired reading using a variety of activities designed to enhance reading motivation, the CG acquired reading skills using booklets, workbooks and worksheets. The CG children were instructed to practice these basic skills using their workbooks, while the IG children used a variety of relevant reading materials, games and activities, and were given the opportunity to choose assignments and reading materials and encouraged to work in collaboration with fellow classmates.</t>
  </si>
  <si>
    <t>Nevo &amp; Vaknin-Nusbaum, 2020</t>
  </si>
  <si>
    <t>% of 
Minority</t>
  </si>
  <si>
    <t>NA (40 lessons; 7.5 month)</t>
  </si>
  <si>
    <t>A46:AJ57</t>
  </si>
  <si>
    <t>A3:AJ57</t>
  </si>
  <si>
    <t>% of 
second lang.</t>
  </si>
  <si>
    <t>Norway</t>
  </si>
  <si>
    <t>ERCI (103)</t>
  </si>
  <si>
    <t>The same topics were taught in the same order to the control group during the same period. Within ERCI, teachers attempted to use the following four instructional practices, which were derived from the principles of relevant background knowledge, reading comprehension strategies, reading-group organization, and reading motivation (see above).</t>
  </si>
  <si>
    <t>RC  (SRT) pretest ONLY - Sentence Reading Test</t>
  </si>
  <si>
    <t>RC  (maze)</t>
  </si>
  <si>
    <t>RC (NLCT)</t>
  </si>
  <si>
    <t>RC (RGT)</t>
  </si>
  <si>
    <t>BAU (113)</t>
  </si>
  <si>
    <t>NA - . No observations were made of control group teachers.</t>
  </si>
  <si>
    <t>1textbook ISR (45)</t>
  </si>
  <si>
    <t>The students in the textbook ISR group read silently from the standard American literature textbook for approximately 1 h in a single sitting each week. They answered open-book adjunct questions as they read so that their reading could be verified. The questions were open-ended and consisted of a combination of knowledge-based and higher order questions. Open ended questions were considered necessary because if multiple choice questions were used, it would have allowed those students who did not want to read the option to guess instead. The questions required short answer responses that asked students to summarize, paraphrase, and make inferences. Researchers have found improved reading performance when measures of accountability were introduced alongside silent reading (Kelley and Clausen-Grace 2006; Trudel 2007), while others have noted the importance of having additional supports to ensure participants attend to the intervention (Thompson 1997).</t>
  </si>
  <si>
    <t>(Table 4) Gates-MacGinitie Reading Test</t>
  </si>
  <si>
    <t>(Table 6) Dr. Heidegger’s Experiment</t>
  </si>
  <si>
    <t>(Table 6) Narrative of Frederick Douglass</t>
  </si>
  <si>
    <t>(Table 6) A Rose for Emily</t>
  </si>
  <si>
    <t>(Table 6) The Jilting of Granny Weatherall</t>
  </si>
  <si>
    <t>2module ISR (30)</t>
  </si>
  <si>
    <t>The module ISR group read the same literary selections as the control group and the textbook ISR group but did most of their reading on computers rather than from the textbook. Like the textbook ISR group, the module ISR group read silently for approximately 1 h each week and answered the same open-book adjunct questions while they read. However, the module ISR group received additional intervention layers delivered via a computer module format designed specifically to assist with comprehension. Like the control and textbook ISR groups, the module ISR group read on fourteen different weeks, but nine of the assignments were completed with the use of the computer module, while five were text-based interventions identical to those administered to the textbook ISR group. Initially, ten computer module interventions had been scheduled, but one was cancelled due to a computer lab scheduling conflict. The computer reading modules were developed by the researchers and included a number of cognitive tools and scaffolding devices meant to improve comprehension. The modules were constructed on a PowerPoint template, and students read the material individually by clicking through the slideshows at their own pace. Orienting instructions have been found to be beneficial in helping adults attend to reading comprehension tasks (Thompson 1997) and were placed at the beginning of the slideshows to advise the readers of the usefulness and importance of the additional tools at their disposal.</t>
  </si>
  <si>
    <t>BAU (70)</t>
  </si>
  <si>
    <t>The control group covered the same reading material each week as the two treatment groups, and did so in a fashion that the teachers normally employed in previous years. Each teacher used a variety of methods to cover the material with the control classes but did not have the classes engage in ISR. The methods included student read-alouds, teacher readalouds, short readings paired with teacher-led discussions, and small group readings such as pair-share (two students) and reading circles (more than two students). The researchers’ hypothesis was that activities such as these may help students to learn the material, but that many students would learn via listening rather than reading, and fewer students would read consistently throughout the semester, leading to less uniform gains in reading comprehension than those students in the classes that took part in methodical ISR. The control classes functioned like traditional literature classes with instructional time often devoted towards historical context and the aesthetic qualities of the literature, but with less time devoted to having each individual student read for prolonged periods. Therefore, if reading amount outside of school was similar across students in all groups, which is likely considering the students were randomly assigned to the classes, each student in the control group would read less frequently and less overall than those in the treatment groups.</t>
  </si>
  <si>
    <t>CORI (4)</t>
  </si>
  <si>
    <t>% unclear</t>
  </si>
  <si>
    <t>To implement the practice of using content goals in reading instruction, students were taught reading comprehension in the conceptual theme of ecology in life science, following general science goals prescribed by the county (details about the science activities are presented below). Using content goals in a conceptual theme consists of reading instruction with a complex knowledge domain (ecology, solar system, colonial America, westward expansion) sustained for at least several weeks (Many, Fyfe, Lewis, &amp; Mitchell, 1996). Knowledge content goals provide motivation for students because they provide a purpose for using strategies, such as questioning.</t>
  </si>
  <si>
    <t>(T4) Multiple text comprehension</t>
  </si>
  <si>
    <t xml:space="preserve">age caculated based on grades </t>
  </si>
  <si>
    <t>(T4) Passage comprehension</t>
  </si>
  <si>
    <t>SI (6)</t>
  </si>
  <si>
    <t>For SI, teachers used the materials in their schools consisting of basal readers, trade books, magazines, and multimedia. They spent substantial time locating books suitable for teaching each of the six strategies in the SI program (Davis &amp; Tonks, 2004).
The SI teachers taught the same county-based life science objectives (with heavy emphasis on ecology) and included the same science observations and activities (e.g., aquariums) as the CORI teachers. SI teachers used information texts for science and social studies as approximately 30% of their reading materials. There was no explicit support for student motivation stipulated in the SI program, although teachers used a variety of practices to motivate their students to read. In particular, SI teachers usually provided support for students’ self-efficacy by enabling them to become confident in using strategies as tools to read better, which can facilitate reading self-efficacy (Bandura, 1997). The sequence of strategies was the same in SI and CORI.</t>
  </si>
  <si>
    <t>CORI (9)</t>
  </si>
  <si>
    <t>The CORI and SI instructional frameworks were the same in Study 2 as in Study 1. The reading comprehension strategies were identical, and the motivational practices were the same.</t>
  </si>
  <si>
    <t>Passage comprehension (Pre/post)</t>
  </si>
  <si>
    <t>Gates-MacGinitie Reading Comprehension Test</t>
  </si>
  <si>
    <t>SI (11)</t>
  </si>
  <si>
    <t>The CORI and SI instructional frameworks were the same in Study 2 as in Study 1. The reading comprehension strategies were identical, and the motivational practices were the same.
SI and TI teachers used reading materials available to them in their schools.</t>
  </si>
  <si>
    <t>TI (4)</t>
  </si>
  <si>
    <t>TI consisted of an extensive amount of text interaction with a variety of basal materials and trade books. Strategies such as predicting and activating background knowledge were taught implicitly as appropriate to the text. Struggling readers were given appropriately differentiated instruction and reading materials. 
SI and TI teachers used reading materials available to them in their schools.</t>
  </si>
  <si>
    <t>Finland</t>
  </si>
  <si>
    <t>RT Goal</t>
  </si>
  <si>
    <t>The RT Goal program consisted of eight preplanned and documented 1.5 h sessions held once a week, during which the play was rehearsed and finally performed for an audience of classmates. The groups followed the same lesson structure until the halfway point (see Table 2). The main difference between the RT Practice and RT Goal programs was the preparation process for the final performance, which started earlier and was more intensive for the RT Goal group. The RT Practice students practiced the play without the goal of performing it for an audience; instead, they had the opportunity to briefly introduce the characters to an audience. In this way, both groups had a chance to perform on stage.</t>
  </si>
  <si>
    <t>Computerized Reading Comprehension</t>
  </si>
  <si>
    <t>The study reported SE. We compute the standard deviation (SD) from it by simply multiplying it by the square root of the sample size.</t>
  </si>
  <si>
    <t>RT Practice</t>
  </si>
  <si>
    <t>Table 2 provides an overview of the program lesson structure. The program focused on practicing a single play script (1000 words/8 acts) entitled “Velhokisat” [Wizard Contest] written for the research project by drama teachers. The reading exercises in the program were designed around this script. Each session consisted of a greeting circle, reading exercises, and ending routines. A drama contract (Neelands, 1984) was introduced during the first session to ensure a safe learning environment for everyone. A drama contract explains the type of drama work to be completed and the basic principles of group work (e.g., everyone is allowed to participate in their own way, all participation is voluntary, and the self is separated from the acting role and thereby protected during role-play) (Heyward, 2010).</t>
  </si>
  <si>
    <t>Control Condition  The students in the Control group received school-based reading support, including possible special education lessons in reading. In addition, to improve the comparability between groups in the amount of oral reading, classes and special needs teachers were asked to provide these students with an additional 10-minute practice session in oral RF twice a week. To encourage this activity, the researchers provided the teachers with age-appropriate print reading materials.</t>
  </si>
  <si>
    <t>MORE</t>
  </si>
  <si>
    <t>See figure 1: 10 Day Lesson Sequence for 1 MORE Unit on Artic Animal Survival</t>
  </si>
  <si>
    <t>MAP RC</t>
  </si>
  <si>
    <t>*DIBLE (Combined - word reading fluency, oral reading fluency, and retell ability)</t>
  </si>
  <si>
    <t>Table 2  Informational and Narrative Books Used in Read-Alouds in MORE and TI Conditions</t>
  </si>
  <si>
    <t>Andreassen &amp; Braten, 2011</t>
  </si>
  <si>
    <t>Within ERCI, teachers attempted to use the following four instructional practices, which were derived from the principles of relevant background knowledge, reading comprehension strategies, reading-group organization, and reading motivation</t>
  </si>
  <si>
    <t>SRT - pretest ONLY</t>
  </si>
  <si>
    <t>maze - posttest ONLY</t>
  </si>
  <si>
    <t>NCLT - posttest ONLY</t>
  </si>
  <si>
    <t>RGT - posttest ONLY</t>
  </si>
  <si>
    <t>In the same period, the students in the control group were taught according to the same social studies curriculum using ordinary practices, that is, with no special emphasis on reading comprehension instruction.
No professional development was provided for the teachers of the control group. They were briefly informed about the project and their role as control group teachers before the intervention started. In addition, they were only contacted to make appointments in connection with the pre- and post-tests. After the post-test, a questionnaire concerning their reading lessons and social studies instruction was sent to them. To try to avoid compensatory rivalry in participants not receiving treatment (Shadish, Cook, &amp; Campbell, 2002), the control teachers were offered similar professional development the next school year.</t>
  </si>
  <si>
    <t>NA (for BAU/AC Condition)</t>
  </si>
  <si>
    <t>Cuevas et al., 2012</t>
  </si>
  <si>
    <t>textbook ISR</t>
  </si>
  <si>
    <t>10</t>
  </si>
  <si>
    <t xml:space="preserve">The students in the textbook ISR group read silently from the standard American literature textbook for approximately 1 h in a single sitting each week. They answered open-book adjunct questions as they read so that their reading could be verified. The questions were open-ended and consisted of a combination of knowledge-based and higher order questions. Open ended questions were considered necessary because if multiple choice questions were used, it would have allowed those students who did not want to read the option to guess instead. The questions required short answer responses that asked students to summarize, paraphrase, and make inferences. </t>
  </si>
  <si>
    <t>GMRT</t>
  </si>
  <si>
    <t>individual assignment1 - Dr. Heidegger's Experiment</t>
  </si>
  <si>
    <t>individual assignment2 - Narrative of Frederick Douglass</t>
  </si>
  <si>
    <t>individual assignment3 - A Rose for Emily</t>
  </si>
  <si>
    <t>individual assignment4 - The Jilting of Granny Weatherall</t>
  </si>
  <si>
    <t>module ISR</t>
  </si>
  <si>
    <t>The module ISR group read the same literary selections as the control group and the textbook ISR group but did most of their reading on computers rather than from the textbook. Like the textbook ISR group, the module ISR group read silently for approximately 1 h each week and answered the same open-book adjunct questions while they read. However, the module ISR group received additional intervention layers delivered via a computer module format designed specifically to assist with comprehension. Like the control and textbook ISR groups, the module ISR group read on fourteen different weeks, but nine of the assignments were completed with the use of the computer module, while five were text-based interventions identical to those administered to the textbook ISR group. Initially, ten computer module interventions had been scheduled, but one was cancelled due to a computer lab scheduling conflict. The computer reading modules were developed by the researchers and included a number of cognitive tools and scaffolding devices meant to improve comprehension. The modules were constructed on a PowerPoint template, and students read the material individually by clicking through the slideshows at their own pace. Orienting instructions have been found to be beneficial in helping adults attend to reading comprehension tasks (Thompson 1997) and were placed at the beginning of the slideshows to advise the readers of the usefulness and importance of the additional tools at their disposal. Advance organizers were provided to stimulate background knowledge, activate schema, and help generate predictions. Questions were presented that asked the students to paraphrase the information contained in the advance organizers in writing to encourage them to encode that information into memory. In order to trigger inferences and predictions, probe words from within the text that were central to its meaning flashed across the screen prior to certain chunks of text. A vocabulary function allowed students to scroll over words in the text to reveal their meaning as they were used within the context of the passage. Students answered adjunct questions that may have served to stimulate metacognition, because answering the questions would help make the students aware of their level of understanding of the text. The questions were embedded within the module on the screen so that students would not have to look away from the text to consider the questions. All these tools—the advance organizers, the probe words, the vocabulary function, the adjunct questions—combined to create a layer of cognitive strategies to assist the students with reading comprehension.</t>
  </si>
  <si>
    <t>The control group covered the same reading material each week as the two treatment groups, and did so in a fashion that the teachers normally employed in previous years. Each teacher used a variety of methods to cover the material with the control classes but did not have the classes engage in ISR. The methods included student read-alouds, teacher read alouds, short readings paired with teacher-led discussions, and small group readings such as pair-share (two students) and reading circles (more than two students). The researchers’ hypothesis was that activities such as these may help students to learn the material, but that many students would learn via listening rather than reading, and fewer students would read consistently throughout the semester, leading to less uniform gains in reading comprehension than those students in the classes that took part in methodical ISR. The control classes functioned like traditional literature classes with instructional time often devoted towards historical context and the aesthetic qualities of the literature, but with less time devoted to having each individual student read for prolonged periods. Therefore, if reading amount outside of school was similar across students in all groups, which is likely considering the students were randomly assigned to the classes, each student in the control group would read less frequently and less overall than those in the treatment groups.</t>
  </si>
  <si>
    <t>Guthrie et al., 2004 study1</t>
  </si>
  <si>
    <t>3</t>
  </si>
  <si>
    <t>Within CORI, students’ motivation and engagement were explicitly supported through five practices: (a) using content goals for reading instruction, (b) affording choices and control to students, (c) providing hands-on activities, (d) using interesting texts for instruction, and (e) organizing collaboration for learning from text. SI was intended to support students’ development of self efficacy for reading comprehension. 
CORI teachers participated in a 10-day workshop that included viewing examples of instruction, performing the reading strategies, discussing motivational practices, constructing reading–science integrations, identifying books appropriate for this instruction, and planning for the 12-week theme using a teacher’s guide supplied by the project. SI teachers participated in a 5-day workshop that included viewing examples of instruction, performing the reading strategies, discussing motivational practices, identifying books appropriate for this instruction, and planning 12 weeks of instruction using a teacher’s guide supplied by the project. During the SI workshop, teachers identified books and materials for SI. We provided guidance in how to align texts with specific strategies and how to use available narrative and information texts for instruction in each strategy.</t>
  </si>
  <si>
    <t>multiple text comprehension</t>
  </si>
  <si>
    <t>passage comprehension</t>
  </si>
  <si>
    <t>In CORI, explicit SI was provided for the following reading comprehension strategies: (a) activating background knowledge, (b) questioning, (c) searching for information, (d) summarizing, (e) organizing graphically, and (f) identifying story structure. Each strategy was taught for one week in the order presented previously (6 weeks), and in the next 6 weeks, strategies were systematically integrated with each other. This sequence enabled students to gain command of the individual strategies, as well as to fuse them in complex comprehension activities in the classroom. Throughout, the strategies were modeled by the teacher and scaffolded according to students’ needs, with guided practice provided. This frame is similar to the recommendations and practices for multiple SI, as described in the National Reading Panel (2000) report. Several investigators have detailed reading strategies including explicit teaching for background knowledge, questioning, summarizing, searching for information, organizing graphically, and learning story grammar from literary materials (Trabasso &amp; Bouchard, 2002). SI emphasized the attributes of competence in doing the strategy, awareness of when and how to use each strategy, and self-initiation of the strategy to assure sustained self-regulation of effective reading. 
For SI teachers, we discussed the motivational practice of supporting student self-efficacy in reading by enabling students to perceive their improvement in strategies and to set realistic goals for their strategy development. The SI workshop was shorter because teachers did not develop the science activities, other motivational practices, or science–reading integrations. The activities and time devoted to SI training were quite similar across the two workshops, as were the amounts of time teachers had to plan their lessons.</t>
  </si>
  <si>
    <t>Guthrie et al., 2004 study2</t>
  </si>
  <si>
    <t>The CORI and SI instructional frameworks were the same in Study 2 as in Study 1. The reading comprehension strategies were identical, and the motivational practices were the same. However, in Study 2, a plan for instructing struggling readers was implemented in CORI classrooms. 30 min daily, students identified by the teacher as substantially lower achieving than others in the class were given instruction focusing on fluency development and simplified SI consistent with the conceptual theme. In some classrooms, these students were pulled out by a special education teacher, and in other classrooms, the regular teacher provided instruction (Guthrie, 2004). Instruction for struggling readers was emphasized in SI classrooms in ways that were comparable to the approach used in CORI. In-classroom differentiated teaching and pullout for special education were provided for all such students as appropriate.</t>
  </si>
  <si>
    <t>GMRCT</t>
  </si>
  <si>
    <t>Study 2 included a comparison group consisting of TI, in which no intervention was included. TI consisted of an extensive amount of text interaction with a variety of basal materials and trade books. Strategies such as predicting and activating background knowledge were taught implicitly as appropriate to the text. Struggling readers were given appropriately differentiated instruction and reading materials.</t>
  </si>
  <si>
    <t>Hautala et al., 2023</t>
  </si>
  <si>
    <t>computerized reading comprehension</t>
  </si>
  <si>
    <t>SD was calculated using SE and n</t>
  </si>
  <si>
    <t xml:space="preserve"> </t>
  </si>
  <si>
    <t>The students in the Control group received school-based reading support, including possible special education lessons in reading. In addition, to improve the comparability between groups in the amount of oral reading, classes and special needs teachers were asked to provide these students with an additional 10-minute practice session in oral RF twice a week. To encourage this activity, the researchers provided the teachers with age-appropriate print reading materials.</t>
  </si>
  <si>
    <t>Kim et al., 2021</t>
  </si>
  <si>
    <t>MORE (MS+MS-H)</t>
  </si>
  <si>
    <t>1</t>
  </si>
  <si>
    <t>In Lessons 1 and 2, teachers introduced the first informational text with the target science words and instructed children how to organize the words into a concept map. The goal of the first two MORE lessons was for students to know who would win in a fight: a polar bear or a grizzly bear. The teacher conducted an interactive read-aloud of Who Would Win? Polar Bear Versus Grizzly Bear (Pallotta, 2015). Students were also explicitly taught the following key science concepts: survive, physical feature, behavior, and advantage. For each concept, the teacher made a connection to the interactive read-aloud and gave students a child-friendly definition. Students were asked to say the concept word with the teacher, trace the letters to spell the concept, and copy the definition in their MORE research notebook along with characteristics and/or examples associated with the concept. Finally, the teacher led students through a brief activity that asked them to actively work with the new concept. Concepts were organized in a large “class concept map” that was given a prominent position in the classroom. In Lessons 3 through 5, teachers used new informational texts connected to the theme of Arctic animal survival during interactive read-alouds, provided repeated exposures to target words, and introduced the argumentative writing activity. Thus, the chief goal of the remaining lessons was for students to leverage their emerging domain and topic knowledge in becoming Arctic animal experts. MORE teachers continued to build students’ topic knowledge on the Arctic—and specifically polar bears in the Arctic—through interactive read-alouds of books (Where do Polar Bears Live?; Thomson, 2009; Polar Bears and the Arctic; Osborne &amp; Byce, 2007). In each lesson, the teacher either introduced a new key concept to students or engaged them in an activity to keep them working with the concepts, for example, having groups decide where to place an image on the class concept map or having a group sort words and pictures on a concept map. In these lessons, the teacher also introduced an argumentative writing strategy called “A-TREE” (Graham &amp; Harris, 2005) and students used A-TREE to discuss and write an argumentative response to the open-ended question: “Could you survive in the Arctic?” In Lessons 6 through 10, teachers continued to implement the core MORE practices and also added collaborative research activities. Thus, the goal in Lessons 6–9 remained the same but teachers organized students into leveled research groups and, rather than the whole class researching polar bears, each group researched a different Arctic animal: lemming, snowy owl, Arctic fox, or narwhal. Students continued to work with the A-TREE strategy. This time, they used A-TREE to engage in a discussion and write an argumentative response to the open-ended question: Should people who live in the Arctic be allowed to hunt and kill seals? Students shared their expertise on the Artic animal they studied, and students in the MS-H classrooms also chose three books and homework activities to complete during spring vacation.</t>
  </si>
  <si>
    <t>RC - MAP</t>
  </si>
  <si>
    <t>RC (retell) - DIBELS</t>
  </si>
  <si>
    <t>Program differentiation in read-aloud texts presented in Table 2. Program differentiation in literacy tasks presented in Supplement C.</t>
  </si>
  <si>
    <t>Law, 2011</t>
  </si>
  <si>
    <t>Hong Kong</t>
  </si>
  <si>
    <t>Jigsaw group</t>
  </si>
  <si>
    <t>In lessons 1 and 2, the teacher taught the text following a whole-class approach. In lessons 3–5, students were assigned to six home groups comprising students of different ability, with five to six students in each group. Members from each home group formed six expert groups and each group was given one particular topic related to the text they had learned in the first and second lessons. Students were encouraged to explore and discuss the topic in each expert group. Then, they returned to their home groups to share what they had discussed in the expert groups. During group discussion, the teacher monitored whether the six groups had understood the topics and whether they could discuss the topic in depth, with the teacher offering suggestions if needed. After sharing their understanding in the home groups, students returned to the expert group and shared the comments and suggestions from their home groups. Then each expert group asked one member to present their ideas to the whole class. During their presentations, teachers raised questions and made comments based on the students’ presentations. Students were also encouraged to give responses to their classmates in front of the whole class. The object of asking a student from an expert group to present to the whole class was to provide opportunities for teachers to give feedback about what students had learned from the group discussions. Teachers also invited students to make comments on the topics discussed. The whole class interaction provided the students with an opportunity to learn from the teachers’ feedback and to show that they understood the topics in depth.</t>
  </si>
  <si>
    <t>reading comprehension</t>
  </si>
  <si>
    <t>Drama group</t>
  </si>
  <si>
    <t>Similar to condition 1, in lessons 1 and 2 the teacher taught the students to comprehend the text following a whole-class approach. In lessons 3–5, students were assigned to six heterogeneous groups with five to six students in each group. At the beginning of the third lesson, students were asked to play the roles of the main characters of the story. Each group told the story from the perspective of the role they were acting out for the whole class. The teacher asked questions of each group to help students understand the personal characteristics of the characters. Then, the teachers taught students how to perform a drama technique known as still-images. Each group of students was asked to discuss what the key scene of the story was, and to design a still-image to represent the key scene. When the group presented their still-image to the whole class, the teacher would ask what were the inner thoughts of the characters they had acted out. The teachers led the whole class to understand the story through challenging the characters’ thought.</t>
  </si>
  <si>
    <t>The teachers taught the students to understand the text following a whole-class approach. The teachers taught the text directly and for most of each lesson time, with students working individually, and with only a few small group activities such as discussion of some topics. Most small group activities lasted only several minutes.</t>
  </si>
  <si>
    <t>Lee, 2014</t>
  </si>
  <si>
    <t>Korea</t>
  </si>
  <si>
    <t>Treatment (peer-reading)</t>
  </si>
  <si>
    <t>The PALS program consists of three segments: Partner Reading with Retell, Paragraph Shrinking, and Predicting Relay. During the first activity, the more proficient reader reads aloud first for 2 min, and then the less proficient reader reads aloud the same text for 2 min. When each reader makes a mistake (i.e., saying the wrong word or leaving out a word) while reading aloud, the student serving in the tutor role asks the partner to reread the sentence. Finally, the less proficient reader retells what has happened in the text. The goal of the Partner Reading with Retell activity is to enhance students’ fluency and accuracy in their reading (Simmons, Fuchs, Fuchs, &amp; Hodge, 1994). Students receive 1 point for each correctly read sentence, and the less proficient reader earns 3 points for the retell. Thus, students should be active in and responsible for their learning (D. Fuchs et al., 2000). The second PALS activity is Paragraph Shrinking. The more proficient reader starts reading aloud one paragraph, with the less proficient reader asks the more proficient reader three questions, such as “What or who is the paragraph mainly about?” “What is the important thing about the what or who?” and “Please, tell me the main idea in 10 words or less.” After 4 min, the two partners switch roles. Then, the less proficient reader reads aloud a new paragraph and identifies the main idea of the paragraph. Students receive 1 point for correct responses to each question. The purpose of the Paragraph Shrinking is to provide students opportunities to monitor their comprehension in their attempts to reduce textual information (D. Fuchs et al., 2000). The last PALS activity, Prediction Relay, requires students to make predictions about what will happen next in the story. The more proficient reader makes a prediction about what will occur next; if the prediction is reasonable, he or she earns 1 point. Then, the strong reader reads the next half page, and confirms or disconfirms the previously stated prediction. Afterward, the students switch their roles and the less proficient reader predicts what will happen next on the following page of the text.</t>
  </si>
  <si>
    <t>2 = individual  (1–2 students)</t>
  </si>
  <si>
    <t>Standardized reading skill test</t>
  </si>
  <si>
    <t>Control (self-reading)</t>
  </si>
  <si>
    <t>self-reading condition - stuents selected books of their own choice from the list of books recommended for third-grade students by the school.</t>
  </si>
  <si>
    <t>Taboada Barber et al., 2018</t>
  </si>
  <si>
    <t>USHER (whole)</t>
  </si>
  <si>
    <t>6</t>
  </si>
  <si>
    <t>As part of the USHER implementation, we provided teachers with high-interest, informational trade books and lesson plans that included four cognitive reading strategies (activating background knowledge, identifying the main idea and supporting details, student text-based questioning, and organizing information graphically; National Reading Panel, 2000) and three motivation practices (supports for reading self-efficacy, student collaboration, and relevance) for specific units in their social studies curriculum. Each unit consisted of five to ten 45-min instructional periods. We selected trade books to represent a variety of reading levels while addressing standards-based knowledge and concepts in the social studies curriculum. Specifically, students in Sequence A were taught with USHER units related to American Indians, European exploration, and two cultures meet (i.e., interactions between the American Indians and European Explorers), 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t>
  </si>
  <si>
    <t>history reading comprehension</t>
  </si>
  <si>
    <t>Sequence A pre-midtest = USHER; Sequence B pre-midtest = BAU</t>
  </si>
  <si>
    <t>BAU (whole)</t>
  </si>
  <si>
    <t>Teachers in Sequence A taught USHER the following 5 weeks while teachers in Sequence B taught typical social studies instruction;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t>
  </si>
  <si>
    <t>3231-1</t>
  </si>
  <si>
    <t>USHER (EL)</t>
  </si>
  <si>
    <t>3232-1</t>
  </si>
  <si>
    <t>BAU (EL)</t>
  </si>
  <si>
    <t>3231-2</t>
  </si>
  <si>
    <t>USHER (nonEL)</t>
  </si>
  <si>
    <t>3232-2</t>
  </si>
  <si>
    <t>BAU (nonEL)</t>
  </si>
  <si>
    <t>China</t>
  </si>
  <si>
    <t>Int1 –  jigsaw approach</t>
  </si>
  <si>
    <t>each group was given one particular topic related to the text they had learned in the first and second lessons. Students were encouraged to explore and discuss the topic in each expert group. Then, they returned to their home groups to share what they had discussed in the expert groups. During group discussion, the teacher monitored whether the six groups had understood the topics and whether they could discuss the topic in depth, with the teacher offering suggestions if needed. After sharing their understanding in the home groups, students returned to the expert group and shared the comments and suggestions from their home groups. Then each expert group asked one member to present their ideas to the whole class. During their presentations, teachers raised questions and made comments based on the students’ presentations. Students were also encouraged to give responses to their classmates in front of the whole class. The object of asking a student from an expert group to present to the whole class was to provide opportunities for teachers to give feedback about what students had learned from the group discussions. Teachers also invited students to make comments on the topics discussed. The wholeclass interaction provided the students with an opportunity to learn from the teachers’ feedback and to show that they understood the topics in depth.</t>
  </si>
  <si>
    <t>Int2 – drama approach</t>
  </si>
  <si>
    <t>Similar to condition 1, in lessons 1 and 2 the teacher taught the students to comprehend the text following a whole-class approach. In lessons 3–5, students were assigned to six heterogeneous groups with five to six students in each group. At the beginning of the third lesson, students were asked to play the roles of the main characters of the story.</t>
  </si>
  <si>
    <t>Control group – Direct instruction with teacher-led whole-class practices.</t>
  </si>
  <si>
    <t>PALS - Peer reading group</t>
  </si>
  <si>
    <t>BAU - self-reading group</t>
  </si>
  <si>
    <t>Reading Materials  Students selected books of their own choice from the list of books recommended for third-grade students by the school. In the treatment classroom, the less proficient readers of the pair selected books from the list.</t>
  </si>
  <si>
    <t>USHER (Sequence A)</t>
  </si>
  <si>
    <t>four cognitive reading strategies (activating background knowledge, identifying the main idea and supporting details, student text-based questioning, and organizing information graphically; National Reading Panel, 2000) and</t>
  </si>
  <si>
    <t>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t>
  </si>
  <si>
    <t>USHER - EL</t>
  </si>
  <si>
    <t>BAU - EL</t>
  </si>
  <si>
    <t>USHER - Non EL</t>
  </si>
  <si>
    <t>BAU - Non EL</t>
  </si>
  <si>
    <t>CG n = 168</t>
  </si>
  <si>
    <t>7, 8</t>
  </si>
  <si>
    <t>They explicitly taught the repertoire of seven strategies as scheduled (Table 2). The intervention concentrated on helping struggling students to become purposeful and active readers. During the intervention, students practiced each strategy at least three times. Furthermore, they were taught to integrate multiple reading strategies in the classes for the last two units. The teaching materials comprised a student book and a teacher manual. In the student book, descriptive, narrative, and expository texts were compiled into nine units. In every unit, there were three texts of about 500 to 600 words each, accompanying instructions of reading strategy practice and comprehension exercises, tasks, and activities. More particularly, each unit, except for the last two comprehensive ones, focused on a specific reading strategy in the first text and integrated other strategies in the other two texts. The teacher manual included teaching plans for all units and guidelines on how to teach students proper use of reading strategies.</t>
  </si>
  <si>
    <t>EG n = 174</t>
  </si>
  <si>
    <t>The teaching process in the control condition typically went as follows: (1) Teachers proposed questions about a text, (2) they guided students in reading the whole text and finding the answers to the questions, (3) they asked students to read aloud several paragraphs of the text, (4) they taught the new words and set phrases, (5) they explained the text structure to students, and (6) students completed comprehension exercises (Jin, 2002; Xue, 2007).</t>
  </si>
  <si>
    <t>Reading comprehension scores (maximum scores: 36)</t>
  </si>
  <si>
    <t xml:space="preserve">The group size is mixed but more than half of the intevention sessions are conducted in small group settings. </t>
  </si>
  <si>
    <t>Standardized reading skill test.</t>
  </si>
  <si>
    <t>History reading comprehension</t>
  </si>
  <si>
    <t xml:space="preserve">For this pretest–posttest comparison group with a switching replications design (Shadish, Cook, &amp; Campbell, 2002) we only include the Sequence A data because student have the same baseline equavalance. </t>
  </si>
  <si>
    <t>parallel reading comprehension tests</t>
  </si>
  <si>
    <t># session</t>
  </si>
  <si>
    <t xml:space="preserve">Total dosage (in minutes)
</t>
  </si>
  <si>
    <t>Session length (in minutes)</t>
  </si>
  <si>
    <t>A58:AI108</t>
  </si>
  <si>
    <t>A3:AI108</t>
  </si>
  <si>
    <t>read aloud &amp; discussion -&gt; cm; RT = Readers’ theatre.</t>
  </si>
  <si>
    <t>a. Internal consistency (e.g. Cronbach’s alpha) ≥ .60,  
b. Temporal stability / test-retest reliability ≥ .40,  
c. Parallel forms / split-half reliability ≥
d. Inter-rater reliability (correlation) ≥ .50,    
e. Inter-rater agreement (kappa) ≥ .60,  
f. Inter-rater agreement (percent agreement) ≥ .80</t>
  </si>
  <si>
    <t>Testing 
Language</t>
  </si>
  <si>
    <t>Overaligned?</t>
  </si>
  <si>
    <t>English</t>
  </si>
  <si>
    <t>CORI,Grade 3,Pond</t>
  </si>
  <si>
    <t>mixed</t>
  </si>
  <si>
    <t>The second phase of the CORI framework consisted of searching and retrieving information related to the students' questions. Students were taught how to use the library, find books, locate information  within expository texts, and use a diversity of community resources. In addition, direct  strategy instruction was provided to help students integrate information across sources including texts, illustrations, references, and human experts. Along with informational texts, woven through the instruction were stories, folklore, novels, and poetry. Most of the teachers began the units with a narrative related to the theme that</t>
  </si>
  <si>
    <t>0 = Researcher-developed/adapted curriculum</t>
  </si>
  <si>
    <t>0 = Classroom/Large group</t>
  </si>
  <si>
    <t>Information Text - Pond/desert</t>
  </si>
  <si>
    <t>0 = Not Reported</t>
  </si>
  <si>
    <t>Narrative Text - Pond/desert</t>
  </si>
  <si>
    <t>Pretest ONLY. Standardized reading</t>
  </si>
  <si>
    <t>TI,Grade 3,Pond</t>
  </si>
  <si>
    <t>The teachers in the traditional classrooms followed their usual pattern of using the  teacher's guide and the sequence of content  and activities in the McGraw-Hill basal program for both grades 3 and 5. Students answered the end-of-unit questions and were provided materials that matched their reading levels. Science content in the third- and  fifth-grade basal reading classrooms was  directed to similar objectives as the CORI  classrooms. Topics of adaptation, life cycles,  weather and seasons, and solar systems  were taught, but Addison-Wesley textbooks and materials were used in all traditional classes. The traditional teachers in all of the schools were frequent visitors to the  CORI classrooms, adopting some texts and  teaching approaches used in the CORI classrooms. This sharing may have led to an underestimation of the distinctiveness of the CORI program and to a conservative quasi-experimental comparison</t>
  </si>
  <si>
    <t>1 = Published/Commercially available curriculum</t>
  </si>
  <si>
    <t>CORI,Grade 3,Volcano</t>
  </si>
  <si>
    <t>Information Text - Volcano/river</t>
  </si>
  <si>
    <t>Narrative Text - Volcano/river</t>
  </si>
  <si>
    <t>TI,Grade 3,Volcano</t>
  </si>
  <si>
    <t>CORI,Grade 5,Pond</t>
  </si>
  <si>
    <t>TI,Grade 5,Pond</t>
  </si>
  <si>
    <t>CORI,Grade 5,Volcano</t>
  </si>
  <si>
    <t>TI,Grade 5,Volcano</t>
  </si>
  <si>
    <t>CORI (Low)</t>
  </si>
  <si>
    <t>Fluency instruction. During both whole class and small group instruction, teachers guided low-achieving readers in reading fluently. Fluency in this case refers to reading with speed, accuracy, and expression. Teachers modeled fluent reading on a daily basis, from both expository and narrative text. Low-achieving readers were encouraged to read text “to make it sound interesting.”
Reading comprehension. Low- and high-achieving readers were taught to monitor their text comprehension by using fix-up strategies for words they did not know, to identify the main idea and supporting details in text, and to make inferences as they read.</t>
  </si>
  <si>
    <t>Gates-MacGinitie</t>
  </si>
  <si>
    <t>known to be high</t>
  </si>
  <si>
    <t>Inferencing (Gates)</t>
  </si>
  <si>
    <t>a (.41 to .55)</t>
  </si>
  <si>
    <t>TI (Low)</t>
  </si>
  <si>
    <t>Traditional instruction. Traditional instruction was provided in three classrooms in a school selected by the district to be comparable to the CORI and strategy instruction (SI) schools. Teachers provided their normal reading and language arts instruction with basal materials, trade books, and vocabulary books. We collected pretest and posttest data but did not provide professional development or any materials to these classrooms. The daily instruction was 90 minutes, consisting of work in a basal reader, supplemented with word recognition and fluency activities. The fluency work included group repeated reading and choral reading of vocabulary. Guided reading was provided for three groups of four to five students who were grouped by reading level. Lowachieving readers were given a guided reading lesson at this time by the classroom teacher 3 days per week and by the reading specialist 2 days per week. Writing instruction consisted of sentence completion in comprehension lessons and story writing in a writer’s workshop format. Approximately twice a week for 20 minutes, time was given for independent reading, consisting of self-selected stories or novels. Within this context, lowachieving readers participated in all activities.</t>
  </si>
  <si>
    <t>CORI (High)</t>
  </si>
  <si>
    <t>TI (High)</t>
  </si>
  <si>
    <t>SEM-R,   East, G7</t>
  </si>
  <si>
    <t>During a SEM-R reading class, students are exposed to a wide range of reading selections, and then they self-select challenging books in areas of interest. While students read independently, teachers conduct individualized conferences, during which they assess the challenge level of a student’s book, provide instruction in reading skills and strategies as appropriate for each student, and ask and discuss higher level questions. Prior studies of SEM-R at the elementary level and some exploratory earlier work at the middle school level demonstrated that participating students achieved at similar or higher levels on measures of reading achievement as compared with control group students (Reis, Eckert, McCoach, Jacobs, &amp; Coyne, 2008; Reis et al., 2005; Reis, McCoach, Little, Muller, &amp; Kaniskan, 2011).</t>
  </si>
  <si>
    <t>GMRT = Gates–MacGinitie Reading Tests</t>
  </si>
  <si>
    <t>Control, East, G7</t>
  </si>
  <si>
    <t>Control group teachers conducted regular reading instruction as designated by their districts, which included textbook instruction, group or class novel studies, and other whole or small-group approaches. Observations in control group classrooms demonstrated the district-designated instructional approaches noted above; some small group as well as large group instruction was observed, but no approaches centered on individual conferences were observed in control classes.</t>
  </si>
  <si>
    <t>SEM-R,   East, G8</t>
  </si>
  <si>
    <t>Control, East, G8</t>
  </si>
  <si>
    <t>SEM-R,   West, G6</t>
  </si>
  <si>
    <t>Control, West G6</t>
  </si>
  <si>
    <t>SEM-R,   West, G7</t>
  </si>
  <si>
    <t>Control, West G7</t>
  </si>
  <si>
    <t>SEM-R,   West, G8</t>
  </si>
  <si>
    <t>Control, West, G8</t>
  </si>
  <si>
    <t>SEM-R,   South, G6</t>
  </si>
  <si>
    <t>Control, South, G6</t>
  </si>
  <si>
    <t>SEM-R,   South, G7</t>
  </si>
  <si>
    <t>Control, South, G7</t>
  </si>
  <si>
    <t>SEM-R,   South, G8</t>
  </si>
  <si>
    <t>Control, South, G8</t>
  </si>
  <si>
    <t>SEM-R,   North, G6</t>
  </si>
  <si>
    <t>Control, North G6</t>
  </si>
  <si>
    <t>SEM-R,   North, G7</t>
  </si>
  <si>
    <t>Control, North G7</t>
  </si>
  <si>
    <t>SEM-R,   North, G8</t>
  </si>
  <si>
    <t>Control, North, G8</t>
  </si>
  <si>
    <t>Guthrie &amp; Klauda, 2014</t>
  </si>
  <si>
    <t>CORI (time 1-2)</t>
  </si>
  <si>
    <t>Daily instruction typically began with 15 minutes of whole- class instruction centered on the knowledge goals of the week and day. Teachers helped students unpack complex guiding questions and relate them to prior work. For each cognitive strategy, comprehension instruction began with whole- class modeling of cognitive strategies, initially lasting 20 minutes and gradually decreasing to no time by the end of the week. At the beginning of each class, motivational- engagement support was organized and explicitly announced. For example, during the emphasis on collaboration support, teachers communicated, “You will be working as partners today,” or “You will work with your team, and you should pay attention to working well with your classmates.” Approximately 15 minutes of guided reading was provided for struggling readers, on- grade readers, and advanced readers, in that order. When they were not in guided reading groups, students either performed text- based writing or independent reading. Students were placed into flexible groups by the teacher in consultation with the instructional resources teacher in each school.</t>
  </si>
  <si>
    <t>0 = classroom setting</t>
  </si>
  <si>
    <t>Informational text comprehension</t>
  </si>
  <si>
    <t>0 = NO - Not overaligned</t>
  </si>
  <si>
    <t>a (.70, .75, .73/.73, .76, .76/.74, .75, .79)</t>
  </si>
  <si>
    <t>TI (time 1-2)</t>
  </si>
  <si>
    <t>TI was provided by the same teachers to students in reading/language arts classes during the control period for each class. This was “instruction as usual” in the school. Teaching resembled the Directed Reading–Thinking Activity framework (Stauffer &amp; Harrell, 1975 ). Goals of this instruction for literary text comprehension included understanding character development, plot, symbolism, and themes. A well- known anthology of literature was used, which included informational texts such as description of historical settings for stories and characters. Typically, students discussed themes from previously read sections of text, read new sections, and interacted socially to represent them as accurately as possible. Teachers provided cognitive scaffolding for analysis of episodes and integration of salient texts. Students shared their opinions about characters’ actions and traits. Informational text comprehension was taught by scaffolding students in the cognitive skills of analyzing and summarizing letters, documents, and historical background to explicate literary texts.
Instructional goals for informational text reading included the following (see Appendix D):
• Apply comprehension skills by selecting, reading, and interpreting a variety of print and nonprint informational texts, including electronic media.
• Analyze important ideas and messages in informational text.
• Read critically to evaluate informational text.
• Read orally at an appropriate rate.
• Read grade-level text with both high accuracy and appropriate pacing, intonation, and expression.
• Develop and apply vocabulary through exposure to a variety of texts.
• Apply a conceptual understanding to new words.
• Understand, acquire, and use new vocabulary.
• Apply comprehension skills through exposure to a variety of print and nonprint texts, including</t>
  </si>
  <si>
    <t>Guthrie et al., 1998</t>
  </si>
  <si>
    <t>CORI (Grade3)</t>
  </si>
  <si>
    <t>In the framework for CORI, teachers first identified a conceptual theme for instructional units to be taught for 16-18 weeks in the fall and spring. The themes selected by third-grade teachers consisted of the adaptations and habitats of birds and insects. The third-grade units in the spring consisted of weather, seasons, and Earth formations. Fifth-grade units in the fall related to life cycles of plants and animals, and the spring units emphasized Earth science, including the solar system and geological cycles. At the beginning of each unit, students engaged in observational and hands-on science activities both outside and inside the classroom. Third and fifth graders participated in activities such as collecting and observing crickets, constructing spider webs, dissecting owl pellets, and building weather stations. Within each activity, students personalized their learning by composing their own questions as the basis for observing, reading, and writing. These questions generated opportunities for self-directed learning. Students chose their own subtopics, found particular books, selected peers for interest-based activities, and constructed their goals for communicating to others. To enable students to answer their questions, teachers helped them to use the library, find information books, locate information within expository texts, and use a diversity of community resources. Direct strategy instruction was provided to help students integrate across information sources including texts, illustrations, references, and human experts. In addition to informational texts, teachers introduced novels, folklore, and poetry related to the unit's conceptual theme. The last phase emphasized communicating to others. Having gained expertise in a particular topic, students were motivated to speak, write, discuss, and display their understanding to other students and adults. In both third- and fifth-grade classrooms, students made posters, wrote classroom books, and composed extended displays of their knowledge. One class made a videotape of its weather unit, providing a lesson on weather prediction and explanation for the rest of the school. A more thorough description of the CORI framework with an accompanying literature review is provided elsewhere (Guthrie &amp; Alao, 1997).</t>
  </si>
  <si>
    <t>text comprehension - total (April, EOY)</t>
  </si>
  <si>
    <t>This study did not report detailed dosage information but only 16–18 weeks. However, we obtained the session length (90 min/session) and frequency (5 days/week) from the meta-analysis conducted by the author himself.</t>
  </si>
  <si>
    <t>text comprehension - story (April, EOY)</t>
  </si>
  <si>
    <t>text comprehension - informational text (April, EOY)</t>
  </si>
  <si>
    <t>Past achievement (pretest ONLY, BOY)</t>
  </si>
  <si>
    <t>Literacy level (pretest ONLY, BOY)</t>
  </si>
  <si>
    <t>Traditional (Grade3)</t>
  </si>
  <si>
    <t>The teachers in the traditional classrooms followed their usual pattern of using the teachers' guide and the sequence of content and activities in the McGraw-Hill basal program for both Grades 3 and 5. Students answered the end of unit questions, and were provided materials that matched their reading levels. Science content in the third- and fifth-grade basal-reading classrooms was directed at similar objectives as the CORI classrooms. Topics of adaptation, life cycles, weather and seasons, and solar systems were taught. Addison-Wesley textbooks and materials were used in all traditional classes. In all the schools, traditional teachers were frequent visitors to the CORI classrooms, adopting some texts and teaching approaches used in the CORI classrooms. This sharing may have led to an underestimate of the distinctiveness of the CORI program and to a conservative estimate of the instructional effects.</t>
  </si>
  <si>
    <t>1 = YES - overaligned</t>
  </si>
  <si>
    <t>CORI (Grade5)</t>
  </si>
  <si>
    <t>“reading engagement processes” (Guthrie et al., 1998, p. 267) (pdf)</t>
  </si>
  <si>
    <t>Traditional (Grade 5)</t>
  </si>
  <si>
    <t>Tijims et al., 2018</t>
  </si>
  <si>
    <t>Dutch</t>
  </si>
  <si>
    <t>A small-group intervention (consisting of five to seven students per group) was conducted. Intervention sessions were provided weekly for 45 minutes per session during a 12 week period. The intervention was delivered by junior psychologists as trainers. The students received a total of 8 to 10 sessions. In the first session, students chose the book they preferred to read out of six books that the investigators had selected for them. All students within a group read the same book. Furthermore, the trainer set group norms with the students (e.g., respect each other’s opinions, don’t offend anyone, don’t be afraid to express your feelings), and explained the goal of the intervention, that is, to read a part of the book during the week and to talk about it during the sessions for the coming weeks. In addition, a notebook was introduced to the students to use during their reading at home, so they could write down their thoughts and feelings while reading. On the first page of this notebook, we added several general cues (e.g., ‘What would you have done in this situation?’) to help them to make notes and to stimulate active reading. During the subsequent sessions, the students discussed the texts and how they related to their lives. Additionally, parts of the text were sometimes (re)read during the sessions, especially when its meaning was unclear, or when a text section was the source of a specific discussion. At the end of each session, students determined how much should be read outside the session, so all students would be on the same page when they returned to the next session</t>
  </si>
  <si>
    <t>reading comprehension (Vlaamse
Test Begrijpend Lezen version grade 6)</t>
  </si>
  <si>
    <t>STD</t>
  </si>
  <si>
    <t>a (.78)</t>
  </si>
  <si>
    <t>Control (BAU)</t>
  </si>
  <si>
    <t>The control condition was a ‘business-as-usual’ condition, that is, the control group received usual Dutch language lessons in the time (i.e., once a week for 45 minutes) that the intervention group received their book club intervention.</t>
  </si>
  <si>
    <t>specific strategy value information</t>
  </si>
  <si>
    <t>The instructional material consisted of a training packet that included several reading passages, each of which was followed by one or more multiple-choice questions tapping comprehension of main ideas. The passages in the packet were drawn from different sources and were similar to those typically used by children's remedial teachers. The reading passages were ordered from least-to-most difficult; 40% of the material was appropriate for a second-grade class of average reading ability, 40% for a third-grade class, and 20% for a fourth-grade class. Children worked on this packet during each of the training sessions.</t>
  </si>
  <si>
    <t>comprehension skill test</t>
  </si>
  <si>
    <t>c (.87)</t>
  </si>
  <si>
    <t>general strategy value information</t>
  </si>
  <si>
    <t>specific plus general + strategy value information</t>
  </si>
  <si>
    <t>no strategy value information (instructional control)</t>
  </si>
  <si>
    <t>specific strategy value</t>
  </si>
  <si>
    <t>The same materials and procedure of Experiment I were employed with the following modifications.</t>
  </si>
  <si>
    <t>strategy effectiveness feedback</t>
  </si>
  <si>
    <t>strategy value plus effectiveness feedback (combined)</t>
  </si>
  <si>
    <t>CORI + RAVE-O + Wilson Reading Program</t>
  </si>
  <si>
    <t>Each group received one hour of daily instruction in both the RAVE-O and  Wilson Reading programs’ curricula proven to improve fluency and phonics skills  respectively</t>
  </si>
  <si>
    <t>Passage Comprehension (SRI)</t>
  </si>
  <si>
    <t>incentives + RAVE-O + Wilson Reading Program</t>
  </si>
  <si>
    <t>Vocabulators (CAI)</t>
  </si>
  <si>
    <t>The Vocabulators program was designed to teach the vocabulary of comprehension (e.g., main idea, inference, evidence) intensively and extensively and integrate these  Table 2. Main effects of vocabulators on proximal and distal transfer measures.  Pretest Posttest Adjusted  Measure N M SD N M SD p Hedges’ g  Proximal measures Decoding Decoding target vocabulary Typical practice 99 18.82 7.60 92 25.26 5.60 0.001 0.521 Vocabulators 100 20.19 6.40 94 27.00 4.87 Vocabulary Receptive target vocabulary Typical practice 98 7.63 3.04 91 9.55 3.56 &lt;0.001 0.510 Vocabulators 98 7.90 2.68 94 11.55 3.43 Expressive target vocabulary Typical practice 96 26.10 6.34 90 32.60 8.88 &lt;.001 0.783 Vocabulators 99 26.26 6.83 92 38.70 11.48 Vocabulary in context Sentence comprehension with target vocabulary Typical practice 99 3.63 2.05 91 4.02 1.73 0.191 0.144 Vocabulators 98 3.34 1.38 93 4.33 1.64 Understanding vocabulary in comprehension questions Typical practice 98 3.41 1.91 91 3.93 2.05 &lt;0.001 0.645 Vocabulators 98 3.04 1.70 93 5.35 2.54 Reading comprehension QRI narrative—MC Typical practice 98 3.58 1.45 92 4.36 1.32 0.433 0.152 Vocabulators 100 4.07 1.21 94 4.76 1.19 QRI informational—MC Typical practice 98 2.28 1.23 92 2.95 1.33 0.033 0.283 Vocabulators 99 2.48 1.03 94 3.39 1.31 Distal transfer measures GMRT vocabulary Typical practice 92 89.94 10.32 .725 .043 Vocabulators 92 91.55 9.24 QRI narrative—Retell Typical practice 97 16.12 8.96 90 20.27 9.73 0.277 0.190 Vocabulators 100 15.90 9.09 93 22.19 10.73 QRI informational—Retell Typical practice 96 9.35 5.35 91 12.23 6.55 0.207 0.188 Vocabulators 99 10.07 6.35 93 14.00 7.02 GMRT comprehension Typical practice 100 84.64 8.63 92 85.14 12.78 0.940 0.011 Vocabulators 100 86.56 7.88 92 86.13 10.74  Note. QRI: Question Reading Inventory; MC: multiple choice; GMRT: Gates MacGinitie Reading Test. vocabularies in comprehension application exercises. The first primary design and development activity involved a content analysis of vocabulary and critical comprehension strategies foundational to the (a) 3rd-Grade Common Core State Standards English Language Arts for Understanding Literature and Understanding Informational Text, (b) the Texas Essential Knowledge and Skills for Language Arts, (c) Smarter Balanced Assessment, and (d) the State of Texas Assessments of Academic Readiness (STAAR; National Governors Association Center for Best Practices, Council of Chief State School Officers, 2010; Texas Education Agency, 2015).</t>
  </si>
  <si>
    <t>Gates MacGinitie Reading Test, 4th ed., Comprehension Subtest.</t>
  </si>
  <si>
    <t>a (.90-.95, .94)</t>
  </si>
  <si>
    <t>Typical practice</t>
  </si>
  <si>
    <t>Fusion (year 1)</t>
  </si>
  <si>
    <t>our main components are bundled into the program: (a) Word Level Skills, (b) Comprehension, (c) Motivation, and (d) Assessment. Each component is described below.</t>
  </si>
  <si>
    <t>Sentence Comprehension (SC)</t>
  </si>
  <si>
    <t>a (.89-.99) c (.81-.94)</t>
  </si>
  <si>
    <t xml:space="preserve"> Passage Comprehension (PCO)</t>
  </si>
  <si>
    <t>* MAP composite</t>
  </si>
  <si>
    <t>marginal reliabilities (.90)</t>
  </si>
  <si>
    <t>Comparison - Corrective Reading(year1)</t>
  </si>
  <si>
    <t>3 teachers taught Corrective Reading, the district’s current reading program and comparison condition.</t>
  </si>
  <si>
    <t>Hebrew</t>
  </si>
  <si>
    <t>Danish</t>
  </si>
  <si>
    <t>Finnish</t>
  </si>
  <si>
    <t>Chinese</t>
  </si>
  <si>
    <t>Korean</t>
  </si>
  <si>
    <t>d (.93)</t>
  </si>
  <si>
    <t>c (.88)</t>
  </si>
  <si>
    <t>a (KR = .93)</t>
  </si>
  <si>
    <t>b (.91 to .93)</t>
  </si>
  <si>
    <t>b (.88 to .93), c (.81 to .93)</t>
  </si>
  <si>
    <t>d (.90)</t>
  </si>
  <si>
    <t>a (.85)</t>
  </si>
  <si>
    <t>b/c (.46)</t>
  </si>
  <si>
    <t>a (.95, .88)</t>
  </si>
  <si>
    <t>a (.92)</t>
  </si>
  <si>
    <t>a (.7)</t>
  </si>
  <si>
    <t>a (.75)</t>
  </si>
  <si>
    <t>c (.63), f (1.0, .81)</t>
  </si>
  <si>
    <t>a (.88, .87, .85), c (.6)</t>
  </si>
  <si>
    <t>a (.87)</t>
  </si>
  <si>
    <t>b (.89 to.96)</t>
  </si>
  <si>
    <t>b (.9)</t>
  </si>
  <si>
    <t>a (.74), f (.93, .76)</t>
  </si>
  <si>
    <t>a (.70, .69)</t>
  </si>
  <si>
    <t>a (.88, .88, .86)</t>
  </si>
  <si>
    <t>a (.83, .87), b (.89, .91)</t>
  </si>
  <si>
    <t>Wu et al., 2021</t>
  </si>
  <si>
    <t>The students in the experimental group participated in two periods of reading intervention classes (i.e., 80 min) every week. In each class for the first seven of nine units, teachers first explained and exemplified the use of one of the seven reading strategies and then guided the students to practice it by completing reading tasks in the student books which we had developed for this study. They explicitly taught the repertoire of seven strategies as scheduled (Table 2). The intervention concentrated on helping struggling students to become purposeful and active readers. During the intervention, students practiced each strategy at least three times. Furthermore, they were taught to integrate multiple reading strategies in the classes for the last two units.
The teaching materials comprised a student book and a teacher manual. In the student book, descriptive, narrative, and expository texts were compiled into nine units. In every unit, there were three texts of about 500 to 600 words each, accompanying instructions of reading strategy practice and comprehension exercises, tasks, and activities. More particularly, each unit, except for the last two comprehensive ones, focused on a specific reading strategy in the first text and integrated other strategies in the other two texts. The teacher manual included teaching plans for all units and guidelines on how to teach students proper use of reading strategies.</t>
  </si>
  <si>
    <t>a (.83, .87), b(.89, .91)</t>
  </si>
  <si>
    <t>In contrast to the experimental group, teachers taught struggling students in the control condition to read Chinese texts with traditional methods in regular classes during the same amount of time. They taught the same texts as those in the experimental condition, using reading activities different from those in the experimental condition. They instructed the students about new words, set phrases, and difficult sentences, analyzed the text structure and the writing style, and asked the students to answer questions. In particular, they concentrated on memorizing vocabulary and answering teacher’s questions. There was no reading strategy instruction in classrooms. To control the possible impact of teacher’s and student’s expectations on the intervention, we did not disclose whether they were in an experimental or a control class. Moreover, different classes were arranged in different buildings or at least two floors apart and teachers were placed in different offices to avoid teaching exchanges. The teaching process in the control condition typically went as follows: (1) Teachers proposed questions about a text, (2) they guided students in reading thewhole text and finding the answers to the questions, (3) they asked students to read aloud several paragraphs of the text, (4) they taught the new words and set phrases, (5) they explained the text structure to students, and (6) students completed comprehension exercises (Jin, 2002; Xue, 2007).</t>
  </si>
  <si>
    <t>Guthrie et al., 1999</t>
  </si>
  <si>
    <t>CORI (Grade3, Pond)</t>
  </si>
  <si>
    <t>The teaching framework for CORI included four phases: (1) observe and personalize, (2) search and retrieve, (3) comprehend and integrate, and (4) communicate to others. To implement this framework, teachers first identified a conceptual theme for instructional units to be taught for 16-18 weeks in the fall and spring. The themes selected by third-grade teachers were the adaptations and habitats of birds and insects for the fall. In the spring, the third-grade units were weather, seasons, and climate. Fifth-grade units in the fall were life cycles of plants and animals, and the spring units emphasized earth science, including the solar system and geological cycles.</t>
  </si>
  <si>
    <t>Information text comprehension</t>
  </si>
  <si>
    <t>NA (author reported correlation with standardized test)</t>
  </si>
  <si>
    <t>Narrative text comprehension</t>
  </si>
  <si>
    <t>Standardized reading test</t>
  </si>
  <si>
    <t>TI (Grade3, Pond)</t>
  </si>
  <si>
    <t>The teachers in the traditional classrooms followed their usual pattern of using the teacher's guide and the sequence of content and activities in the McGraw-Hill basal program for both grades 3 and 5. Students answered the end-of-unit questions and were provided materials that matched their reading levels. Science content in the third- and fifth-grade basal reading classrooms was directed to similar objectives as the CORI classrooms. Topics of adaptation, life cycles, weather and seasons, and solar systems were taught, but Addison-Wesley textbooks and materials were used in all traditional classes. The traditional teachers in all of the schools were frequent visitors to the CORI classrooms, adopting some texts and teaching approaches used in the CORI classrooms. This sharing may have led to an underestimation of the distinctiveness of the CORI program and to a conservative quasi-experimental comparison.</t>
  </si>
  <si>
    <t>CORI (Grade3, Volcano)</t>
  </si>
  <si>
    <t>TI (Grade3, Volcano)</t>
  </si>
  <si>
    <t>CORI (Grade5, Pond)</t>
  </si>
  <si>
    <t>TI (Grade5, Pond)</t>
  </si>
  <si>
    <t>CORI (Grade5, Volcano)</t>
  </si>
  <si>
    <t>TI (Grade5, Volcano)</t>
  </si>
  <si>
    <t>Guthrie et al., 2009</t>
  </si>
  <si>
    <t>In the CORI program for low-achieving readers, the students were taught daily in small groups of three to six students. Low-achieving reader lessons were written as a supplement to the existing CORI lessons that were designed for on-grade and above-grade students. The classroom teacher provided these lessons 3 days per week, and the reading specialist provided the lessons 2 days per week. Although the science concepts and reading strategies were identical to those taught to the whole class, teachers spent more time modeling strategies and focused on fewer concepts at one time. Low-achieving reader lessons included additional fluency practice, more time on word recognition strategies, and more explicit inferencing instruction. For low-achieving readers, teachers retained the principal CORI components of emphasis</t>
  </si>
  <si>
    <t>Gates-MacGinitie Reading Test-RC subtest</t>
  </si>
  <si>
    <t>NA (validity and reliability known to be high)</t>
  </si>
  <si>
    <t>Inferencing</t>
  </si>
  <si>
    <t>a (.41 to 55)</t>
  </si>
  <si>
    <t>Traditional instruction was provided in three classrooms in a school selected by the district to be comparable to the CORI and strategy instruction (SI) schools. Teachers provided their normal reading and language arts instruction with basal materials, trade books, and vocabulary books. We collected pretest and posttest data but did not provide professional development or any materials to these classrooms.
The daily instruction was 90 minutes, consisting of work in a basal reader, supplemented with word recognition and fluency activities. The fluency work included group repeated reading and choral reading of vocabulary. Guided reading was provided for three groups of four to five students who were grouped by reading level. Low-achieving readers were given a guided reading lesson at this time by the classroom teacher 3 days per week and by the reading specialist 2 days per week. Writing instruction consisted of sentence completion in comprehension lessons and story writing in a writer’s workshop format. Approximately twice a week for 20 minutes, time was given for independent reading, consisting of self-selected stories or novels. Within this context,</t>
  </si>
  <si>
    <t>For all students, the daily instructional sequence was 90 minutes, consisting of the following: (a) either science goals (hands-on science and conceptual content learning) or fluency activities (such as paired reading or a teacher read-aloud [20 minutes]); (b) guided reading (a 10-minute whole class lesson using a class set of books, followed by a 30-minute guided reading lesson to each of three small groups of four to six students who were grouped by reading level); low-achieving readers were given a guided reading lesson at this time; (c) writing, in which students created summaries, charts, graphic organizers, and narratives related to their texts; and (d) independent reading, consisting of stories, novels, and extended information book reading on the conceptual theme. Within this context, low-achieving readers participated in all activities.</t>
  </si>
  <si>
    <t>Little et al., 2014</t>
  </si>
  <si>
    <t>Treatment (East, G7)</t>
  </si>
  <si>
    <t>Treatment group teachers were expected to implement SEM-R on a daily basis for about 40 to 45 min per day or 3 hr per week in all of their classes, depending on their school’s scheduling. Expectations for implementation focused on regular use of the first two of SEM-R’s three phases. During Phase 1, which was to be conducted for about 10 to 15 min on each day of implementation, teachers exposed students as a large group to a variety of books, genres, and authors through short read-alouds (or “Book Hooks”) and brief discussions. This phase also included opportunities for teachers to model reading strategies and to conduct mini lessons around particular reading objectives and emphases. Phase 2, which in some schools began at only about 10 to 20 min per day, increased throughout implementation to a goal level of at least 25 to 30 min per day. During Phase 2, teachers had students read independently in their self-selected, challenging books. While students read, teachers conducted individualized 5- to 7-min conferences with students, meeting with each student approximately once every 1 to 2 weeks. Phase 3, which involved interest-based and more project-oriented activities, was implemented in some schools during the second half of the school year, but the primary focus of the intervention and observations for fidelity was on Phases 1 and 2.</t>
  </si>
  <si>
    <t>Gates-MacGinitie Reading Test</t>
  </si>
  <si>
    <t>Control (East, G7)</t>
  </si>
  <si>
    <t>Control group teachers conducted regular reading instruction as designated by their districts, which included textbook instruction, group or class novel studies, and other whole or small-group approaches.</t>
  </si>
  <si>
    <t>Treatment (East, G8)</t>
  </si>
  <si>
    <t>Control (East, G8)</t>
  </si>
  <si>
    <t>Treatment (West, G6)</t>
  </si>
  <si>
    <t>Control (West, G6)</t>
  </si>
  <si>
    <t>Treatment (West, G7)</t>
  </si>
  <si>
    <t>Control (West, G7)</t>
  </si>
  <si>
    <t>Treatment (West, G8)</t>
  </si>
  <si>
    <t>Control (West, G8)</t>
  </si>
  <si>
    <t>Treatment (South, G6)</t>
  </si>
  <si>
    <t>Control (South, G6)</t>
  </si>
  <si>
    <t>Treatment (South, G7)</t>
  </si>
  <si>
    <t>Control (South, G7)</t>
  </si>
  <si>
    <t>Treatment (South, G8)</t>
  </si>
  <si>
    <t>Control (South, G8)</t>
  </si>
  <si>
    <t>Treatment (North, G6)</t>
  </si>
  <si>
    <t>Control (North, G6)</t>
  </si>
  <si>
    <t>Treatment (North, G7)</t>
  </si>
  <si>
    <t>Control (North, G7)</t>
  </si>
  <si>
    <t>Treatment (North, G8)</t>
  </si>
  <si>
    <t>Control (North, G8)</t>
  </si>
  <si>
    <t>CORI first</t>
  </si>
  <si>
    <t>TI first</t>
  </si>
  <si>
    <t>text comprehension - total</t>
  </si>
  <si>
    <t>TI (Grade3)</t>
  </si>
  <si>
    <t>TI (Grade 5)</t>
  </si>
  <si>
    <t>text comprehension - story</t>
  </si>
  <si>
    <t>text comprehension - informational text</t>
  </si>
  <si>
    <t>Experimental</t>
  </si>
  <si>
    <t>3251-1</t>
  </si>
  <si>
    <t>3252-1</t>
  </si>
  <si>
    <t>3251-2</t>
  </si>
  <si>
    <t>3252-2</t>
  </si>
  <si>
    <t>3251-3</t>
  </si>
  <si>
    <t>3252-3</t>
  </si>
  <si>
    <t>3251-4</t>
  </si>
  <si>
    <t>3252-4</t>
  </si>
  <si>
    <t>3261-1</t>
  </si>
  <si>
    <t>3262-1</t>
  </si>
  <si>
    <t>3261-2</t>
  </si>
  <si>
    <t>3262-2</t>
  </si>
  <si>
    <t>3271-1</t>
  </si>
  <si>
    <t>3272-1</t>
  </si>
  <si>
    <t>3271-2</t>
  </si>
  <si>
    <t>3272-2</t>
  </si>
  <si>
    <t>3271-3</t>
  </si>
  <si>
    <t>3272-3</t>
  </si>
  <si>
    <t>3271-4</t>
  </si>
  <si>
    <t>3272-4</t>
  </si>
  <si>
    <t>3271-5</t>
  </si>
  <si>
    <t>3272-5</t>
  </si>
  <si>
    <t>3271-6</t>
  </si>
  <si>
    <t>3272-6</t>
  </si>
  <si>
    <t>3271-7</t>
  </si>
  <si>
    <t>3272-7</t>
  </si>
  <si>
    <t>3271-8</t>
  </si>
  <si>
    <t>3272-8</t>
  </si>
  <si>
    <t>3271-9</t>
  </si>
  <si>
    <t>3272-9</t>
  </si>
  <si>
    <t>3271-10</t>
  </si>
  <si>
    <t>3272-10</t>
  </si>
  <si>
    <t>3271-11</t>
  </si>
  <si>
    <t>3272-11</t>
  </si>
  <si>
    <t>(NA but) English</t>
  </si>
  <si>
    <t>Norwegian</t>
  </si>
  <si>
    <t>a (.93)</t>
  </si>
  <si>
    <t>b (.91 to .98)</t>
  </si>
  <si>
    <t>c (.81 to .93), b(.88 to .93)</t>
  </si>
  <si>
    <t>c (.81 to .93), b(.88 to. 93)</t>
  </si>
  <si>
    <t>c (.46)</t>
  </si>
  <si>
    <t>a (.95)</t>
  </si>
  <si>
    <t>a (.70)</t>
  </si>
  <si>
    <t>c (.63)</t>
  </si>
  <si>
    <t>a (.87, .85), c(.60)</t>
  </si>
  <si>
    <t>b (.89 to .96)</t>
  </si>
  <si>
    <t>a (.74), d (.93, .76)</t>
  </si>
  <si>
    <t>1(1)</t>
  </si>
  <si>
    <t>2(1)</t>
  </si>
  <si>
    <t>2(2)</t>
  </si>
  <si>
    <t>one academic year</t>
  </si>
  <si>
    <t>Schunk &amp; Rice., 1987, S1</t>
  </si>
  <si>
    <t>Schunk &amp; Rice., 1987, S2</t>
  </si>
  <si>
    <t>Orkin, 2013</t>
  </si>
  <si>
    <t>Fogarty et al., 2020</t>
  </si>
  <si>
    <t>Hock et al., 2017</t>
  </si>
  <si>
    <t>Specific</t>
  </si>
  <si>
    <t>Strategy value information was provided to children at the beginning and end of each training session, For children assigned to the specific strategy value condition, the trainer pointed to' the poster board at the start of each session and said, "Today we're going to use these steps to answer questions about main ideas." She then delivered strategy value info follows:
Using these, steps should help you whenever you have to answer questions about main ideas, because most children like you find that using these steps helps them whenever they have to answer questions about main ideas.
At the end of each training session, the trainer reemphasized the value of the strategy by remarking, "Remember that using these steps should help von whenever you have to answer questions about main ideas."</t>
  </si>
  <si>
    <t>General</t>
  </si>
  <si>
    <t>For general strategy value children, the trainer introduced the steps at the start of each session in the same fashion (i.e., "Today we're going . . "), after which she provided the following strategy value information:
Using steps like these should help you whenever you have to answer question, about passages you've read, because most children like you find that using steps like these helps them whenever they have to answer questions about passages they've read.
At the end of each training session, the trainer again stressed the general value of strategy use by remarking, "Remember that using steps like these should help you whenever you have to answer questions about passages you've read."</t>
  </si>
  <si>
    <t>Combined</t>
  </si>
  <si>
    <t>Students assigned to the specific plus general strategy value (combined) condition received both of the preceding sets of instructions. At the start and end of each training session, the trainer first provided; the specific value information, followed by the general value information.</t>
  </si>
  <si>
    <t>For the instructional control (no strategy value) subjects, the trainer pointed to the poster board at the start of each training session and verbalized only the introductory statement. Children then received the training program. This condition controlled for the effects of strategy training and practice.</t>
  </si>
  <si>
    <t>The specific strategy value condition was identical to that of Experiment 1. The trainer verbally delivered the information to children at the start and end of each session. During training, these children received performance feedback following their answers to the comprehension questions (e.g., "That's correct').</t>
  </si>
  <si>
    <t>Feedback</t>
  </si>
  <si>
    <t>Each child assigned to the strategy effectiveness feedback condition received strategy effectiveness feedback from the trainer 3-4 times during each training session. This feedback, which linked children's successes at answering comprehension questions with their proper application of the steps in the strategy, was verbally delivered by the trainer after the trainer provided performance feedback.</t>
  </si>
  <si>
    <t>Children assigned to the specific plus feedback (combined) condition received both of the preceding treatments. They were given the strategy value information at the start and end of each session and the strategy effectiveness feedback periodically during each training session.</t>
  </si>
  <si>
    <t>Intervention (Wilson Reading System or RAVE-O + motivation)</t>
  </si>
  <si>
    <t>The Wilson Reading System (Wilson, 1996) is a commercially available program that focuses on oral reading. The program utilizes step- by-step instruction that is explicit, systematic, and multi-sensory to train students in grapheme-phoneme (symbol-sound) correspondences, blending, and phonological awareness. Based on the approach of Orton-Gillingham, each 50-minute, scripted, Wilson lesson is comprised of several activities that lead the student through practice with individual sounds, syllables, words, and finally connected text (see Appendix E for a Sample Wilson Lesson).
RAVE-O is a multi-component reading program designed to address the linguistic and cognitive processes involved in fluent reading, and comprehension. These processes include Reading Automaticity through Vocabulary, Engagement, and Orthography (i.e., RAVE-O) (Wolf, 2011). RAVE-O is based on a connectivist, multi-componential view of the reading process which asserts that multiple linguistic aspects of words, specifically, phonology, orthography, semantics, syntax and morphology, otherwise referred to as POSSM, contribute to rapid recognition and comprehension during reading (Adams, 1990; Wolf, Miller, Donnelly, 2000).
The motivational strategies that were embedded into reading instruction with the intervention group were based on four principles found to be essential for developing autonomous forms of motivation and learning goals (i.e. autonomy, belonging, competence, and meaning).</t>
  </si>
  <si>
    <t>SRI Connected-text reading ability and comprehension</t>
  </si>
  <si>
    <t>NA - STD measure</t>
  </si>
  <si>
    <t>children in the control group would receive the curricula in their traditional forms
... teachers and I agreed upon complete fidelity to the programs as scripted 85% of the time, and to integrating creative games and instructional techniques the remaining 15% of the time as it replicated the pedagogical approach they use during the school year. Some examples of these activities included: playing Go Fish with word cards, using Readers’ Theater scripts to act out decodable texts, writing poems, and participating in a word-based scavenger hunt.</t>
  </si>
  <si>
    <t>Vocabulators</t>
  </si>
  <si>
    <t>The Vocabulators program was organized into four parts consisting of an average of 15 lessons each. The program started with a section called “Getting Ready” that taught 4 words to get the students prepared for the main four parts (text, paragraph, sentence, and passage). The instructional focus of each part of the main parts progressed over the course of the program, from answering literal comprehension questions to answering inferential questions in both narrative and informational text. Each part included an emphasis on locating evidence in text to support answers and conclusions, and key vocabulary related to the instructional focus were introduced in each part (i.e., 6–10 words per part). The program included two types of lessons—vocabulary lessons and application lessons. Two to three target vocabulary words were introduced in separate lessons, followed by two to three application lessons teaching students to apply the newly learned vocabulary by reading passages and answering comprehension questions using the target words.
The Vocabulators program incorporated multiple motivational components. First, students tracked their progress and their quiz grades in their student workbook folder. To prevent students from “clicking” through the activities, students earned a gold bar for every question they answered correctly the first time. Additionally, they received badges on their home page for intervention milestones and for completing quizzes with a high score. Instructional videos with a character named “Coach” were inserted throughout program to remind student to put forth effort. Finally, when students missed a question on two or more trials, corrective feedback was provided through a targeted instructional video.</t>
  </si>
  <si>
    <t>0 = Classroom/Large Group</t>
  </si>
  <si>
    <t>GMRT-4 Reading Comprehension</t>
  </si>
  <si>
    <t>a (.90-.95, .94 for current sample)</t>
  </si>
  <si>
    <t>Schools participating in the study used a range of different approaches for providing literacy and reading instruction including published core programs as well as guided reading and reader’s workshop frameworks. We asked teachers to maintain their typical instructional practices for students not participating in the Vocabulators intervention. Further, we asked teachers not to use any intervention content or materials during their typical instruction.
The most frequently observed (on average) activities in order of ranking for comparison students were independent learning activities focused on comprehension, spelling, reading, and handwriting practice.</t>
  </si>
  <si>
    <t>Intervention (Fusion Reading)</t>
  </si>
  <si>
    <t>A 2-year supplemental reading program, FR includes seven instructional units is designed to meet daily for one 50- or 60-min class period each instructional day (Hock et al., 2012). The course does not replace language arts or other core classes but is supplemental to core classes and is usually offered as an elective. The authors suggest that FR be taught in classes consisting of no more than 12 to 15 low achieving readers in sixth to eighth grade who typically score two or more grade levels below grade placement on a standardized or state reading assessment measure. Four main components are bundled into the program: (a) Word Level Skills, (b) Comprehension, (c) Motivation, and (d) Assessment.</t>
  </si>
  <si>
    <t>GRADE SC</t>
  </si>
  <si>
    <t>a (.89-.99), c (.81-94)</t>
  </si>
  <si>
    <t>GRADE PCO</t>
  </si>
  <si>
    <t>MAP</t>
  </si>
  <si>
    <t>a (low to mid .90s)</t>
  </si>
  <si>
    <t>Comparison (Corrective Reading)</t>
  </si>
  <si>
    <t>In this study, CR was taught in small groups of students (4–8) that met regularly in 50-min sessions five times a week throughout the school year. Lessons for Year 1 of the studies focused on four sequential levels that addressed students’ decoding skills. All teachers in the study who taught CR were experienced in teaching the program and had been provided PD in how to implement the program. Teachers were observed several times throughout the year by their special education department chairperson, who reported that the program was implemented as intended.</t>
  </si>
  <si>
    <t>A3:AK205</t>
  </si>
  <si>
    <t>A189:AK205</t>
  </si>
  <si>
    <t>Schunk et al., 1996</t>
  </si>
  <si>
    <t>Fading only</t>
  </si>
  <si>
    <t>The instructional packet consisted of several reading passages, each of which was followed by one or more multiple-choice questions tapping comprehension of main ideas. Passages were drawn from different sources and were similar to the test passages and to those typically used in children's remedial classes.</t>
  </si>
  <si>
    <t>Feedback only</t>
  </si>
  <si>
    <t>Fading + feedback</t>
  </si>
  <si>
    <t>No fading/feedback</t>
  </si>
  <si>
    <t>Schunk &amp; Rice., 1992</t>
  </si>
  <si>
    <t>0 = RCT (individual level)</t>
  </si>
  <si>
    <t>Strategy Instruction</t>
  </si>
  <si>
    <t>On a poster boardthe five-step reading comprehension strategy (Schunk &amp; Rice, 1987) was presented: What do I have to do? (1) Read the questions. (2) Read the passage to find out what it is mostly about. (3) Think about what the details have in common. (4) Think about what would make a good title. (5) Reread the story if I don't know the answer to a question.</t>
  </si>
  <si>
    <t>Strategy Feedback</t>
  </si>
  <si>
    <t xml:space="preserve">Control </t>
  </si>
  <si>
    <t>Today we're going to work together on reading. We'll read some passages and answer some questions. I've given you some papers that we'll be working on. The teacher worked through the firstpassage and accompanyingquestionsin the same fashion as in the preceding two conditions, except that the strategy was not displayed and the teacher never referredto the steps. Further,the teacher performed the same actions in the same order as in the preceding conditionsbut never referred to those actions as reflectinga strategy. Following the modeled demonstration, the teacher called on individual children to read passages and answer questions; children's actions never were linked with the strategy. This condition controlled for the effects of instructionincluded in the other conditions.</t>
  </si>
  <si>
    <t>van Rijk et al., 2017</t>
  </si>
  <si>
    <t>DE (Developmental Education) - CORI</t>
  </si>
  <si>
    <t>Reading is integrated in meaningful (thematic) content and activities in which historical, geographical and science perspectives are integrated</t>
  </si>
  <si>
    <t>PIRLS Read comprehension</t>
  </si>
  <si>
    <t>a (.68)</t>
  </si>
  <si>
    <t>PI (Programmatic Instruction)</t>
  </si>
  <si>
    <t>McBreen &amp; Savage, 2022</t>
  </si>
  <si>
    <t>Canada</t>
  </si>
  <si>
    <t>Cognitive + Motivational</t>
  </si>
  <si>
    <t>In both conditions, students received the same cognitive instructional components: differentiated reading instruction including direct, systematic instruction in synthetic and analogic phonics following the simplicity principle, game-based practice of phonics concepts, and shared book reading.</t>
  </si>
  <si>
    <t>GRADE Sentence Comprehension subtest</t>
  </si>
  <si>
    <t>a (.68); Criterion (.69-.90)</t>
  </si>
  <si>
    <t>Cognitive-Only</t>
  </si>
  <si>
    <t>Alhaidari, 2006</t>
  </si>
  <si>
    <t>Experimental (coopeative learning)</t>
  </si>
  <si>
    <t>The  sequence of each of these classes was as follows: a general discussion about the topic of  the new passage; students reading silently; teacher reading aloud to the class; students  reading aloud; and students engaging in cooperative learning activities in which they  defined new words, summarized a passage, wrote a reflection about the passage, and  answered textbook exercises. Students in the comparison groups were taught by  traditional methods (as described in Chapter One) and did all of their work individually.  At the end of this study the researcher administered the posttest measures.</t>
  </si>
  <si>
    <t>Reading Comprehension Tests</t>
  </si>
  <si>
    <t xml:space="preserve">0 = NO - Not standardized	</t>
  </si>
  <si>
    <t xml:space="preserve">0 = Not Reported	</t>
  </si>
  <si>
    <t>NR</t>
  </si>
  <si>
    <t>Comparison</t>
  </si>
  <si>
    <t>Students in the comparison groups were taught by  traditional methods (as described in Chapter One) and did all of their work individually.  At the end of this study the researcher administered the posttest measures.</t>
  </si>
  <si>
    <t>123*</t>
  </si>
  <si>
    <t>m_pre_int</t>
  </si>
  <si>
    <t>sd_pre_int</t>
  </si>
  <si>
    <t>n_pre_int</t>
  </si>
  <si>
    <t>m_post_int</t>
  </si>
  <si>
    <t>sd_post_int</t>
  </si>
  <si>
    <t>n_post_int</t>
  </si>
  <si>
    <t>Corr</t>
  </si>
  <si>
    <t>M_delayed</t>
  </si>
  <si>
    <t>SD_delayed</t>
  </si>
  <si>
    <t>N_delayed</t>
  </si>
  <si>
    <t>Month_of_Delay</t>
  </si>
  <si>
    <t>r_pre_post</t>
  </si>
  <si>
    <t>r_pre_delay</t>
  </si>
  <si>
    <t>Berkeley， 2007</t>
  </si>
  <si>
    <t>RCS + AR (7 groups)</t>
  </si>
  <si>
    <t>For each lesson, students were given a “Strategy Sheet,” a different short article  from Junior Scholastic followed by questions about the article, and a strategy worksheet  to help them monitor strategy use while reading. A description of each follows.... A hint for the previewing strategy was for students to look at  headings (titles) and subheadings, pictures of original artifacts, vocabulary definitions,  charts and graphs, maps, and timelines. See Appendix A for Strategy Sheet #1.</t>
  </si>
  <si>
    <t>Main Idea Test</t>
  </si>
  <si>
    <t>Passage Specific Test - Passage Production Subtest</t>
  </si>
  <si>
    <t>Passage Specific Test - Passage Identification Subtest</t>
  </si>
  <si>
    <t>Passage Specific Test - Total Score</t>
  </si>
  <si>
    <t>RN (7 groups)</t>
  </si>
  <si>
    <t>teachers in the RN condition were provided with a short  story collection for use during the read aloud portion of the lesson (see Appendix I).  Teachers of this condition were also allowed to use their discretion about the material  used for the read aloud by choosing different material read during the read aloud, or by  allowing students to listen to a book on tape.</t>
  </si>
  <si>
    <t>Chan， 1996</t>
  </si>
  <si>
    <t>SUAT - poor readers</t>
  </si>
  <si>
    <t>Phase Two: reading task. The reading tasks in Phase 2 involved reading expository passages of 350-500 words in length and answering short comprehension questions. The passages were written at the fifth and sixth grade readability level and only short answers were required to ensure that the task was not beyond the abilities of the poor readers even after instruction. At the end of each session students recorded their comprehension scores on an individual bar graph.</t>
  </si>
  <si>
    <t>SIAT - poor readers</t>
  </si>
  <si>
    <t>AT - poor readers</t>
  </si>
  <si>
    <t>ST - poor readers</t>
  </si>
  <si>
    <t>SUAT - ave. readers</t>
  </si>
  <si>
    <t>SIAT - ave. readers</t>
  </si>
  <si>
    <t>AT - ave. readers</t>
  </si>
  <si>
    <t>ST - ave. readers</t>
  </si>
  <si>
    <t>Burke, 1992</t>
  </si>
  <si>
    <t>Stra + Att, Teacher1</t>
  </si>
  <si>
    <t>Instructional Materials. Throughout the eight week training period, all of  the students used the same history book. United States History (Reich and  Biller, 1988). Each teacher instructed all four of the treatment groups. All of the  classes covered the same material-the American Revolution, the Constitution,  Washington's second term, the building of democracy, reform movements in  America, the life of Black Americans, and the beginning of the Civil War, during  the eight week period of the experiment.</t>
  </si>
  <si>
    <t>General Comprehension Scores</t>
  </si>
  <si>
    <t>Stra only, Teacher1</t>
  </si>
  <si>
    <t>Attri only, Teacher1</t>
  </si>
  <si>
    <t>Control, Teacher1</t>
  </si>
  <si>
    <t>Control Group. The students in the control groups were told that they  were part of an experiment involving eighth grade social studies classes. They  were given graph paper and folders. The students were told that they would be  keeping a record of their grades on their tests for an eight week period. They  were to record their grades on the graph paper, making a bar graph. The  teachers had transparencies of the graphs, so that they could use the overhead  projector to visually show the students how to record their grades and create a  bar graph. The teachers told the students that they wanted to see if the students  could improve their grades and knowledge in American History. The purupose  of the graph was to give the students a visual representation of their progress  and/or lack of progress.</t>
  </si>
  <si>
    <t>Stra + Att, Teacher2</t>
  </si>
  <si>
    <t>Stra only, Teacher2</t>
  </si>
  <si>
    <t>Attri only, Teacher2</t>
  </si>
  <si>
    <t>Control, Teacher2</t>
  </si>
  <si>
    <t>Miranda, 1997</t>
  </si>
  <si>
    <t>Spain</t>
  </si>
  <si>
    <t>Spanish</t>
  </si>
  <si>
    <t>LD.s-i (R only)</t>
  </si>
  <si>
    <t>5, 6</t>
  </si>
  <si>
    <t>Self-Instruction. The program was divided into two parts (see Table 1). For the first 13 sessions, children were taught the general self-instructional procedure and some specific reading comprehension strategies; for the final 7 sessions, students practiced all the strategies together.</t>
  </si>
  <si>
    <t>Comprehension - Main Idea</t>
  </si>
  <si>
    <t>Comprehension - Recall</t>
  </si>
  <si>
    <t>Comprehension - Colze</t>
  </si>
  <si>
    <t>LD.attr (R+ AT)</t>
  </si>
  <si>
    <t>Self-instruction plus attribution General self-instruction procedure, text structure, attribution training 1-2 Activate previous knowledge, attribution training 3-4 Preview of text, attribution training 5-6 Self-question, attribution training 7-8 Clarify, attribution training 9-10 Mapping ideas, attribution training 11-13 Practice of strategies, attribution training 14-20</t>
  </si>
  <si>
    <t>LD.co (Control)</t>
  </si>
  <si>
    <t>the control group did not receive any training.</t>
  </si>
  <si>
    <t>Mete, 2020</t>
  </si>
  <si>
    <t>Turky</t>
  </si>
  <si>
    <t>Turkish</t>
  </si>
  <si>
    <t>1 = QED with matched group</t>
  </si>
  <si>
    <t>experimental REM</t>
  </si>
  <si>
    <t>36 class hours of implementations focusing on the Reading Engagement Model were carried out and the reading comprehension strategies as Cooperative Discussion and Questioning Strategy, Note-taking Strategy, and Cloze Technique were taught.</t>
  </si>
  <si>
    <t>reading comprehension achievement test (RCAT)</t>
  </si>
  <si>
    <t>a (0.78)</t>
  </si>
  <si>
    <t>control</t>
  </si>
  <si>
    <t>In the control group, the activities in the coursebook were implemented as defined in the current curriculum.</t>
  </si>
  <si>
    <t>Souvignier &amp; Mokhlesgerami, 2006</t>
  </si>
  <si>
    <t>Germany</t>
  </si>
  <si>
    <t>German</t>
  </si>
  <si>
    <t>Strat + CSR + MSR</t>
  </si>
  <si>
    <t xml:space="preserve"> - Think about the headline (1) - Generate imaginations (1)  Elaborative reading strategies  - Clarify difficult words (2)  Lessons 6-10  - Check understanding (1)  Elaborative metacognitive strategies  Lesson 11 Reading game I (1) Practice  - Underline important information (1) - Summarize important information (2)  Organizational reading Lessons strategies  12-16 - Check remembering (2) Organizational metacognitive strategy</t>
  </si>
  <si>
    <t>Reading comprehension</t>
  </si>
  <si>
    <t>a (.33, .57, .60)</t>
  </si>
  <si>
    <t>Strat + CSR</t>
  </si>
  <si>
    <t>Strat</t>
  </si>
  <si>
    <t>Schünemann et al., 2013</t>
  </si>
  <si>
    <t>Students in the no-treatment comparison group received conventional German language instruction from their teachers. In these lessons, teachers not only provided training on reading comprehension but also continued with the curriculum-based German language instruction, including grammar instruction and writing as well as reading. As described above, this study compares the intervention conditions with a comparison group to gain information on the efficacy of the treatments in contrast to conventional teacher-led lessons. All schools were located in the same school district and used the same curriculum for German language. At the time of the intervention, all students (in all schools) were being taught about punctuation and were reading and interpreting fairy tales in their German language lessons. The number of German language lessons was identical in every school. Because the treatments were implemented in conventional lessons, there was no difference in the amount of German language instruction between the no-treatment comparison group and the intervention conditions.</t>
  </si>
  <si>
    <t>FLVT Reading comprehension</t>
  </si>
  <si>
    <t>a (.67 - .73)</t>
  </si>
  <si>
    <t>RT</t>
  </si>
  <si>
    <t>The RT and RT + SRL training programs were embedded in the same experimenter-developed, age-appropriate frame story. In this story, the pirate, Captain Carlo, and his intelligent book-loving parrot, Einstein, stranded on an island because of Carlo’s poor reading skills. He was unable to read and understand the directions to their actual destination and, therefore, they ended up on a deserted island.</t>
  </si>
  <si>
    <t>RT + SRL</t>
  </si>
  <si>
    <t>Spörer &amp; Schünemann, 2014</t>
  </si>
  <si>
    <t>The training began with an instructional section (lessons 1e3) in which the trainer modeled the use of the four reading strategies.</t>
  </si>
  <si>
    <t>FLVT 5-6 Reading Comprehension</t>
  </si>
  <si>
    <t>a (.73, .72, .72)</t>
  </si>
  <si>
    <t>RT + SIP (pretest sig.)</t>
  </si>
  <si>
    <t>The strategies instructed in this condition were identical to those used in the RT condition.</t>
  </si>
  <si>
    <t>RT + ORP</t>
  </si>
  <si>
    <t>This condition combined the instruction of reading strategies with self-regulation procedures designed to facilitate students' goal setting, monitoring and evaluation of reading outcome.</t>
  </si>
  <si>
    <t>The reading strategies and the way the strategies were modeled in this condition were identical to the approach in the other three conditions.</t>
  </si>
  <si>
    <t>TWA + SRL</t>
  </si>
  <si>
    <t>In implementing TWA, students completed nine reading comprehension steps within three reading phases: before reading, while reading, and after reading (see Figure 1). Three strategies are included in each stage. Explicit instruction for generalization across domains and tasks was imbedded throughout instruction.</t>
  </si>
  <si>
    <t>(immediate) 1. Main idea</t>
  </si>
  <si>
    <t>(immediate) 2. Summary</t>
  </si>
  <si>
    <t>(immediate) 3. Oral retell quality</t>
  </si>
  <si>
    <t xml:space="preserve">(immediate) 4. Oral retell information units </t>
  </si>
  <si>
    <t>(immediate) 5. Oral retell main ideas</t>
  </si>
  <si>
    <t>(immediate) 6. Written retell quality</t>
  </si>
  <si>
    <t xml:space="preserve">(immediate) 7. Written retell information units </t>
  </si>
  <si>
    <t>(immediate) 8. Written retell main ideas</t>
  </si>
  <si>
    <t>(3 week) 1. Main idea</t>
  </si>
  <si>
    <t>(3 week) 2. Summary</t>
  </si>
  <si>
    <t>(3 week) 3. Oral retell quality</t>
  </si>
  <si>
    <t xml:space="preserve">(3 week) 4. Oral retell information units </t>
  </si>
  <si>
    <t>(3 week) 5. Oral retell main ideas</t>
  </si>
  <si>
    <t>(3 week) 6. Written retell quality</t>
  </si>
  <si>
    <t xml:space="preserve">(3 week) 7. Written retell information units </t>
  </si>
  <si>
    <t>(3 week) 8. Written retell main ideas</t>
  </si>
  <si>
    <t>RQ (reciprocal)</t>
  </si>
  <si>
    <t>Instructional Procedure: RQ  Students were taught the RQ strategy within the six-stage strategy acquisition framework. The instructor modeled the use of RQ but did not implement cognitive modeling; in other words, the instruction did not include explicit modeling of self-instructions. A chart listing examples of good comprehension questions was used to facilitate students’ questioning behavior. Students’ dependence on the chart faded as they became independent in formulating questions.</t>
  </si>
  <si>
    <t>Cirino et al., 2017</t>
  </si>
  <si>
    <t>Posttest Unrelated</t>
  </si>
  <si>
    <t>TB</t>
  </si>
  <si>
    <t>Both conditions Vocabulary cards Preread 5.0 and 2.0 Ts introduce definition, related words, examples, plus discussion Yes Yes  Potentially unknown words Preread 2.0 Ss select words to be defined; Ts provide definition Yes (TB+EF only) Yes  Oral reading During 5.0 Ss take turns reading aloud, with assistance from Ts as needed yes yes  Summarize Postread 6.0 and 8.0 Ss summarize passage aloud with scaffolding from Ts yes yes  Silent rereading Postread 5.0 Ss reread text silently Yes (TB only) Yes  Quizzing Postread 5.0 Ss answer multiple-choice question about the text Yes (TB+EF only) Yes</t>
  </si>
  <si>
    <t>TB + EF</t>
  </si>
  <si>
    <t>Follow UP (≥1 month/4 weeks)</t>
  </si>
  <si>
    <t>#</t>
  </si>
  <si>
    <t>Nelson, 2005</t>
  </si>
  <si>
    <t>Guided Reading</t>
  </si>
  <si>
    <t>4,5,6,7,8</t>
  </si>
  <si>
    <t>The reading comprehension strategy instruction designed for this intervention was  based in part on techniques used in guided reading (Cunningham &amp; Allington, 1999),  with a more specific strategy focus drawn from the work in reciprocal teaching (Palinscar  &amp; Brown, 1984). This intervention was named Guided Reading. Tutors modeled specific  comprehension strategies for students, including prediction, summarization, and question  generation, to enhance active and strategic reading. Tutors used modeling heavily during  the first sessions, with guided practice predominantly used during the middle and final  sessions. Within this type of an instructional approach, the assumption is made that  students will naturally pick up on the purpose of the strategies and begin to use them  independently (Duffy, 2002).</t>
  </si>
  <si>
    <t>Retell Quality</t>
  </si>
  <si>
    <t>f (.91)</t>
  </si>
  <si>
    <t>Retell Main Idea</t>
  </si>
  <si>
    <t>f (.81)</t>
  </si>
  <si>
    <t>Multiple Choice</t>
  </si>
  <si>
    <t>WJ Passage Comprehension</t>
  </si>
  <si>
    <t>Explicit Comp. Proc</t>
  </si>
  <si>
    <t>The prior knowledge and prediction strategies were related, but different. When  using the prior knowledge strategy, participants simply thought about what they already  knew about the topic of the text. This strategy was used to encourage participants to link  newly acquired knowledge from the text with previously established knowledge schemas.  The use of prediction is influenced by prior knowledge; however, prediction is a more  specific strategy that uses cues from the text, such as titles, pictures, bold words, and  subheadings, to hypothesize what the text will be about.</t>
  </si>
  <si>
    <t>M_comp</t>
  </si>
  <si>
    <t>R_comp</t>
  </si>
  <si>
    <t>.</t>
  </si>
  <si>
    <t>N</t>
  </si>
  <si>
    <t>NG</t>
  </si>
  <si>
    <t>V</t>
  </si>
  <si>
    <t>G</t>
  </si>
  <si>
    <t>NVG</t>
  </si>
  <si>
    <t>EX 122</t>
  </si>
  <si>
    <t>EX 134</t>
  </si>
  <si>
    <t>Wu et al., 2021</t>
  </si>
  <si>
    <t>StudyID</t>
  </si>
  <si>
    <t>ctl</t>
  </si>
  <si>
    <t>NGT</t>
  </si>
  <si>
    <t>T</t>
  </si>
  <si>
    <t>GT</t>
  </si>
  <si>
    <t>VT</t>
  </si>
  <si>
    <t>NT</t>
  </si>
  <si>
    <t>code_M</t>
  </si>
  <si>
    <t>code_R</t>
  </si>
  <si>
    <t>Author</t>
  </si>
  <si>
    <t>Unique_Study</t>
  </si>
  <si>
    <t>ID_measure</t>
  </si>
  <si>
    <t>Students in the Reading Strategies Control condition were shown the same materials as the other students but received no strategy training in Sessions 5 or 6.</t>
  </si>
  <si>
    <t>Code_R?</t>
  </si>
  <si>
    <t>m_pre_ctl</t>
  </si>
  <si>
    <t>sd_pre_ctl</t>
  </si>
  <si>
    <t>n_pre_ctl</t>
  </si>
  <si>
    <t>m_post_ctl</t>
  </si>
  <si>
    <t>sd_post_ctl</t>
  </si>
  <si>
    <t>n_post_ctl</t>
  </si>
  <si>
    <t>LOOKUP</t>
  </si>
  <si>
    <t>KEY</t>
  </si>
  <si>
    <t>ConditionType</t>
  </si>
  <si>
    <t>m_diff</t>
  </si>
  <si>
    <t>sd_diff</t>
  </si>
  <si>
    <t>n_diff</t>
  </si>
  <si>
    <t>EX</t>
  </si>
  <si>
    <t>EX_M_only</t>
  </si>
  <si>
    <t>RCS (7 groups)</t>
  </si>
  <si>
    <t>Not Mot</t>
  </si>
  <si>
    <t>Whole Group</t>
  </si>
  <si>
    <t>CAI</t>
  </si>
  <si>
    <t>EX_Identifier</t>
  </si>
  <si>
    <t>EX_Note</t>
  </si>
  <si>
    <t>raw_country</t>
  </si>
  <si>
    <t>raw_grade</t>
  </si>
  <si>
    <t>Monly</t>
  </si>
  <si>
    <t>cat_country_0USA</t>
  </si>
  <si>
    <t>raw_language</t>
  </si>
  <si>
    <t>cat_lang_0Eng</t>
  </si>
  <si>
    <t>cat_context_0school</t>
  </si>
  <si>
    <t>cat_pubtype_0article</t>
  </si>
  <si>
    <t>cat_design_0RCT</t>
  </si>
  <si>
    <t>ave_grade</t>
  </si>
  <si>
    <t>cat_grade_0elem</t>
  </si>
  <si>
    <t>ave_age</t>
  </si>
  <si>
    <t>pct_struggle</t>
  </si>
  <si>
    <t>pct_disability</t>
  </si>
  <si>
    <t>pct_lowSES_FRPL</t>
  </si>
  <si>
    <t>pct_L2</t>
  </si>
  <si>
    <t>pct_boy</t>
  </si>
  <si>
    <t>pct_minority</t>
  </si>
  <si>
    <t>cat_int_1smallgroup</t>
  </si>
  <si>
    <t>ave_int_dosage</t>
  </si>
  <si>
    <t>ave_int_session</t>
  </si>
  <si>
    <t>ave_int_length</t>
  </si>
  <si>
    <t>cat_int_1fidelityreport</t>
  </si>
  <si>
    <t>cat_int_1script</t>
  </si>
  <si>
    <t>cat_int_1schoolstaff</t>
  </si>
  <si>
    <t>int_material_0research</t>
  </si>
  <si>
    <t>esid</t>
  </si>
  <si>
    <t>measure_type_1std</t>
  </si>
  <si>
    <t>measure_type_1overalign</t>
  </si>
  <si>
    <t>Outlier (z=3.23)</t>
  </si>
  <si>
    <t>Outlier(z = 2.74)</t>
  </si>
  <si>
    <t>ConditionID</t>
  </si>
  <si>
    <t>ConditionID_backup</t>
  </si>
  <si>
    <t>treatment_backup</t>
  </si>
  <si>
    <t>treatment</t>
  </si>
  <si>
    <t>measure_names</t>
  </si>
  <si>
    <t>code_M?</t>
  </si>
  <si>
    <t>treatment_type</t>
  </si>
  <si>
    <t>self-raed</t>
  </si>
  <si>
    <t>self-read</t>
  </si>
  <si>
    <t>same.copmonent</t>
  </si>
  <si>
    <t>study_year</t>
  </si>
  <si>
    <t>sample_size_condition</t>
  </si>
  <si>
    <t>Guthrie et al. 1999</t>
  </si>
  <si>
    <t>Guthrie et al. 2009</t>
  </si>
  <si>
    <t>Little et al. 2014</t>
  </si>
  <si>
    <t>Mason, 2004</t>
  </si>
  <si>
    <t>Mcomp_N</t>
  </si>
  <si>
    <t>Mcomp_V</t>
  </si>
  <si>
    <t>Mcomp_G</t>
  </si>
  <si>
    <t>Mcomp_T</t>
  </si>
  <si>
    <t>Unique_Sample</t>
  </si>
  <si>
    <t>ave_int_dosage_hr</t>
  </si>
  <si>
    <t>N_Mcomp</t>
  </si>
  <si>
    <t>Study &amp; Sample ID</t>
  </si>
  <si>
    <t>SampleID</t>
  </si>
  <si>
    <t>Unique_TRUEcondition</t>
  </si>
  <si>
    <t>Schunk &amp; Rice. (S1), 1987</t>
  </si>
  <si>
    <t>Schunk &amp; Rice. (S2), 1987</t>
  </si>
  <si>
    <t>Guthrie et al. (S1), 2004</t>
  </si>
  <si>
    <t>Guthrie et al. (S2), 2004</t>
  </si>
  <si>
    <t xml:space="preserve">m </t>
  </si>
  <si>
    <t>cat_R_type</t>
  </si>
  <si>
    <t>NV</t>
  </si>
  <si>
    <t xml:space="preserve"> Young et al., 2019</t>
  </si>
  <si>
    <t>Treatment</t>
  </si>
  <si>
    <t>Similar to the comparison group, 75 min were dedicated to language arts instruction. Teachers reported spending between 15 and 30 min per day on readers theater, and the remaining time was dedicated to their adopted program. The treatment group also used Rooted in Reading (Lemon, 2019), as well as a district adopted program, SRA Reading Laboratory (Science Research Associates, 2018) (McGrawHill). SRA is a level program that is directed by the student. Reading levels are determined by a pretest, and as a student moves through the program, the texts becoming increasingly more complex. Students begin with reading selections, which the program calls Power Builders. The Power Builder has an appropriately leveled text complimented with comprehension questions and vocabulary activities. Students then check their own work. Following, is an example of a typical day in the treatment group. The language arts bock began with the readers theater treatment, which lasted between 15 and 30 min. The teacher then uses ideas from Rooted in Reading (Lemon, 2019) to conduct a read aloud, teaching reading strategies before, during, and after the reading, which takes about 15 min. Students then engage in SRA for remainder of the reading block (15–30 min, depending on the time spent on readers theater that day), and before writing (15 min). Thus, in both the treatment and comparison groups, students engaged in about 60 min of reading instruction and 15 min of writing. Rooted in Reading seemed to be a common thread connecting all the classrooms. However, the other approaches differed. While there were likely differences between groups that could not be accounted and controlled for, readers theater treatment appeared to be a major difference between the treatment and comparison.</t>
  </si>
  <si>
    <t>GMRT-4 Comprehension</t>
  </si>
  <si>
    <t>a (.92) c (.82)</t>
  </si>
  <si>
    <t>The district also used Rooted in Reading (Lemon, 2019), which offers read aloud lessons that include all of the state standards, as well as nonfiction readers that connect to the story of the week. Also, the program includes reading passages for each week to prepare students for the reading test  THE JOURNAL OF EDUCATIONAL RESEARCH 617 format. The goal is to interest the students and provide many opportunities to engage in close reading of the weekly text. The teachers also meet with small groups daily for guided intervention, in an effort to meet individual needs of readers based on their particular reading levels. The teachers followed a district created scope and sequence for the entire year. The present study was conducted during the fall semester. During this time, there were three 20 day units: (a) communicating ideas and messages, (b) readers respond to author’s purpose, and (c) preparing readers and writers for literacy works. For example, Monday of the second week of school (the first week of the study), the language arts block was allotted 75 min total. First, there was a vocabulary mini-lesson (10 min), and students chose various activities from their “Vocabulary Menu” to practice their words. These words were harvested from the text read in the basal. Next, students engaged in what the district called, “The Main Block.” During this 40-min block, the teacher read aloud Our Kind Classroom from their curriculum, Rooted in Reading (Lemon, 2019). While reading aloud, the teacher required students to visualize what it is like to have a kind classroom, where students respect one another. After the reading, in groups, students reenacted from the scenes. The teacher took pictures and added photos to a class book that illustrated what kindness looks like in classrooms. Then, individually, students completed a paper where they could either write or draw themselves as unique individuals. The next 10–15 min was devoted to spelling, and the focus was on the short E sound. Students could choose from a variety of spelling activities, such as ABC order, sentences, unscramble, or making words. While students were working on their spelling, one guided reading group was pulled, and the teacher conducted a small group reading lesson. If students working on their spelling finished early, they were asked to practice in their handwriting book or read silently. After the reading block, students engaged in 15–20 min of writing.</t>
  </si>
  <si>
    <t>Young et al., 2020</t>
  </si>
  <si>
    <t>Treatment (n = 23)</t>
  </si>
  <si>
    <t>Comparison (n = 23)</t>
  </si>
  <si>
    <t>2</t>
  </si>
  <si>
    <t>YH_CODE</t>
  </si>
  <si>
    <t>NVT</t>
  </si>
  <si>
    <t>NVGT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</si>
</sst>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6" x14ac:knownFonts="1">
    <font>
      <sz val="11"/>
      <color theme="1"/>
      <name val="Calibri"/>
      <family val="2"/>
      <scheme val="minor"/>
    </font>
    <font>
      <sz val="9"/>
      <name val="Calibri"/>
      <family val="3"/>
      <charset val="134"/>
      <scheme val="minor"/>
    </font>
    <font>
      <sz val="11"/>
      <name val="Calibri"/>
      <family val="2"/>
      <scheme val="minor"/>
    </font>
    <font>
      <b/>
      <sz val="12"/>
      <name val="Calibri"/>
      <family val="2"/>
      <scheme val="minor"/>
    </font>
    <font>
      <b/>
      <sz val="12"/>
      <color theme="1"/>
      <name val="Calibri"/>
      <family val="2"/>
      <scheme val="minor"/>
    </font>
    <font>
      <b/>
      <u/>
      <sz val="12"/>
      <color theme="1"/>
      <name val="Calibri"/>
      <family val="2"/>
      <scheme val="minor"/>
    </font>
    <font>
      <sz val="6"/>
      <color theme="1"/>
      <name val="Calibri"/>
      <family val="2"/>
      <scheme val="minor"/>
    </font>
    <font>
      <b/>
      <u/>
      <sz val="8"/>
      <color theme="1"/>
      <name val="Calibri"/>
      <family val="2"/>
      <scheme val="minor"/>
    </font>
    <font>
      <b/>
      <sz val="10"/>
      <color theme="1"/>
      <name val="Calibri"/>
      <family val="2"/>
      <scheme val="minor"/>
    </font>
    <font>
      <b/>
      <sz val="8"/>
      <color theme="1"/>
      <name val="Calibri (Body)"/>
    </font>
    <font>
      <sz val="6"/>
      <name val="Calibri"/>
      <family val="2"/>
      <scheme val="minor"/>
    </font>
    <font>
      <b/>
      <i/>
      <sz val="1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u/>
      <sz val="9.5"/>
      <color theme="1"/>
      <name val="Calibri"/>
      <family val="2"/>
      <scheme val="minor"/>
    </font>
    <font>
      <b/>
      <sz val="9"/>
      <color theme="1"/>
      <name val="Calibri (Body)"/>
    </font>
    <font>
      <sz val="6"/>
      <color rgb="FFFF0000"/>
      <name val="Calibri"/>
      <family val="2"/>
      <scheme val="minor"/>
    </font>
    <font>
      <b/>
      <i/>
      <u/>
      <sz val="11"/>
      <name val="Calibri"/>
      <family val="2"/>
      <scheme val="minor"/>
    </font>
    <font>
      <b/>
      <sz val="11"/>
      <name val="Calibri"/>
      <family val="2"/>
      <scheme val="minor"/>
    </font>
    <font>
      <sz val="12"/>
      <color rgb="FF222222"/>
      <name val="Helvetica Neue"/>
      <family val="2"/>
    </font>
    <font>
      <sz val="11"/>
      <color rgb="FF222222"/>
      <name val="Helvetica Neue"/>
      <family val="2"/>
    </font>
    <font>
      <sz val="11"/>
      <color theme="5"/>
      <name val="Calibri"/>
      <family val="2"/>
      <scheme val="minor"/>
    </font>
    <font>
      <b/>
      <sz val="11"/>
      <color theme="5"/>
      <name val="Calibri"/>
      <family val="2"/>
      <scheme val="minor"/>
    </font>
    <font>
      <b/>
      <sz val="11"/>
      <color rgb="FFFF0000"/>
      <name val="Calibri"/>
      <family val="2"/>
      <scheme val="minor"/>
    </font>
    <font>
      <i/>
      <u/>
      <sz val="11"/>
      <name val="Calibri"/>
      <family val="2"/>
      <scheme val="minor"/>
    </font>
    <font>
      <sz val="11"/>
      <color rgb="FF000000"/>
      <name val="Calibri"/>
      <family val="2"/>
      <scheme val="minor"/>
    </font>
    <font>
      <sz val="11"/>
      <color theme="4"/>
      <name val="Calibri"/>
      <family val="2"/>
      <scheme val="minor"/>
    </font>
    <font>
      <sz val="11"/>
      <color theme="5" tint="-0.249977111117893"/>
      <name val="Calibri"/>
      <family val="2"/>
      <scheme val="minor"/>
    </font>
    <font>
      <sz val="11"/>
      <color theme="8"/>
      <name val="Calibri"/>
      <family val="2"/>
      <scheme val="minor"/>
    </font>
    <font>
      <sz val="11"/>
      <color theme="9" tint="-0.249977111117893"/>
      <name val="Calibri"/>
      <family val="2"/>
      <scheme val="minor"/>
    </font>
    <font>
      <sz val="11"/>
      <color theme="9"/>
      <name val="Calibri"/>
      <family val="2"/>
      <scheme val="minor"/>
    </font>
    <font>
      <sz val="11"/>
      <color theme="2" tint="-9.9978637043366805E-2"/>
      <name val="Calibri"/>
      <family val="2"/>
      <scheme val="minor"/>
    </font>
    <font>
      <sz val="11"/>
      <color theme="6" tint="0.79998168889431442"/>
      <name val="Calibri"/>
      <family val="2"/>
      <scheme val="minor"/>
    </font>
    <font>
      <sz val="11"/>
      <color theme="2"/>
      <name val="Calibri"/>
      <family val="2"/>
      <scheme val="minor"/>
    </font>
    <font>
      <sz val="11"/>
      <color theme="6"/>
      <name val="Calibri"/>
      <family val="2"/>
      <scheme val="minor"/>
    </font>
  </fonts>
  <fills count="24">
    <fill>
      <patternFill patternType="none"/>
    </fill>
    <fill>
      <patternFill patternType="gray125"/>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8"/>
        <bgColor indexed="64"/>
      </patternFill>
    </fill>
    <fill>
      <patternFill patternType="solid">
        <fgColor theme="9"/>
        <bgColor indexed="64"/>
      </patternFill>
    </fill>
  </fills>
  <borders count="6">
    <border>
      <left/>
      <right/>
      <top/>
      <bottom/>
      <diagonal/>
    </border>
    <border>
      <left/>
      <right/>
      <top/>
      <bottom style="thin">
        <color indexed="64"/>
      </bottom>
      <diagonal/>
    </border>
    <border>
      <left/>
      <right/>
      <top style="thin">
        <color indexed="64"/>
      </top>
      <bottom/>
      <diagonal/>
    </border>
    <border>
      <left/>
      <right/>
      <top/>
      <bottom style="double">
        <color indexed="64"/>
      </bottom>
      <diagonal/>
    </border>
    <border>
      <left/>
      <right/>
      <top style="double">
        <color indexed="64"/>
      </top>
      <bottom/>
      <diagonal/>
    </border>
    <border>
      <left style="thin">
        <color indexed="64"/>
      </left>
      <right/>
      <top/>
      <bottom/>
      <diagonal/>
    </border>
  </borders>
  <cellStyleXfs count="1">
    <xf numFmtId="0" fontId="0" fillId="0" borderId="0"/>
  </cellStyleXfs>
  <cellXfs count="417">
    <xf numFmtId="0" fontId="0" fillId="0" borderId="0" xfId="0"/>
    <xf numFmtId="0" fontId="0" fillId="0" borderId="0" xfId="0" applyAlignment="1">
      <alignment horizontal="left" vertical="top" wrapText="1"/>
    </xf>
    <xf numFmtId="0" fontId="2" fillId="0" borderId="0" xfId="0" applyFont="1" applyAlignment="1">
      <alignment horizontal="left" vertical="top" wrapText="1"/>
    </xf>
    <xf numFmtId="0" fontId="3" fillId="2" borderId="0" xfId="0" applyFont="1" applyFill="1" applyAlignment="1">
      <alignment horizontal="center" vertical="top" wrapText="1"/>
    </xf>
    <xf numFmtId="0" fontId="4" fillId="5" borderId="0" xfId="0" applyFont="1" applyFill="1" applyAlignment="1">
      <alignment horizontal="center" vertical="top" wrapText="1"/>
    </xf>
    <xf numFmtId="0" fontId="5" fillId="5" borderId="0" xfId="0" applyFont="1" applyFill="1" applyAlignment="1">
      <alignment horizontal="center" vertical="top" wrapText="1"/>
    </xf>
    <xf numFmtId="0" fontId="4" fillId="2" borderId="0" xfId="0" applyFont="1" applyFill="1" applyAlignment="1">
      <alignment horizontal="center" vertical="top" wrapText="1"/>
    </xf>
    <xf numFmtId="0" fontId="4" fillId="4" borderId="0" xfId="0" applyFont="1" applyFill="1" applyAlignment="1">
      <alignment horizontal="center" vertical="top" wrapText="1"/>
    </xf>
    <xf numFmtId="0" fontId="5" fillId="6" borderId="0" xfId="0" applyFont="1" applyFill="1" applyAlignment="1">
      <alignment horizontal="center" vertical="top" wrapText="1"/>
    </xf>
    <xf numFmtId="0" fontId="4" fillId="6" borderId="0" xfId="0" applyFont="1" applyFill="1" applyAlignment="1">
      <alignment horizontal="center" vertical="top" wrapText="1"/>
    </xf>
    <xf numFmtId="0" fontId="4" fillId="3" borderId="0" xfId="0" applyFont="1" applyFill="1" applyAlignment="1">
      <alignment horizontal="center" vertical="top" wrapText="1"/>
    </xf>
    <xf numFmtId="0" fontId="0" fillId="0" borderId="0" xfId="0" applyAlignment="1">
      <alignment horizontal="center" vertical="top" wrapText="1"/>
    </xf>
    <xf numFmtId="0" fontId="6" fillId="0" borderId="0" xfId="0" applyFont="1" applyAlignment="1">
      <alignment horizontal="center" vertical="top" wrapText="1"/>
    </xf>
    <xf numFmtId="0" fontId="0" fillId="5" borderId="0" xfId="0" applyFill="1" applyAlignment="1">
      <alignment horizontal="center" vertical="top" wrapText="1"/>
    </xf>
    <xf numFmtId="0" fontId="3" fillId="11" borderId="0" xfId="0" applyFont="1" applyFill="1" applyAlignment="1">
      <alignment horizontal="center" vertical="top" wrapText="1"/>
    </xf>
    <xf numFmtId="0" fontId="7" fillId="9" borderId="0" xfId="0" applyFont="1" applyFill="1" applyAlignment="1">
      <alignment horizontal="center" vertical="top" wrapText="1"/>
    </xf>
    <xf numFmtId="2" fontId="4" fillId="2" borderId="0" xfId="0" applyNumberFormat="1" applyFont="1" applyFill="1" applyAlignment="1">
      <alignment horizontal="center" vertical="top" wrapText="1"/>
    </xf>
    <xf numFmtId="2" fontId="0" fillId="0" borderId="0" xfId="0" applyNumberFormat="1" applyAlignment="1">
      <alignment horizontal="center" vertical="top" wrapText="1"/>
    </xf>
    <xf numFmtId="0" fontId="8" fillId="5" borderId="0" xfId="0" applyFont="1" applyFill="1" applyAlignment="1">
      <alignment horizontal="center" vertical="top" wrapText="1"/>
    </xf>
    <xf numFmtId="2" fontId="2" fillId="0" borderId="0" xfId="0" applyNumberFormat="1" applyFont="1" applyAlignment="1">
      <alignment horizontal="center" vertical="top" wrapText="1"/>
    </xf>
    <xf numFmtId="0" fontId="2" fillId="0" borderId="0" xfId="0" applyFont="1" applyAlignment="1">
      <alignment horizontal="center" vertical="top" wrapText="1"/>
    </xf>
    <xf numFmtId="0" fontId="2" fillId="0" borderId="1" xfId="0" applyFont="1" applyBorder="1" applyAlignment="1">
      <alignment horizontal="center" vertical="top" wrapText="1"/>
    </xf>
    <xf numFmtId="2" fontId="2" fillId="0" borderId="1" xfId="0" applyNumberFormat="1" applyFont="1" applyBorder="1" applyAlignment="1">
      <alignment horizontal="center" vertical="top" wrapText="1"/>
    </xf>
    <xf numFmtId="0" fontId="2" fillId="5" borderId="0" xfId="0" applyFont="1" applyFill="1" applyAlignment="1">
      <alignment horizontal="center" vertical="top" wrapText="1"/>
    </xf>
    <xf numFmtId="0" fontId="10" fillId="0" borderId="0" xfId="0" applyFont="1" applyAlignment="1">
      <alignment horizontal="center" vertical="top" wrapText="1"/>
    </xf>
    <xf numFmtId="0" fontId="11" fillId="5" borderId="0" xfId="0" applyFont="1" applyFill="1" applyAlignment="1">
      <alignment horizontal="center" vertical="top" wrapText="1"/>
    </xf>
    <xf numFmtId="0" fontId="2" fillId="5" borderId="1" xfId="0" applyFont="1" applyFill="1" applyBorder="1" applyAlignment="1">
      <alignment horizontal="center" vertical="top" wrapText="1"/>
    </xf>
    <xf numFmtId="0" fontId="10" fillId="0" borderId="1" xfId="0" applyFont="1" applyBorder="1" applyAlignment="1">
      <alignment horizontal="center" vertical="top" wrapText="1"/>
    </xf>
    <xf numFmtId="0" fontId="2" fillId="0" borderId="1" xfId="0" applyFont="1" applyBorder="1" applyAlignment="1">
      <alignment horizontal="left" vertical="top" wrapText="1"/>
    </xf>
    <xf numFmtId="0" fontId="11" fillId="5" borderId="1" xfId="0" applyFont="1" applyFill="1" applyBorder="1" applyAlignment="1">
      <alignment horizontal="center" vertical="top" wrapText="1"/>
    </xf>
    <xf numFmtId="0" fontId="0" fillId="5" borderId="1" xfId="0" applyFill="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0" fontId="6" fillId="0" borderId="1" xfId="0" applyFont="1" applyBorder="1" applyAlignment="1">
      <alignment horizontal="center" vertical="top" wrapText="1"/>
    </xf>
    <xf numFmtId="0" fontId="0" fillId="0" borderId="1" xfId="0" applyBorder="1" applyAlignment="1">
      <alignment horizontal="left" vertical="top" wrapText="1"/>
    </xf>
    <xf numFmtId="0" fontId="14" fillId="4" borderId="0" xfId="0" applyFont="1" applyFill="1" applyAlignment="1">
      <alignment horizontal="center" vertical="top" wrapText="1"/>
    </xf>
    <xf numFmtId="0" fontId="15" fillId="4" borderId="0" xfId="0" applyFont="1" applyFill="1" applyAlignment="1">
      <alignment horizontal="center" vertical="top" wrapText="1"/>
    </xf>
    <xf numFmtId="0" fontId="16" fillId="4" borderId="0" xfId="0" applyFont="1" applyFill="1" applyAlignment="1">
      <alignment horizontal="center" vertical="top" wrapText="1"/>
    </xf>
    <xf numFmtId="49" fontId="2" fillId="0" borderId="0" xfId="0" applyNumberFormat="1" applyFont="1" applyAlignment="1">
      <alignment horizontal="center" vertical="top" wrapText="1"/>
    </xf>
    <xf numFmtId="49" fontId="2" fillId="0" borderId="1" xfId="0" applyNumberFormat="1" applyFont="1" applyBorder="1" applyAlignment="1">
      <alignment horizontal="center" vertical="top" wrapText="1"/>
    </xf>
    <xf numFmtId="49" fontId="0" fillId="0" borderId="0" xfId="0" applyNumberFormat="1" applyAlignment="1">
      <alignment horizontal="center" vertical="top" wrapText="1"/>
    </xf>
    <xf numFmtId="49" fontId="0" fillId="0" borderId="1" xfId="0" applyNumberFormat="1" applyBorder="1" applyAlignment="1">
      <alignment horizontal="center" vertical="top" wrapText="1"/>
    </xf>
    <xf numFmtId="0" fontId="2" fillId="12" borderId="0" xfId="0" applyFont="1" applyFill="1" applyAlignment="1">
      <alignment horizontal="center" vertical="top" wrapText="1"/>
    </xf>
    <xf numFmtId="0" fontId="0" fillId="12" borderId="0" xfId="0" applyFill="1" applyAlignment="1">
      <alignment horizontal="center" vertical="top" wrapText="1"/>
    </xf>
    <xf numFmtId="2" fontId="12" fillId="12" borderId="0" xfId="0" applyNumberFormat="1" applyFont="1" applyFill="1" applyAlignment="1">
      <alignment horizontal="center" vertical="top" wrapText="1"/>
    </xf>
    <xf numFmtId="0" fontId="12" fillId="12" borderId="0" xfId="0" applyFont="1" applyFill="1" applyAlignment="1">
      <alignment horizontal="center" vertical="top" wrapText="1"/>
    </xf>
    <xf numFmtId="2" fontId="0" fillId="12" borderId="0" xfId="0" applyNumberFormat="1" applyFill="1" applyAlignment="1">
      <alignment horizontal="center" vertical="top" wrapText="1"/>
    </xf>
    <xf numFmtId="2" fontId="12" fillId="12" borderId="1" xfId="0" applyNumberFormat="1" applyFont="1" applyFill="1" applyBorder="1" applyAlignment="1">
      <alignment horizontal="center" vertical="top" wrapText="1"/>
    </xf>
    <xf numFmtId="2" fontId="0" fillId="12" borderId="1" xfId="0" applyNumberFormat="1" applyFill="1" applyBorder="1" applyAlignment="1">
      <alignment horizontal="center" vertical="top" wrapText="1"/>
    </xf>
    <xf numFmtId="0" fontId="0" fillId="12" borderId="1" xfId="0" applyFill="1" applyBorder="1" applyAlignment="1">
      <alignment horizontal="center" vertical="top" wrapText="1"/>
    </xf>
    <xf numFmtId="0" fontId="12" fillId="12" borderId="1" xfId="0" applyFont="1" applyFill="1" applyBorder="1" applyAlignment="1">
      <alignment horizontal="center" vertical="top" wrapText="1"/>
    </xf>
    <xf numFmtId="0" fontId="6" fillId="12" borderId="0" xfId="0" applyFont="1" applyFill="1" applyAlignment="1">
      <alignment horizontal="center" vertical="top" wrapText="1"/>
    </xf>
    <xf numFmtId="10" fontId="0" fillId="0" borderId="0" xfId="0" applyNumberFormat="1" applyAlignment="1">
      <alignment horizontal="center" vertical="top" wrapText="1"/>
    </xf>
    <xf numFmtId="1" fontId="0" fillId="0" borderId="0" xfId="0" applyNumberFormat="1" applyAlignment="1">
      <alignment horizontal="center" vertical="top" wrapText="1"/>
    </xf>
    <xf numFmtId="1" fontId="2" fillId="0" borderId="0" xfId="0" applyNumberFormat="1" applyFont="1" applyAlignment="1">
      <alignment horizontal="center" vertical="top" wrapText="1"/>
    </xf>
    <xf numFmtId="10" fontId="2" fillId="0" borderId="0" xfId="0" applyNumberFormat="1" applyFont="1" applyAlignment="1">
      <alignment horizontal="center" vertical="top" wrapText="1"/>
    </xf>
    <xf numFmtId="1" fontId="13" fillId="0" borderId="0" xfId="0" applyNumberFormat="1" applyFont="1" applyAlignment="1">
      <alignment horizontal="center" vertical="top" wrapText="1"/>
    </xf>
    <xf numFmtId="0" fontId="3" fillId="8" borderId="0" xfId="0" applyFont="1" applyFill="1" applyAlignment="1">
      <alignment horizontal="center" vertical="top" wrapText="1"/>
    </xf>
    <xf numFmtId="0" fontId="12" fillId="0" borderId="0" xfId="0" applyFont="1" applyAlignment="1">
      <alignment horizontal="center" vertical="top" wrapText="1"/>
    </xf>
    <xf numFmtId="164" fontId="0" fillId="0" borderId="0" xfId="0" applyNumberFormat="1" applyAlignment="1">
      <alignment horizontal="center" vertical="top" wrapText="1"/>
    </xf>
    <xf numFmtId="0" fontId="0" fillId="0" borderId="0" xfId="0" applyAlignment="1">
      <alignment horizontal="left" vertical="top"/>
    </xf>
    <xf numFmtId="0" fontId="0" fillId="13" borderId="0" xfId="0" applyFill="1" applyAlignment="1">
      <alignment horizontal="center" vertical="top" wrapText="1"/>
    </xf>
    <xf numFmtId="0" fontId="18" fillId="0" borderId="0" xfId="0" applyFont="1" applyAlignment="1">
      <alignment horizontal="center" vertical="top" wrapText="1"/>
    </xf>
    <xf numFmtId="0" fontId="0" fillId="0" borderId="1" xfId="0" applyBorder="1" applyAlignment="1">
      <alignment horizontal="left" vertical="top"/>
    </xf>
    <xf numFmtId="0" fontId="18" fillId="0" borderId="1" xfId="0" applyFont="1" applyBorder="1" applyAlignment="1">
      <alignment horizontal="center" vertical="top" wrapText="1"/>
    </xf>
    <xf numFmtId="1" fontId="0" fillId="0" borderId="3" xfId="0" applyNumberFormat="1" applyBorder="1" applyAlignment="1">
      <alignment horizontal="center" vertical="top" wrapText="1"/>
    </xf>
    <xf numFmtId="0" fontId="2" fillId="0" borderId="3" xfId="0" applyFont="1" applyBorder="1" applyAlignment="1">
      <alignment horizontal="center" vertical="top" wrapText="1"/>
    </xf>
    <xf numFmtId="1" fontId="2" fillId="0" borderId="3" xfId="0" applyNumberFormat="1" applyFont="1" applyBorder="1" applyAlignment="1">
      <alignment horizontal="center" vertical="top" wrapText="1"/>
    </xf>
    <xf numFmtId="0" fontId="2" fillId="0" borderId="3" xfId="0" applyFont="1" applyBorder="1" applyAlignment="1">
      <alignment horizontal="left" vertical="top" wrapText="1"/>
    </xf>
    <xf numFmtId="10" fontId="2" fillId="0" borderId="3" xfId="0" applyNumberFormat="1" applyFont="1" applyBorder="1" applyAlignment="1">
      <alignment horizontal="center" vertical="top" wrapText="1"/>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18" fillId="0" borderId="3" xfId="0" applyFont="1" applyBorder="1" applyAlignment="1">
      <alignment horizontal="center" vertical="top" wrapText="1"/>
    </xf>
    <xf numFmtId="0" fontId="12" fillId="0" borderId="2" xfId="0" applyFont="1" applyBorder="1" applyAlignment="1">
      <alignment horizontal="center" vertical="top" wrapText="1"/>
    </xf>
    <xf numFmtId="0" fontId="12" fillId="0" borderId="1" xfId="0" applyFont="1" applyBorder="1" applyAlignment="1">
      <alignment horizontal="center" vertical="top" wrapText="1"/>
    </xf>
    <xf numFmtId="49" fontId="0" fillId="12" borderId="0" xfId="0" applyNumberFormat="1" applyFill="1" applyAlignment="1">
      <alignment horizontal="center" vertical="top" wrapText="1"/>
    </xf>
    <xf numFmtId="2" fontId="0" fillId="5" borderId="0" xfId="0" applyNumberFormat="1" applyFill="1" applyAlignment="1">
      <alignment horizontal="center" vertical="top" wrapText="1"/>
    </xf>
    <xf numFmtId="0" fontId="6" fillId="5" borderId="0" xfId="0" applyFont="1" applyFill="1" applyAlignment="1">
      <alignment horizontal="center" vertical="top" wrapText="1"/>
    </xf>
    <xf numFmtId="0" fontId="0" fillId="5" borderId="0" xfId="0" applyFill="1" applyAlignment="1">
      <alignment horizontal="left" vertical="top" wrapText="1"/>
    </xf>
    <xf numFmtId="0" fontId="0" fillId="0" borderId="0" xfId="0" applyAlignment="1">
      <alignment horizontal="center"/>
    </xf>
    <xf numFmtId="0" fontId="0" fillId="0" borderId="1" xfId="0" applyBorder="1" applyAlignment="1">
      <alignment horizontal="center"/>
    </xf>
    <xf numFmtId="0" fontId="13" fillId="5" borderId="1" xfId="0" applyFont="1" applyFill="1" applyBorder="1" applyAlignment="1">
      <alignment horizontal="center" vertical="top" wrapText="1"/>
    </xf>
    <xf numFmtId="2" fontId="0" fillId="10" borderId="0" xfId="0" applyNumberFormat="1" applyFill="1" applyAlignment="1">
      <alignment horizontal="center" vertical="top" wrapText="1"/>
    </xf>
    <xf numFmtId="2" fontId="0" fillId="10" borderId="1" xfId="0" applyNumberFormat="1" applyFill="1" applyBorder="1" applyAlignment="1">
      <alignment horizontal="center" vertical="top" wrapText="1"/>
    </xf>
    <xf numFmtId="0" fontId="0" fillId="14" borderId="0" xfId="0" applyFill="1" applyAlignment="1">
      <alignment horizontal="center" vertical="top" wrapText="1"/>
    </xf>
    <xf numFmtId="0" fontId="21" fillId="0" borderId="0" xfId="0" applyFont="1" applyAlignment="1">
      <alignment wrapText="1"/>
    </xf>
    <xf numFmtId="0" fontId="22" fillId="0" borderId="0" xfId="0" applyFont="1" applyAlignment="1">
      <alignment horizontal="center" vertical="top" wrapText="1"/>
    </xf>
    <xf numFmtId="0" fontId="13" fillId="5" borderId="0" xfId="0" applyFont="1" applyFill="1" applyAlignment="1">
      <alignment horizontal="center" vertical="top" wrapText="1"/>
    </xf>
    <xf numFmtId="0" fontId="0" fillId="5" borderId="0" xfId="0" applyFill="1" applyAlignment="1">
      <alignment horizontal="left" vertical="top"/>
    </xf>
    <xf numFmtId="0" fontId="0" fillId="5" borderId="1" xfId="0" applyFill="1" applyBorder="1" applyAlignment="1">
      <alignment horizontal="left" vertical="top"/>
    </xf>
    <xf numFmtId="2" fontId="0" fillId="0" borderId="0" xfId="0" applyNumberFormat="1" applyAlignment="1">
      <alignment horizontal="left" vertical="top"/>
    </xf>
    <xf numFmtId="2" fontId="22" fillId="0" borderId="0" xfId="0" applyNumberFormat="1" applyFont="1" applyAlignment="1">
      <alignment horizontal="left" vertical="top"/>
    </xf>
    <xf numFmtId="0" fontId="6" fillId="0" borderId="0" xfId="0" applyFont="1" applyAlignment="1">
      <alignment horizontal="left" vertical="top"/>
    </xf>
    <xf numFmtId="2" fontId="0" fillId="0" borderId="1" xfId="0" applyNumberFormat="1" applyBorder="1" applyAlignment="1">
      <alignment horizontal="left" vertical="top"/>
    </xf>
    <xf numFmtId="2" fontId="22" fillId="0" borderId="1" xfId="0" applyNumberFormat="1" applyFont="1" applyBorder="1" applyAlignment="1">
      <alignment horizontal="left" vertical="top"/>
    </xf>
    <xf numFmtId="0" fontId="6" fillId="0" borderId="1" xfId="0" applyFont="1" applyBorder="1" applyAlignment="1">
      <alignment horizontal="left" vertical="top"/>
    </xf>
    <xf numFmtId="0" fontId="22" fillId="0" borderId="0" xfId="0" applyFont="1" applyAlignment="1">
      <alignment horizontal="left" vertical="top"/>
    </xf>
    <xf numFmtId="0" fontId="22" fillId="0" borderId="1" xfId="0" applyFont="1" applyBorder="1" applyAlignment="1">
      <alignment horizontal="left" vertical="top"/>
    </xf>
    <xf numFmtId="0" fontId="20" fillId="0" borderId="0" xfId="0" applyFont="1" applyAlignment="1">
      <alignment horizontal="left" vertical="top"/>
    </xf>
    <xf numFmtId="0" fontId="0" fillId="12" borderId="0" xfId="0" applyFill="1" applyAlignment="1">
      <alignment horizontal="left" vertical="top"/>
    </xf>
    <xf numFmtId="0" fontId="0" fillId="12" borderId="1" xfId="0" applyFill="1" applyBorder="1" applyAlignment="1">
      <alignment horizontal="left" vertical="top"/>
    </xf>
    <xf numFmtId="0" fontId="25" fillId="0" borderId="0" xfId="0" applyFont="1" applyAlignment="1">
      <alignment horizontal="center" vertical="top" wrapText="1"/>
    </xf>
    <xf numFmtId="0" fontId="0" fillId="15" borderId="0" xfId="0" applyFill="1" applyAlignment="1">
      <alignment horizontal="center" vertical="top" wrapText="1"/>
    </xf>
    <xf numFmtId="0" fontId="12" fillId="6" borderId="0" xfId="0" applyFont="1" applyFill="1" applyAlignment="1">
      <alignment horizontal="center" vertical="top" wrapText="1"/>
    </xf>
    <xf numFmtId="0" fontId="0" fillId="6" borderId="0" xfId="0" applyFill="1" applyAlignment="1">
      <alignment horizontal="left" vertical="top"/>
    </xf>
    <xf numFmtId="0" fontId="0" fillId="6" borderId="1" xfId="0" applyFill="1"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center" vertical="top" wrapText="1"/>
    </xf>
    <xf numFmtId="10" fontId="0" fillId="0" borderId="3" xfId="0" applyNumberFormat="1" applyBorder="1" applyAlignment="1">
      <alignment horizontal="center" vertical="top" wrapText="1"/>
    </xf>
    <xf numFmtId="2" fontId="12" fillId="12" borderId="0" xfId="0" applyNumberFormat="1" applyFont="1" applyFill="1" applyAlignment="1">
      <alignment horizontal="left" vertical="top"/>
    </xf>
    <xf numFmtId="0" fontId="12" fillId="12" borderId="0" xfId="0" applyFont="1" applyFill="1" applyAlignment="1">
      <alignment horizontal="left" vertical="top"/>
    </xf>
    <xf numFmtId="0" fontId="12" fillId="12" borderId="1" xfId="0" applyFont="1" applyFill="1" applyBorder="1" applyAlignment="1">
      <alignment horizontal="left" vertical="top"/>
    </xf>
    <xf numFmtId="0" fontId="2" fillId="0" borderId="0" xfId="0" applyFont="1" applyAlignment="1">
      <alignment horizontal="center" vertical="top"/>
    </xf>
    <xf numFmtId="0" fontId="2" fillId="0" borderId="1" xfId="0" applyFont="1" applyBorder="1" applyAlignment="1">
      <alignment horizontal="center" vertical="top"/>
    </xf>
    <xf numFmtId="0" fontId="4" fillId="5" borderId="0" xfId="0" applyFont="1" applyFill="1" applyAlignment="1">
      <alignment horizontal="left" vertical="top"/>
    </xf>
    <xf numFmtId="0" fontId="5" fillId="5" borderId="0" xfId="0" applyFont="1" applyFill="1" applyAlignment="1">
      <alignment horizontal="left" vertical="top"/>
    </xf>
    <xf numFmtId="0" fontId="2" fillId="5" borderId="0" xfId="0" applyFont="1" applyFill="1" applyAlignment="1">
      <alignment horizontal="left" vertical="top"/>
    </xf>
    <xf numFmtId="0" fontId="2" fillId="5" borderId="0" xfId="0" applyFont="1" applyFill="1" applyAlignment="1">
      <alignment horizontal="center" vertical="top"/>
    </xf>
    <xf numFmtId="0" fontId="12" fillId="0" borderId="0" xfId="0" applyFont="1" applyAlignment="1">
      <alignment horizontal="left" vertical="top"/>
    </xf>
    <xf numFmtId="0" fontId="29" fillId="0" borderId="0" xfId="0" applyFont="1" applyAlignment="1">
      <alignment horizontal="center" vertical="center"/>
    </xf>
    <xf numFmtId="0" fontId="0" fillId="0" borderId="0" xfId="0" applyAlignment="1">
      <alignment horizontal="center" vertical="center"/>
    </xf>
    <xf numFmtId="0" fontId="17" fillId="0" borderId="0" xfId="0" applyFont="1" applyAlignment="1">
      <alignment horizontal="left" vertical="top"/>
    </xf>
    <xf numFmtId="0" fontId="2" fillId="5" borderId="1" xfId="0" applyFont="1" applyFill="1" applyBorder="1" applyAlignment="1">
      <alignment horizontal="left" vertical="top"/>
    </xf>
    <xf numFmtId="0" fontId="2" fillId="5" borderId="1" xfId="0" applyFont="1" applyFill="1" applyBorder="1" applyAlignment="1">
      <alignment horizontal="center" vertical="top"/>
    </xf>
    <xf numFmtId="0" fontId="0" fillId="0" borderId="1" xfId="0" applyBorder="1" applyAlignment="1">
      <alignment horizontal="center" vertical="center"/>
    </xf>
    <xf numFmtId="0" fontId="29" fillId="0" borderId="1" xfId="0" applyFont="1" applyBorder="1" applyAlignment="1">
      <alignment horizontal="center" vertical="center"/>
    </xf>
    <xf numFmtId="0" fontId="0" fillId="0" borderId="2" xfId="0" applyBorder="1" applyAlignment="1">
      <alignment horizontal="left" vertical="top"/>
    </xf>
    <xf numFmtId="0" fontId="0" fillId="0" borderId="0" xfId="0" applyAlignment="1">
      <alignment horizontal="center" vertical="top"/>
    </xf>
    <xf numFmtId="0" fontId="0" fillId="0" borderId="1" xfId="0" applyBorder="1" applyAlignment="1">
      <alignment horizontal="center" vertical="top"/>
    </xf>
    <xf numFmtId="0" fontId="0" fillId="5" borderId="0" xfId="0" applyFill="1" applyAlignment="1">
      <alignment vertical="top"/>
    </xf>
    <xf numFmtId="0" fontId="0" fillId="5" borderId="0" xfId="0" applyFill="1"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2" fillId="5" borderId="0" xfId="0" applyFont="1" applyFill="1" applyAlignment="1">
      <alignment vertical="top"/>
    </xf>
    <xf numFmtId="0" fontId="2" fillId="0" borderId="0" xfId="0" applyFont="1" applyAlignment="1">
      <alignment horizontal="left" vertical="top"/>
    </xf>
    <xf numFmtId="2" fontId="2" fillId="0" borderId="0" xfId="0" applyNumberFormat="1" applyFont="1" applyAlignment="1">
      <alignment horizontal="left" vertical="top"/>
    </xf>
    <xf numFmtId="0" fontId="10" fillId="0" borderId="0" xfId="0" applyFont="1" applyAlignment="1">
      <alignment horizontal="left" vertical="top"/>
    </xf>
    <xf numFmtId="0" fontId="2" fillId="5" borderId="1" xfId="0" applyFont="1" applyFill="1" applyBorder="1" applyAlignment="1">
      <alignment vertical="top"/>
    </xf>
    <xf numFmtId="0" fontId="2" fillId="0" borderId="1" xfId="0" applyFont="1" applyBorder="1" applyAlignment="1">
      <alignment horizontal="left" vertical="top"/>
    </xf>
    <xf numFmtId="2" fontId="2" fillId="0" borderId="1" xfId="0" applyNumberFormat="1" applyFont="1" applyBorder="1" applyAlignment="1">
      <alignment horizontal="left" vertical="top"/>
    </xf>
    <xf numFmtId="0" fontId="10" fillId="0" borderId="1" xfId="0" applyFont="1" applyBorder="1" applyAlignment="1">
      <alignment horizontal="left" vertical="top"/>
    </xf>
    <xf numFmtId="0" fontId="6" fillId="0" borderId="2" xfId="0" applyFont="1" applyBorder="1" applyAlignment="1">
      <alignment horizontal="left" vertical="top"/>
    </xf>
    <xf numFmtId="0" fontId="0" fillId="0" borderId="2" xfId="0" applyBorder="1" applyAlignment="1">
      <alignment horizontal="center" vertical="center"/>
    </xf>
    <xf numFmtId="0" fontId="2" fillId="5" borderId="2" xfId="0" applyFont="1" applyFill="1" applyBorder="1" applyAlignment="1">
      <alignment horizontal="left" vertical="top"/>
    </xf>
    <xf numFmtId="0" fontId="0" fillId="5" borderId="2" xfId="0" applyFill="1" applyBorder="1" applyAlignment="1">
      <alignment horizontal="left" vertical="top"/>
    </xf>
    <xf numFmtId="0" fontId="12" fillId="5" borderId="0" xfId="0" applyFont="1" applyFill="1" applyAlignment="1">
      <alignment horizontal="left" vertical="top"/>
    </xf>
    <xf numFmtId="0" fontId="0" fillId="0" borderId="0" xfId="0" applyAlignment="1">
      <alignment vertical="top"/>
    </xf>
    <xf numFmtId="0" fontId="0" fillId="0" borderId="1" xfId="0" applyBorder="1" applyAlignment="1">
      <alignment vertical="top"/>
    </xf>
    <xf numFmtId="0" fontId="0" fillId="0" borderId="2" xfId="0" applyBorder="1" applyAlignment="1">
      <alignment vertical="top"/>
    </xf>
    <xf numFmtId="0" fontId="12" fillId="0" borderId="0" xfId="0" applyFont="1" applyAlignment="1">
      <alignment vertical="top"/>
    </xf>
    <xf numFmtId="0" fontId="2" fillId="0" borderId="2" xfId="0" applyFont="1" applyBorder="1" applyAlignment="1">
      <alignment vertical="top"/>
    </xf>
    <xf numFmtId="0" fontId="2" fillId="0" borderId="1" xfId="0" applyFont="1" applyBorder="1" applyAlignment="1">
      <alignment vertical="top"/>
    </xf>
    <xf numFmtId="0" fontId="0" fillId="0" borderId="0" xfId="0" applyAlignment="1">
      <alignment vertical="center"/>
    </xf>
    <xf numFmtId="0" fontId="0" fillId="0" borderId="1" xfId="0" applyBorder="1" applyAlignment="1">
      <alignment vertical="center"/>
    </xf>
    <xf numFmtId="0" fontId="2" fillId="0" borderId="0" xfId="0" applyFont="1" applyAlignment="1">
      <alignment vertical="top"/>
    </xf>
    <xf numFmtId="2" fontId="12" fillId="0" borderId="0" xfId="0" applyNumberFormat="1" applyFont="1" applyAlignment="1">
      <alignment horizontal="left" vertical="top"/>
    </xf>
    <xf numFmtId="2" fontId="12" fillId="0" borderId="1" xfId="0" applyNumberFormat="1" applyFont="1" applyBorder="1" applyAlignment="1">
      <alignment horizontal="left" vertical="top"/>
    </xf>
    <xf numFmtId="0" fontId="22" fillId="0" borderId="0" xfId="0" applyFont="1" applyAlignment="1">
      <alignment horizontal="center" vertical="top"/>
    </xf>
    <xf numFmtId="0" fontId="22" fillId="0" borderId="1" xfId="0" applyFont="1" applyBorder="1" applyAlignment="1">
      <alignment horizontal="center" vertical="top"/>
    </xf>
    <xf numFmtId="0" fontId="4" fillId="5" borderId="0" xfId="0" applyFont="1" applyFill="1" applyAlignment="1">
      <alignment horizontal="left" vertical="top" wrapText="1"/>
    </xf>
    <xf numFmtId="0" fontId="12" fillId="6" borderId="1" xfId="0" applyFont="1" applyFill="1" applyBorder="1" applyAlignment="1">
      <alignment horizontal="center" vertical="top" wrapText="1"/>
    </xf>
    <xf numFmtId="2" fontId="0" fillId="12" borderId="0" xfId="0" applyNumberFormat="1" applyFill="1" applyAlignment="1">
      <alignment horizontal="left" vertical="top"/>
    </xf>
    <xf numFmtId="2" fontId="0" fillId="12" borderId="1" xfId="0" applyNumberFormat="1" applyFill="1" applyBorder="1" applyAlignment="1">
      <alignment horizontal="left" vertical="top"/>
    </xf>
    <xf numFmtId="2" fontId="2" fillId="12" borderId="0" xfId="0" applyNumberFormat="1" applyFont="1" applyFill="1" applyAlignment="1">
      <alignment horizontal="left" vertical="top"/>
    </xf>
    <xf numFmtId="2" fontId="2" fillId="12" borderId="1" xfId="0" applyNumberFormat="1" applyFont="1" applyFill="1" applyBorder="1" applyAlignment="1">
      <alignment horizontal="left" vertical="top"/>
    </xf>
    <xf numFmtId="0" fontId="31" fillId="0" borderId="0" xfId="0" applyFont="1" applyAlignment="1">
      <alignment horizontal="left" vertical="top"/>
    </xf>
    <xf numFmtId="0" fontId="31" fillId="0" borderId="0" xfId="0" applyFont="1" applyAlignment="1">
      <alignment vertical="top"/>
    </xf>
    <xf numFmtId="0" fontId="31" fillId="0" borderId="0" xfId="0" applyFont="1" applyAlignment="1">
      <alignment horizontal="center" vertical="top"/>
    </xf>
    <xf numFmtId="0" fontId="31" fillId="0" borderId="1" xfId="0" applyFont="1" applyBorder="1" applyAlignment="1">
      <alignment horizontal="left" vertical="top"/>
    </xf>
    <xf numFmtId="0" fontId="31" fillId="0" borderId="1" xfId="0" applyFont="1" applyBorder="1" applyAlignment="1">
      <alignment vertical="top"/>
    </xf>
    <xf numFmtId="0" fontId="31" fillId="0" borderId="1" xfId="0" applyFont="1" applyBorder="1" applyAlignment="1">
      <alignment horizontal="center" vertical="top"/>
    </xf>
    <xf numFmtId="2" fontId="31" fillId="0" borderId="0" xfId="0" applyNumberFormat="1" applyFont="1" applyAlignment="1">
      <alignment horizontal="left" vertical="top"/>
    </xf>
    <xf numFmtId="2" fontId="31" fillId="0" borderId="1" xfId="0" applyNumberFormat="1" applyFont="1" applyBorder="1" applyAlignment="1">
      <alignment horizontal="left" vertical="top"/>
    </xf>
    <xf numFmtId="0" fontId="2" fillId="12" borderId="0" xfId="0" applyFont="1" applyFill="1" applyAlignment="1">
      <alignment horizontal="left" vertical="top"/>
    </xf>
    <xf numFmtId="0" fontId="0" fillId="0" borderId="4" xfId="0" applyBorder="1" applyAlignment="1">
      <alignment horizontal="center" vertical="top" wrapText="1"/>
    </xf>
    <xf numFmtId="2" fontId="0" fillId="0" borderId="4" xfId="0" applyNumberFormat="1" applyBorder="1" applyAlignment="1">
      <alignment horizontal="center" vertical="top" wrapText="1"/>
    </xf>
    <xf numFmtId="0" fontId="6" fillId="0" borderId="4" xfId="0" applyFont="1" applyBorder="1" applyAlignment="1">
      <alignment horizontal="center" vertical="top" wrapText="1"/>
    </xf>
    <xf numFmtId="2" fontId="0" fillId="0" borderId="3" xfId="0" applyNumberFormat="1" applyBorder="1" applyAlignment="1">
      <alignment horizontal="center" vertical="top" wrapText="1"/>
    </xf>
    <xf numFmtId="0" fontId="6" fillId="0" borderId="3" xfId="0" applyFont="1" applyBorder="1" applyAlignment="1">
      <alignment horizontal="center" vertical="top" wrapText="1"/>
    </xf>
    <xf numFmtId="2" fontId="12" fillId="12" borderId="1" xfId="0" applyNumberFormat="1" applyFont="1" applyFill="1" applyBorder="1" applyAlignment="1">
      <alignment horizontal="left" vertical="top"/>
    </xf>
    <xf numFmtId="0" fontId="12" fillId="12" borderId="0" xfId="0" applyFont="1" applyFill="1" applyAlignment="1">
      <alignment horizontal="center" vertical="center"/>
    </xf>
    <xf numFmtId="0" fontId="6" fillId="0" borderId="0" xfId="0" applyFont="1" applyAlignment="1">
      <alignment horizontal="left" vertical="top" wrapText="1"/>
    </xf>
    <xf numFmtId="0" fontId="6" fillId="0" borderId="1" xfId="0" applyFont="1" applyBorder="1" applyAlignment="1">
      <alignment horizontal="left" vertical="top" wrapText="1"/>
    </xf>
    <xf numFmtId="0" fontId="2" fillId="12" borderId="1" xfId="0" applyFont="1" applyFill="1" applyBorder="1" applyAlignment="1">
      <alignment horizontal="left" vertical="top"/>
    </xf>
    <xf numFmtId="0" fontId="0" fillId="12" borderId="0" xfId="0" applyFill="1" applyAlignment="1">
      <alignment horizontal="center" vertical="top"/>
    </xf>
    <xf numFmtId="0" fontId="0" fillId="12" borderId="1" xfId="0" applyFill="1" applyBorder="1" applyAlignment="1">
      <alignment horizontal="center" vertical="top"/>
    </xf>
    <xf numFmtId="2" fontId="0" fillId="0" borderId="2" xfId="0" applyNumberFormat="1" applyBorder="1" applyAlignment="1">
      <alignment horizontal="left" vertical="top"/>
    </xf>
    <xf numFmtId="0" fontId="12" fillId="12" borderId="0" xfId="0" applyFont="1" applyFill="1" applyAlignment="1">
      <alignment horizontal="center" vertical="top"/>
    </xf>
    <xf numFmtId="0" fontId="12" fillId="12" borderId="1" xfId="0" applyFont="1" applyFill="1" applyBorder="1" applyAlignment="1">
      <alignment horizontal="center" vertical="top"/>
    </xf>
    <xf numFmtId="0" fontId="3" fillId="16" borderId="0" xfId="0" applyFont="1" applyFill="1" applyAlignment="1">
      <alignment horizontal="left" vertical="top"/>
    </xf>
    <xf numFmtId="0" fontId="3" fillId="16" borderId="0" xfId="0" applyFont="1" applyFill="1" applyAlignment="1">
      <alignment horizontal="center" vertical="top"/>
    </xf>
    <xf numFmtId="0" fontId="3" fillId="13" borderId="0" xfId="0" applyFont="1" applyFill="1" applyAlignment="1">
      <alignment horizontal="center" vertical="top"/>
    </xf>
    <xf numFmtId="0" fontId="4" fillId="6" borderId="0" xfId="0" applyFont="1" applyFill="1" applyAlignment="1">
      <alignment horizontal="center" vertical="top"/>
    </xf>
    <xf numFmtId="0" fontId="4" fillId="4" borderId="0" xfId="0" applyFont="1" applyFill="1" applyAlignment="1">
      <alignment horizontal="center" vertical="top"/>
    </xf>
    <xf numFmtId="0" fontId="32" fillId="0" borderId="0" xfId="0" applyFont="1" applyAlignment="1">
      <alignment horizontal="center" vertical="top"/>
    </xf>
    <xf numFmtId="0" fontId="32" fillId="0" borderId="1" xfId="0" applyFont="1" applyBorder="1" applyAlignment="1">
      <alignment horizontal="center" vertical="top"/>
    </xf>
    <xf numFmtId="0" fontId="32" fillId="0" borderId="2" xfId="0" applyFont="1" applyBorder="1" applyAlignment="1">
      <alignment horizontal="center" vertical="top"/>
    </xf>
    <xf numFmtId="0" fontId="12" fillId="0" borderId="0" xfId="0" applyFont="1" applyAlignment="1">
      <alignment horizontal="center" vertical="top"/>
    </xf>
    <xf numFmtId="0" fontId="2" fillId="0" borderId="2" xfId="0" applyFont="1" applyBorder="1" applyAlignment="1">
      <alignment horizontal="center" vertical="top"/>
    </xf>
    <xf numFmtId="0" fontId="33" fillId="0" borderId="2" xfId="0" applyFont="1" applyBorder="1" applyAlignment="1">
      <alignment horizontal="center" vertical="top"/>
    </xf>
    <xf numFmtId="0" fontId="33" fillId="0" borderId="0" xfId="0" applyFont="1" applyAlignment="1">
      <alignment horizontal="center" vertical="top"/>
    </xf>
    <xf numFmtId="0" fontId="33" fillId="0" borderId="1" xfId="0" applyFont="1" applyBorder="1" applyAlignment="1">
      <alignment horizontal="center" vertical="top"/>
    </xf>
    <xf numFmtId="0" fontId="0" fillId="0" borderId="2" xfId="0" applyBorder="1" applyAlignment="1">
      <alignment horizontal="center" vertical="top"/>
    </xf>
    <xf numFmtId="0" fontId="34" fillId="0" borderId="0" xfId="0" applyFont="1" applyAlignment="1">
      <alignment horizontal="center" vertical="top"/>
    </xf>
    <xf numFmtId="0" fontId="34" fillId="0" borderId="1" xfId="0" applyFont="1" applyBorder="1" applyAlignment="1">
      <alignment horizontal="center" vertical="top"/>
    </xf>
    <xf numFmtId="0" fontId="0" fillId="0" borderId="2" xfId="0" applyBorder="1" applyAlignment="1">
      <alignment vertical="center"/>
    </xf>
    <xf numFmtId="0" fontId="35" fillId="0" borderId="0" xfId="0" applyFont="1" applyAlignment="1">
      <alignment horizontal="center" vertical="center"/>
    </xf>
    <xf numFmtId="0" fontId="35" fillId="0" borderId="1" xfId="0" applyFont="1" applyBorder="1" applyAlignment="1">
      <alignment horizontal="center" vertical="center"/>
    </xf>
    <xf numFmtId="0" fontId="4" fillId="2" borderId="0" xfId="0" applyFont="1" applyFill="1" applyAlignment="1">
      <alignment horizontal="center" vertical="top"/>
    </xf>
    <xf numFmtId="0" fontId="28" fillId="0" borderId="0" xfId="0" applyFont="1" applyAlignment="1">
      <alignment horizontal="left" vertical="top"/>
    </xf>
    <xf numFmtId="0" fontId="30" fillId="0" borderId="0" xfId="0" applyFont="1" applyAlignment="1">
      <alignment horizontal="left" vertical="top"/>
    </xf>
    <xf numFmtId="0" fontId="34" fillId="0" borderId="2" xfId="0" applyFont="1" applyBorder="1" applyAlignment="1">
      <alignment horizontal="center" vertical="top"/>
    </xf>
    <xf numFmtId="0" fontId="34" fillId="0" borderId="0" xfId="0" applyFont="1" applyAlignment="1">
      <alignment horizontal="center" vertical="center"/>
    </xf>
    <xf numFmtId="0" fontId="34" fillId="0" borderId="1" xfId="0" applyFont="1" applyBorder="1" applyAlignment="1">
      <alignment horizontal="center" vertical="center"/>
    </xf>
    <xf numFmtId="0" fontId="12" fillId="12" borderId="2" xfId="0" applyFont="1" applyFill="1" applyBorder="1" applyAlignment="1">
      <alignment horizontal="left" vertical="top"/>
    </xf>
    <xf numFmtId="0" fontId="2" fillId="6" borderId="1" xfId="0" applyFont="1" applyFill="1" applyBorder="1" applyAlignment="1">
      <alignment horizontal="left" vertical="top"/>
    </xf>
    <xf numFmtId="0" fontId="4" fillId="5" borderId="0" xfId="0" applyFont="1" applyFill="1" applyAlignment="1">
      <alignment horizontal="center" vertical="top"/>
    </xf>
    <xf numFmtId="0" fontId="5" fillId="5" borderId="0" xfId="0" applyFont="1" applyFill="1" applyAlignment="1">
      <alignment horizontal="center" vertical="top"/>
    </xf>
    <xf numFmtId="2" fontId="4" fillId="2" borderId="0" xfId="0" applyNumberFormat="1" applyFont="1" applyFill="1" applyAlignment="1">
      <alignment horizontal="center" vertical="top"/>
    </xf>
    <xf numFmtId="0" fontId="3" fillId="2" borderId="0" xfId="0" applyFont="1" applyFill="1" applyAlignment="1">
      <alignment horizontal="center" vertical="top"/>
    </xf>
    <xf numFmtId="0" fontId="15" fillId="4" borderId="0" xfId="0" applyFont="1" applyFill="1" applyAlignment="1">
      <alignment horizontal="center" vertical="top"/>
    </xf>
    <xf numFmtId="0" fontId="16" fillId="4" borderId="0" xfId="0" applyFont="1" applyFill="1" applyAlignment="1">
      <alignment horizontal="center" vertical="top"/>
    </xf>
    <xf numFmtId="0" fontId="14" fillId="4" borderId="0" xfId="0" applyFont="1" applyFill="1" applyAlignment="1">
      <alignment horizontal="center" vertical="top"/>
    </xf>
    <xf numFmtId="0" fontId="5" fillId="6" borderId="0" xfId="0" applyFont="1" applyFill="1" applyAlignment="1">
      <alignment horizontal="center" vertical="top"/>
    </xf>
    <xf numFmtId="0" fontId="4" fillId="4" borderId="1" xfId="0" applyFont="1" applyFill="1" applyBorder="1" applyAlignment="1">
      <alignment horizontal="center" vertical="top"/>
    </xf>
    <xf numFmtId="0" fontId="4" fillId="3" borderId="1" xfId="0" applyFont="1" applyFill="1" applyBorder="1" applyAlignment="1">
      <alignment horizontal="center" vertical="top"/>
    </xf>
    <xf numFmtId="0" fontId="7" fillId="9" borderId="0" xfId="0" applyFont="1" applyFill="1" applyAlignment="1">
      <alignment horizontal="center" vertical="top"/>
    </xf>
    <xf numFmtId="2" fontId="12" fillId="12" borderId="0" xfId="0" applyNumberFormat="1" applyFont="1" applyFill="1" applyAlignment="1">
      <alignment horizontal="center" vertical="top"/>
    </xf>
    <xf numFmtId="2" fontId="2" fillId="0" borderId="0" xfId="0" applyNumberFormat="1" applyFont="1" applyAlignment="1">
      <alignment horizontal="center" vertical="top"/>
    </xf>
    <xf numFmtId="0" fontId="10" fillId="0" borderId="0" xfId="0" applyFont="1" applyAlignment="1">
      <alignment horizontal="center" vertical="top"/>
    </xf>
    <xf numFmtId="0" fontId="27" fillId="0" borderId="0" xfId="0" applyFont="1" applyAlignment="1">
      <alignment horizontal="center" vertical="top"/>
    </xf>
    <xf numFmtId="0" fontId="11" fillId="5" borderId="1" xfId="0" applyFont="1" applyFill="1" applyBorder="1" applyAlignment="1">
      <alignment horizontal="center" vertical="top"/>
    </xf>
    <xf numFmtId="2" fontId="2" fillId="0" borderId="1" xfId="0" applyNumberFormat="1" applyFont="1" applyBorder="1" applyAlignment="1">
      <alignment horizontal="center" vertical="top"/>
    </xf>
    <xf numFmtId="0" fontId="10" fillId="0" borderId="1" xfId="0" applyFont="1" applyBorder="1" applyAlignment="1">
      <alignment horizontal="center" vertical="top"/>
    </xf>
    <xf numFmtId="0" fontId="27" fillId="0" borderId="1" xfId="0" applyFont="1" applyBorder="1" applyAlignment="1">
      <alignment horizontal="center" vertical="top"/>
    </xf>
    <xf numFmtId="0" fontId="11" fillId="5" borderId="0" xfId="0" applyFont="1" applyFill="1" applyAlignment="1">
      <alignment horizontal="center" vertical="top"/>
    </xf>
    <xf numFmtId="2" fontId="2" fillId="12" borderId="0" xfId="0" applyNumberFormat="1" applyFont="1" applyFill="1" applyAlignment="1">
      <alignment horizontal="center" vertical="top"/>
    </xf>
    <xf numFmtId="0" fontId="2" fillId="12" borderId="0" xfId="0" applyFont="1" applyFill="1" applyAlignment="1">
      <alignment horizontal="center" vertical="top"/>
    </xf>
    <xf numFmtId="2" fontId="2" fillId="12" borderId="1" xfId="0" applyNumberFormat="1" applyFont="1" applyFill="1" applyBorder="1" applyAlignment="1">
      <alignment horizontal="center" vertical="top"/>
    </xf>
    <xf numFmtId="0" fontId="2" fillId="12" borderId="1" xfId="0" applyFont="1" applyFill="1" applyBorder="1" applyAlignment="1">
      <alignment horizontal="center" vertical="top"/>
    </xf>
    <xf numFmtId="0" fontId="17" fillId="12" borderId="0" xfId="0" applyFont="1" applyFill="1" applyAlignment="1">
      <alignment horizontal="center" vertical="top"/>
    </xf>
    <xf numFmtId="2" fontId="0" fillId="12" borderId="2" xfId="0" applyNumberFormat="1" applyFill="1" applyBorder="1" applyAlignment="1">
      <alignment horizontal="center" vertical="top"/>
    </xf>
    <xf numFmtId="0" fontId="12" fillId="12" borderId="2" xfId="0" applyFont="1" applyFill="1" applyBorder="1" applyAlignment="1">
      <alignment horizontal="center" vertical="top"/>
    </xf>
    <xf numFmtId="2" fontId="0" fillId="12" borderId="0" xfId="0" applyNumberFormat="1" applyFill="1" applyAlignment="1">
      <alignment horizontal="center" vertical="top"/>
    </xf>
    <xf numFmtId="2" fontId="0" fillId="12" borderId="1" xfId="0" applyNumberFormat="1" applyFill="1" applyBorder="1" applyAlignment="1">
      <alignment horizontal="center" vertical="top"/>
    </xf>
    <xf numFmtId="2" fontId="0" fillId="0" borderId="0" xfId="0" applyNumberFormat="1" applyAlignment="1">
      <alignment horizontal="center" vertical="top"/>
    </xf>
    <xf numFmtId="0" fontId="6" fillId="0" borderId="0" xfId="0" applyFont="1" applyAlignment="1">
      <alignment horizontal="center" vertical="top"/>
    </xf>
    <xf numFmtId="2" fontId="0" fillId="0" borderId="1" xfId="0" applyNumberFormat="1" applyBorder="1" applyAlignment="1">
      <alignment horizontal="center" vertical="top"/>
    </xf>
    <xf numFmtId="0" fontId="6" fillId="0" borderId="1" xfId="0" applyFont="1" applyBorder="1" applyAlignment="1">
      <alignment horizontal="center" vertical="top"/>
    </xf>
    <xf numFmtId="0" fontId="0" fillId="13" borderId="0" xfId="0" applyFill="1" applyAlignment="1">
      <alignment horizontal="center" vertical="top"/>
    </xf>
    <xf numFmtId="2" fontId="0" fillId="0" borderId="2" xfId="0" applyNumberFormat="1" applyBorder="1" applyAlignment="1">
      <alignment horizontal="center" vertical="top"/>
    </xf>
    <xf numFmtId="0" fontId="0" fillId="12" borderId="2" xfId="0" applyFill="1" applyBorder="1" applyAlignment="1">
      <alignment horizontal="center" vertical="top"/>
    </xf>
    <xf numFmtId="0" fontId="19" fillId="0" borderId="0" xfId="0" applyFont="1" applyAlignment="1">
      <alignment horizontal="center" vertical="top"/>
    </xf>
    <xf numFmtId="2" fontId="2" fillId="0" borderId="2" xfId="0" applyNumberFormat="1" applyFont="1" applyBorder="1" applyAlignment="1">
      <alignment horizontal="center" vertical="top"/>
    </xf>
    <xf numFmtId="2" fontId="0" fillId="10" borderId="0" xfId="0" applyNumberFormat="1" applyFill="1" applyAlignment="1">
      <alignment horizontal="center" vertical="top"/>
    </xf>
    <xf numFmtId="0" fontId="2" fillId="14" borderId="0" xfId="0" applyFont="1" applyFill="1" applyAlignment="1">
      <alignment horizontal="center" vertical="top"/>
    </xf>
    <xf numFmtId="2" fontId="0" fillId="10" borderId="1" xfId="0" applyNumberFormat="1" applyFill="1" applyBorder="1" applyAlignment="1">
      <alignment horizontal="center" vertical="top"/>
    </xf>
    <xf numFmtId="0" fontId="2" fillId="13" borderId="0" xfId="0" applyFont="1" applyFill="1" applyAlignment="1">
      <alignment horizontal="center" vertical="top"/>
    </xf>
    <xf numFmtId="0" fontId="21" fillId="0" borderId="0" xfId="0" applyFont="1"/>
    <xf numFmtId="0" fontId="26" fillId="0" borderId="0" xfId="0" applyFont="1" applyAlignment="1">
      <alignment horizontal="center" vertical="top"/>
    </xf>
    <xf numFmtId="0" fontId="21" fillId="0" borderId="1" xfId="0" applyFont="1" applyBorder="1"/>
    <xf numFmtId="0" fontId="20" fillId="0" borderId="0" xfId="0" applyFont="1"/>
    <xf numFmtId="2" fontId="12" fillId="0" borderId="0" xfId="0" applyNumberFormat="1" applyFont="1" applyAlignment="1">
      <alignment horizontal="center" vertical="top"/>
    </xf>
    <xf numFmtId="2" fontId="12" fillId="0" borderId="1" xfId="0" applyNumberFormat="1" applyFont="1" applyBorder="1" applyAlignment="1">
      <alignment horizontal="center" vertical="top"/>
    </xf>
    <xf numFmtId="0" fontId="20" fillId="0" borderId="1" xfId="0" applyFont="1" applyBorder="1"/>
    <xf numFmtId="0" fontId="0" fillId="0" borderId="1" xfId="0" applyBorder="1"/>
    <xf numFmtId="2" fontId="22" fillId="0" borderId="0" xfId="0" applyNumberFormat="1" applyFont="1" applyAlignment="1">
      <alignment horizontal="center" vertical="top"/>
    </xf>
    <xf numFmtId="0" fontId="23" fillId="0" borderId="0" xfId="0" applyFont="1" applyAlignment="1">
      <alignment horizontal="left" vertical="top"/>
    </xf>
    <xf numFmtId="0" fontId="23" fillId="0" borderId="1" xfId="0" applyFont="1" applyBorder="1" applyAlignment="1">
      <alignment horizontal="left" vertical="top"/>
    </xf>
    <xf numFmtId="0" fontId="3" fillId="7" borderId="0" xfId="0" applyFont="1" applyFill="1" applyAlignment="1">
      <alignment horizontal="left" vertical="top" wrapText="1"/>
    </xf>
    <xf numFmtId="0" fontId="5" fillId="7" borderId="0" xfId="0" applyFont="1" applyFill="1" applyAlignment="1">
      <alignment horizontal="center" vertical="top" wrapText="1"/>
    </xf>
    <xf numFmtId="0" fontId="2" fillId="7" borderId="0" xfId="0" applyFont="1" applyFill="1" applyAlignment="1">
      <alignment horizontal="center" vertical="top" wrapText="1"/>
    </xf>
    <xf numFmtId="0" fontId="2" fillId="7" borderId="1" xfId="0" applyFont="1" applyFill="1" applyBorder="1" applyAlignment="1">
      <alignment horizontal="center" vertical="top" wrapText="1"/>
    </xf>
    <xf numFmtId="0" fontId="0" fillId="7" borderId="0" xfId="0" applyFill="1" applyAlignment="1">
      <alignment horizontal="center" vertical="top" wrapText="1"/>
    </xf>
    <xf numFmtId="0" fontId="0" fillId="7" borderId="1" xfId="0" applyFill="1" applyBorder="1" applyAlignment="1">
      <alignment horizontal="center" vertical="top" wrapText="1"/>
    </xf>
    <xf numFmtId="0" fontId="12" fillId="7" borderId="0" xfId="0" applyFont="1" applyFill="1" applyAlignment="1">
      <alignment horizontal="center" vertical="top" wrapText="1"/>
    </xf>
    <xf numFmtId="0" fontId="2" fillId="7" borderId="0" xfId="0" applyFont="1" applyFill="1" applyAlignment="1">
      <alignment horizontal="left" vertical="top"/>
    </xf>
    <xf numFmtId="0" fontId="2" fillId="7" borderId="1" xfId="0" applyFont="1" applyFill="1" applyBorder="1" applyAlignment="1">
      <alignment horizontal="left" vertical="top"/>
    </xf>
    <xf numFmtId="0" fontId="0" fillId="7" borderId="0" xfId="0" applyFill="1" applyAlignment="1">
      <alignment horizontal="left" vertical="top"/>
    </xf>
    <xf numFmtId="0" fontId="0" fillId="7" borderId="1" xfId="0" applyFill="1" applyBorder="1" applyAlignment="1">
      <alignment horizontal="left" vertical="top"/>
    </xf>
    <xf numFmtId="0" fontId="5" fillId="7" borderId="0" xfId="0" applyFont="1" applyFill="1" applyAlignment="1">
      <alignment horizontal="center" vertical="top"/>
    </xf>
    <xf numFmtId="0" fontId="2" fillId="7" borderId="0" xfId="0" applyFont="1" applyFill="1" applyAlignment="1">
      <alignment horizontal="center" vertical="top"/>
    </xf>
    <xf numFmtId="0" fontId="2" fillId="7" borderId="1" xfId="0" applyFont="1" applyFill="1" applyBorder="1" applyAlignment="1">
      <alignment horizontal="center" vertical="top"/>
    </xf>
    <xf numFmtId="0" fontId="0" fillId="7" borderId="0" xfId="0" applyFill="1" applyAlignment="1">
      <alignment horizontal="center" vertical="top"/>
    </xf>
    <xf numFmtId="0" fontId="0" fillId="7" borderId="1" xfId="0" applyFill="1" applyBorder="1" applyAlignment="1">
      <alignment horizontal="center" vertical="top"/>
    </xf>
    <xf numFmtId="0" fontId="0" fillId="17" borderId="0" xfId="0" applyFill="1" applyAlignment="1">
      <alignment horizontal="center" vertical="top"/>
    </xf>
    <xf numFmtId="0" fontId="0" fillId="18" borderId="0" xfId="0" applyFill="1" applyAlignment="1">
      <alignment horizontal="center" vertical="top"/>
    </xf>
    <xf numFmtId="0" fontId="0" fillId="18" borderId="0" xfId="0" applyFill="1" applyAlignment="1">
      <alignment horizontal="left" vertical="top"/>
    </xf>
    <xf numFmtId="0" fontId="24" fillId="5" borderId="0" xfId="0" applyFont="1" applyFill="1" applyAlignment="1">
      <alignment horizontal="left" vertical="top"/>
    </xf>
    <xf numFmtId="2" fontId="0" fillId="18" borderId="0" xfId="0" applyNumberFormat="1" applyFill="1" applyAlignment="1">
      <alignment horizontal="left" vertical="top"/>
    </xf>
    <xf numFmtId="0" fontId="6" fillId="18" borderId="0" xfId="0" applyFont="1" applyFill="1" applyAlignment="1">
      <alignment horizontal="left" vertical="top"/>
    </xf>
    <xf numFmtId="0" fontId="2" fillId="18" borderId="0" xfId="0" applyFont="1" applyFill="1" applyAlignment="1">
      <alignment horizontal="left" vertical="top"/>
    </xf>
    <xf numFmtId="0" fontId="0" fillId="18" borderId="0" xfId="0" applyFill="1" applyAlignment="1">
      <alignment vertical="center"/>
    </xf>
    <xf numFmtId="0" fontId="0" fillId="18" borderId="0" xfId="0" applyFill="1" applyAlignment="1">
      <alignment horizontal="center" vertical="center"/>
    </xf>
    <xf numFmtId="0" fontId="0" fillId="19" borderId="0" xfId="0" applyFill="1" applyAlignment="1">
      <alignment horizontal="left" vertical="top"/>
    </xf>
    <xf numFmtId="0" fontId="0" fillId="19" borderId="0" xfId="0" applyFill="1" applyAlignment="1">
      <alignment horizontal="center" vertical="top"/>
    </xf>
    <xf numFmtId="2" fontId="0" fillId="19" borderId="0" xfId="0" applyNumberFormat="1" applyFill="1" applyAlignment="1">
      <alignment horizontal="center" vertical="top"/>
    </xf>
    <xf numFmtId="0" fontId="6" fillId="19" borderId="0" xfId="0" applyFont="1" applyFill="1" applyAlignment="1">
      <alignment horizontal="center" vertical="top"/>
    </xf>
    <xf numFmtId="0" fontId="0" fillId="19" borderId="0" xfId="0" applyFill="1" applyAlignment="1">
      <alignment vertical="top"/>
    </xf>
    <xf numFmtId="0" fontId="22" fillId="19" borderId="0" xfId="0" applyFont="1" applyFill="1" applyAlignment="1">
      <alignment horizontal="center" vertical="top"/>
    </xf>
    <xf numFmtId="0" fontId="32" fillId="19" borderId="2" xfId="0" applyFont="1" applyFill="1" applyBorder="1" applyAlignment="1">
      <alignment horizontal="center" vertical="top"/>
    </xf>
    <xf numFmtId="0" fontId="21" fillId="19" borderId="0" xfId="0" applyFont="1" applyFill="1"/>
    <xf numFmtId="0" fontId="32" fillId="19" borderId="0" xfId="0" applyFont="1" applyFill="1" applyAlignment="1">
      <alignment horizontal="center" vertical="top"/>
    </xf>
    <xf numFmtId="0" fontId="12" fillId="19" borderId="0" xfId="0" applyFont="1" applyFill="1" applyAlignment="1">
      <alignment horizontal="center" vertical="top"/>
    </xf>
    <xf numFmtId="0" fontId="0" fillId="19" borderId="1" xfId="0" applyFill="1" applyBorder="1" applyAlignment="1">
      <alignment horizontal="center" vertical="top"/>
    </xf>
    <xf numFmtId="0" fontId="0" fillId="19" borderId="1" xfId="0" applyFill="1" applyBorder="1" applyAlignment="1">
      <alignment horizontal="left" vertical="top"/>
    </xf>
    <xf numFmtId="0" fontId="21" fillId="19" borderId="1" xfId="0" applyFont="1" applyFill="1" applyBorder="1"/>
    <xf numFmtId="2" fontId="0" fillId="19" borderId="1" xfId="0" applyNumberFormat="1" applyFill="1" applyBorder="1" applyAlignment="1">
      <alignment horizontal="center" vertical="top"/>
    </xf>
    <xf numFmtId="0" fontId="0" fillId="19" borderId="1" xfId="0" applyFill="1" applyBorder="1" applyAlignment="1">
      <alignment vertical="top"/>
    </xf>
    <xf numFmtId="0" fontId="32" fillId="19" borderId="1" xfId="0" applyFont="1" applyFill="1" applyBorder="1" applyAlignment="1">
      <alignment horizontal="center" vertical="top"/>
    </xf>
    <xf numFmtId="0" fontId="2" fillId="19" borderId="0" xfId="0" applyFont="1" applyFill="1" applyAlignment="1">
      <alignment horizontal="left" vertical="top"/>
    </xf>
    <xf numFmtId="2" fontId="0" fillId="19" borderId="0" xfId="0" applyNumberFormat="1" applyFill="1" applyAlignment="1">
      <alignment horizontal="left" vertical="top"/>
    </xf>
    <xf numFmtId="0" fontId="6" fillId="19" borderId="0" xfId="0" applyFont="1" applyFill="1" applyAlignment="1">
      <alignment horizontal="left" vertical="top"/>
    </xf>
    <xf numFmtId="0" fontId="0" fillId="19" borderId="0" xfId="0" applyFill="1" applyAlignment="1">
      <alignment vertical="center"/>
    </xf>
    <xf numFmtId="0" fontId="0" fillId="19" borderId="0" xfId="0" applyFill="1" applyAlignment="1">
      <alignment horizontal="center" vertical="center"/>
    </xf>
    <xf numFmtId="0" fontId="2" fillId="5" borderId="2" xfId="0" applyFont="1" applyFill="1" applyBorder="1" applyAlignment="1">
      <alignment horizontal="center" vertical="top"/>
    </xf>
    <xf numFmtId="0" fontId="12" fillId="5" borderId="0" xfId="0" applyFont="1" applyFill="1" applyAlignment="1">
      <alignment horizontal="center" vertical="top"/>
    </xf>
    <xf numFmtId="0" fontId="19" fillId="5" borderId="1" xfId="0" applyFont="1" applyFill="1" applyBorder="1" applyAlignment="1">
      <alignment horizontal="center" vertical="top"/>
    </xf>
    <xf numFmtId="0" fontId="2" fillId="5" borderId="5" xfId="0" applyFont="1" applyFill="1" applyBorder="1" applyAlignment="1">
      <alignment horizontal="center" vertical="top"/>
    </xf>
    <xf numFmtId="0" fontId="12" fillId="5" borderId="0" xfId="0" applyFont="1" applyFill="1" applyAlignment="1">
      <alignment vertical="top"/>
    </xf>
    <xf numFmtId="0" fontId="0" fillId="19" borderId="0" xfId="0" applyFill="1"/>
    <xf numFmtId="0" fontId="0" fillId="2" borderId="0" xfId="0" applyFill="1"/>
    <xf numFmtId="0" fontId="13" fillId="4" borderId="0" xfId="0" applyFont="1" applyFill="1"/>
    <xf numFmtId="0" fontId="0" fillId="7" borderId="0" xfId="0" applyFill="1"/>
    <xf numFmtId="0" fontId="0" fillId="10" borderId="0" xfId="0" applyFill="1"/>
    <xf numFmtId="0" fontId="9" fillId="5" borderId="0" xfId="0" applyFont="1" applyFill="1" applyAlignment="1">
      <alignment vertical="top"/>
    </xf>
    <xf numFmtId="0" fontId="2" fillId="19" borderId="2" xfId="0" applyFont="1" applyFill="1" applyBorder="1" applyAlignment="1">
      <alignment horizontal="left" vertical="top"/>
    </xf>
    <xf numFmtId="0" fontId="2" fillId="19" borderId="2" xfId="0" applyFont="1" applyFill="1" applyBorder="1" applyAlignment="1">
      <alignment horizontal="center" vertical="top"/>
    </xf>
    <xf numFmtId="0" fontId="0" fillId="19" borderId="2" xfId="0" applyFill="1" applyBorder="1" applyAlignment="1">
      <alignment horizontal="left" vertical="top"/>
    </xf>
    <xf numFmtId="0" fontId="12" fillId="19" borderId="0" xfId="0" applyFont="1" applyFill="1" applyAlignment="1">
      <alignment horizontal="left" vertical="top"/>
    </xf>
    <xf numFmtId="0" fontId="20" fillId="19" borderId="0" xfId="0" applyFont="1" applyFill="1" applyAlignment="1">
      <alignment horizontal="left" vertical="top"/>
    </xf>
    <xf numFmtId="0" fontId="2" fillId="19" borderId="1" xfId="0" applyFont="1" applyFill="1" applyBorder="1" applyAlignment="1">
      <alignment horizontal="left" vertical="top"/>
    </xf>
    <xf numFmtId="0" fontId="2" fillId="19" borderId="1" xfId="0" applyFont="1" applyFill="1" applyBorder="1" applyAlignment="1">
      <alignment horizontal="center" vertical="top"/>
    </xf>
    <xf numFmtId="2" fontId="0" fillId="19" borderId="1" xfId="0" applyNumberFormat="1" applyFill="1" applyBorder="1" applyAlignment="1">
      <alignment horizontal="left" vertical="top"/>
    </xf>
    <xf numFmtId="0" fontId="6" fillId="19" borderId="1" xfId="0" applyFont="1" applyFill="1" applyBorder="1" applyAlignment="1">
      <alignment horizontal="left" vertical="top"/>
    </xf>
    <xf numFmtId="0" fontId="12" fillId="19" borderId="1" xfId="0" applyFont="1" applyFill="1" applyBorder="1" applyAlignment="1">
      <alignment horizontal="left" vertical="top"/>
    </xf>
    <xf numFmtId="0" fontId="2" fillId="19" borderId="0" xfId="0" applyFont="1" applyFill="1" applyAlignment="1">
      <alignment horizontal="center" vertical="top"/>
    </xf>
    <xf numFmtId="2" fontId="22" fillId="19" borderId="0" xfId="0" applyNumberFormat="1" applyFont="1" applyFill="1" applyAlignment="1">
      <alignment horizontal="left" vertical="top"/>
    </xf>
    <xf numFmtId="0" fontId="22" fillId="19" borderId="0" xfId="0" applyFont="1" applyFill="1" applyAlignment="1">
      <alignment horizontal="left" vertical="top"/>
    </xf>
    <xf numFmtId="0" fontId="34" fillId="19" borderId="0" xfId="0" applyFont="1" applyFill="1" applyAlignment="1">
      <alignment horizontal="center" vertical="top"/>
    </xf>
    <xf numFmtId="0" fontId="0" fillId="19" borderId="1" xfId="0" applyFill="1" applyBorder="1" applyAlignment="1">
      <alignment vertical="center"/>
    </xf>
    <xf numFmtId="0" fontId="0" fillId="19" borderId="1" xfId="0" applyFill="1" applyBorder="1" applyAlignment="1">
      <alignment horizontal="center" vertical="center"/>
    </xf>
    <xf numFmtId="0" fontId="12" fillId="19" borderId="1" xfId="0" applyFont="1" applyFill="1" applyBorder="1" applyAlignment="1">
      <alignment horizontal="center" vertical="top"/>
    </xf>
    <xf numFmtId="0" fontId="34" fillId="19" borderId="1" xfId="0" applyFont="1" applyFill="1" applyBorder="1" applyAlignment="1">
      <alignment horizontal="center" vertical="top"/>
    </xf>
    <xf numFmtId="0" fontId="0" fillId="20" borderId="0" xfId="0" applyFill="1"/>
    <xf numFmtId="0" fontId="0" fillId="3" borderId="0" xfId="0" applyFill="1"/>
    <xf numFmtId="0" fontId="5" fillId="13" borderId="0" xfId="0" applyFont="1" applyFill="1" applyAlignment="1">
      <alignment horizontal="left" vertical="top"/>
    </xf>
    <xf numFmtId="0" fontId="0" fillId="13" borderId="0" xfId="0" applyFill="1" applyAlignment="1">
      <alignment horizontal="left" vertical="top"/>
    </xf>
    <xf numFmtId="49" fontId="4" fillId="2" borderId="0" xfId="0" applyNumberFormat="1" applyFont="1" applyFill="1" applyAlignment="1">
      <alignment horizontal="center" vertical="top"/>
    </xf>
    <xf numFmtId="49" fontId="2" fillId="0" borderId="0" xfId="0" applyNumberFormat="1" applyFont="1" applyAlignment="1">
      <alignment horizontal="center" vertical="top"/>
    </xf>
    <xf numFmtId="49" fontId="2" fillId="0" borderId="1" xfId="0" applyNumberFormat="1" applyFont="1" applyBorder="1" applyAlignment="1">
      <alignment horizontal="center" vertical="top"/>
    </xf>
    <xf numFmtId="49" fontId="0" fillId="0" borderId="0" xfId="0" applyNumberFormat="1" applyAlignment="1">
      <alignment horizontal="center" vertical="top"/>
    </xf>
    <xf numFmtId="49" fontId="0" fillId="0" borderId="1" xfId="0" applyNumberFormat="1" applyBorder="1" applyAlignment="1">
      <alignment horizontal="center" vertical="top"/>
    </xf>
    <xf numFmtId="49" fontId="12" fillId="12" borderId="0" xfId="0" applyNumberFormat="1" applyFont="1" applyFill="1" applyAlignment="1">
      <alignment horizontal="center" vertical="top"/>
    </xf>
    <xf numFmtId="49" fontId="0" fillId="0" borderId="2" xfId="0" applyNumberFormat="1" applyBorder="1" applyAlignment="1">
      <alignment horizontal="center" vertical="top"/>
    </xf>
    <xf numFmtId="49" fontId="0" fillId="19" borderId="0" xfId="0" applyNumberFormat="1" applyFill="1" applyAlignment="1">
      <alignment horizontal="center" vertical="top"/>
    </xf>
    <xf numFmtId="49" fontId="21" fillId="19" borderId="0" xfId="0" applyNumberFormat="1" applyFont="1" applyFill="1"/>
    <xf numFmtId="49" fontId="21" fillId="19" borderId="1" xfId="0" applyNumberFormat="1" applyFont="1" applyFill="1" applyBorder="1"/>
    <xf numFmtId="49" fontId="0" fillId="0" borderId="0" xfId="0" applyNumberFormat="1" applyAlignment="1">
      <alignment horizontal="left" vertical="top"/>
    </xf>
    <xf numFmtId="49" fontId="0" fillId="0" borderId="1" xfId="0" applyNumberFormat="1" applyBorder="1" applyAlignment="1">
      <alignment horizontal="left" vertical="top"/>
    </xf>
    <xf numFmtId="49" fontId="0" fillId="19" borderId="0" xfId="0" applyNumberFormat="1" applyFill="1" applyAlignment="1">
      <alignment horizontal="left" vertical="top"/>
    </xf>
    <xf numFmtId="49" fontId="0" fillId="19" borderId="1" xfId="0" applyNumberFormat="1" applyFill="1" applyBorder="1" applyAlignment="1">
      <alignment horizontal="left" vertical="top"/>
    </xf>
    <xf numFmtId="49" fontId="2" fillId="0" borderId="0" xfId="0" applyNumberFormat="1" applyFont="1" applyAlignment="1">
      <alignment horizontal="left" vertical="top"/>
    </xf>
    <xf numFmtId="49" fontId="2" fillId="0" borderId="1" xfId="0" applyNumberFormat="1" applyFont="1" applyBorder="1" applyAlignment="1">
      <alignment horizontal="left" vertical="top"/>
    </xf>
    <xf numFmtId="49" fontId="0" fillId="12" borderId="0" xfId="0" applyNumberFormat="1" applyFill="1" applyAlignment="1">
      <alignment horizontal="left" vertical="top"/>
    </xf>
    <xf numFmtId="49" fontId="0" fillId="12" borderId="1" xfId="0" applyNumberFormat="1" applyFill="1" applyBorder="1" applyAlignment="1">
      <alignment horizontal="left" vertical="top"/>
    </xf>
    <xf numFmtId="49" fontId="0" fillId="0" borderId="2" xfId="0" applyNumberFormat="1" applyBorder="1" applyAlignment="1">
      <alignment horizontal="left" vertical="top"/>
    </xf>
    <xf numFmtId="49" fontId="0" fillId="18" borderId="0" xfId="0" applyNumberFormat="1" applyFill="1" applyAlignment="1">
      <alignment horizontal="left" vertical="top"/>
    </xf>
    <xf numFmtId="0" fontId="12" fillId="0" borderId="0" xfId="0" applyFont="1"/>
    <xf numFmtId="0" fontId="0" fillId="21" borderId="0" xfId="0" applyFill="1"/>
    <xf numFmtId="2" fontId="0" fillId="21" borderId="0" xfId="0" applyNumberFormat="1" applyFill="1"/>
    <xf numFmtId="2" fontId="0" fillId="4" borderId="0" xfId="0" applyNumberFormat="1" applyFill="1"/>
    <xf numFmtId="0" fontId="0" fillId="13" borderId="0" xfId="0" applyFill="1"/>
    <xf numFmtId="2" fontId="0" fillId="13" borderId="0" xfId="0" applyNumberFormat="1" applyFill="1"/>
    <xf numFmtId="0" fontId="0" fillId="22" borderId="0" xfId="0" applyFill="1" applyAlignment="1">
      <alignment horizontal="center" vertical="center"/>
    </xf>
    <xf numFmtId="0" fontId="0" fillId="22" borderId="0" xfId="0" applyFill="1" applyAlignment="1">
      <alignment horizontal="center" vertical="top"/>
    </xf>
    <xf numFmtId="0" fontId="0" fillId="22" borderId="0" xfId="0" applyFill="1"/>
    <xf numFmtId="0" fontId="0" fillId="22" borderId="1" xfId="0" applyFill="1" applyBorder="1" applyAlignment="1">
      <alignment horizontal="center" vertical="center"/>
    </xf>
    <xf numFmtId="0" fontId="0" fillId="22" borderId="1" xfId="0" applyFill="1" applyBorder="1" applyAlignment="1">
      <alignment horizontal="center" vertical="top"/>
    </xf>
    <xf numFmtId="0" fontId="0" fillId="22" borderId="0" xfId="0" applyFill="1" applyAlignment="1">
      <alignment horizontal="center"/>
    </xf>
    <xf numFmtId="0" fontId="2" fillId="22" borderId="0" xfId="0" applyFont="1" applyFill="1" applyAlignment="1">
      <alignment horizontal="center" vertical="top"/>
    </xf>
    <xf numFmtId="0" fontId="0" fillId="22" borderId="1" xfId="0" applyFill="1" applyBorder="1" applyAlignment="1">
      <alignment horizontal="center"/>
    </xf>
    <xf numFmtId="0" fontId="2" fillId="22" borderId="1" xfId="0" applyFont="1" applyFill="1" applyBorder="1" applyAlignment="1">
      <alignment horizontal="center" vertical="top"/>
    </xf>
    <xf numFmtId="0" fontId="0" fillId="23" borderId="0" xfId="0" applyFill="1"/>
    <xf numFmtId="2" fontId="0" fillId="23" borderId="0" xfId="0" applyNumberFormat="1" applyFill="1"/>
    <xf numFmtId="0" fontId="0" fillId="4" borderId="0" xfId="0" applyFill="1"/>
    <xf numFmtId="0" fontId="2" fillId="3" borderId="0" xfId="0" applyFont="1" applyFill="1" applyAlignment="1">
      <alignment horizontal="left" vertical="top"/>
    </xf>
    <xf numFmtId="0" fontId="2" fillId="3" borderId="0" xfId="0" applyFont="1" applyFill="1" applyAlignment="1">
      <alignment horizontal="center" vertical="top"/>
    </xf>
    <xf numFmtId="0" fontId="0" fillId="3" borderId="0" xfId="0" applyFill="1" applyAlignment="1">
      <alignment horizontal="left" vertical="top"/>
    </xf>
    <xf numFmtId="0" fontId="0" fillId="3" borderId="0" xfId="0" applyFill="1" applyAlignment="1">
      <alignment horizontal="center" vertical="top"/>
    </xf>
    <xf numFmtId="49" fontId="0" fillId="3" borderId="0" xfId="0" applyNumberFormat="1" applyFill="1" applyAlignment="1">
      <alignment horizontal="left" vertical="top"/>
    </xf>
    <xf numFmtId="2" fontId="0" fillId="3" borderId="0" xfId="0" applyNumberFormat="1" applyFill="1" applyAlignment="1">
      <alignment horizontal="left" vertical="top"/>
    </xf>
    <xf numFmtId="0" fontId="6" fillId="3" borderId="0" xfId="0" applyFont="1" applyFill="1" applyAlignment="1">
      <alignment horizontal="left" vertical="top"/>
    </xf>
    <xf numFmtId="0" fontId="2" fillId="20" borderId="0" xfId="0" applyFont="1" applyFill="1" applyAlignment="1">
      <alignment horizontal="left" vertical="top"/>
    </xf>
    <xf numFmtId="0" fontId="2" fillId="20" borderId="0" xfId="0" applyFont="1" applyFill="1" applyAlignment="1">
      <alignment horizontal="center" vertical="top"/>
    </xf>
    <xf numFmtId="0" fontId="0" fillId="20" borderId="0" xfId="0" applyFill="1" applyAlignment="1">
      <alignment horizontal="left" vertical="top"/>
    </xf>
    <xf numFmtId="0" fontId="0" fillId="20" borderId="0" xfId="0" applyFill="1" applyAlignment="1">
      <alignment horizontal="center" vertical="top"/>
    </xf>
    <xf numFmtId="49" fontId="0" fillId="20" borderId="0" xfId="0" applyNumberFormat="1" applyFill="1" applyAlignment="1">
      <alignment horizontal="left" vertical="top"/>
    </xf>
    <xf numFmtId="2" fontId="0" fillId="20" borderId="0" xfId="0" applyNumberFormat="1" applyFill="1" applyAlignment="1">
      <alignment horizontal="left" vertical="top"/>
    </xf>
    <xf numFmtId="0" fontId="6" fillId="20" borderId="0" xfId="0" applyFont="1" applyFill="1" applyAlignment="1">
      <alignment horizontal="left" vertical="top"/>
    </xf>
    <xf numFmtId="0" fontId="0" fillId="3" borderId="0" xfId="0" applyFill="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top"/>
    </xf>
    <xf numFmtId="0" fontId="0" fillId="17" borderId="0" xfId="0" applyFill="1"/>
    <xf numFmtId="1" fontId="0" fillId="2" borderId="0" xfId="0" applyNumberFormat="1" applyFill="1"/>
    <xf numFmtId="1" fontId="0" fillId="0" borderId="0" xfId="0" applyNumberFormat="1"/>
    <xf numFmtId="49" fontId="12" fillId="0" borderId="0" xfId="0" applyNumberFormat="1" applyFont="1" applyAlignment="1">
      <alignment horizontal="left" vertical="top"/>
    </xf>
    <xf numFmtId="49" fontId="12" fillId="0" borderId="1" xfId="0" applyNumberFormat="1" applyFont="1" applyBorder="1" applyAlignment="1">
      <alignment horizontal="left" vertical="top"/>
    </xf>
    <xf numFmtId="2" fontId="0" fillId="3" borderId="0" xfId="0" applyNumberFormat="1" applyFill="1"/>
    <xf numFmtId="0" fontId="9" fillId="5" borderId="0" xfId="0" applyFont="1" applyFill="1" applyAlignment="1">
      <alignment horizontal="left" vertical="top" wrapText="1"/>
    </xf>
    <xf numFmtId="0" fontId="3" fillId="8" borderId="0" xfId="0" applyFont="1" applyFill="1" applyAlignment="1">
      <alignment horizontal="center" vertical="top" wrapText="1"/>
    </xf>
    <xf numFmtId="0" fontId="3" fillId="2"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center" vertical="top" wrapText="1"/>
    </xf>
    <xf numFmtId="0" fontId="3" fillId="10"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xf>
  </cellXfs>
  <cellStyles count="1">
    <cellStyle name="Normal" xfId="0" builtinId="0"/>
  </cellStyles>
  <dxfs count="47">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53</xdr:col>
      <xdr:colOff>2368774</xdr:colOff>
      <xdr:row>88</xdr:row>
      <xdr:rowOff>38966</xdr:rowOff>
    </xdr:from>
    <xdr:to>
      <xdr:col>54</xdr:col>
      <xdr:colOff>983828</xdr:colOff>
      <xdr:row>91</xdr:row>
      <xdr:rowOff>79580</xdr:rowOff>
    </xdr:to>
    <xdr:pic>
      <xdr:nvPicPr>
        <xdr:cNvPr id="2" name="Picture 1">
          <a:extLst>
            <a:ext uri="{FF2B5EF4-FFF2-40B4-BE49-F238E27FC236}">
              <a16:creationId xmlns:a16="http://schemas.microsoft.com/office/drawing/2014/main" id="{9FF8F3BC-947A-4449-8BB1-7393E502BF09}"/>
            </a:ext>
          </a:extLst>
        </xdr:cNvPr>
        <xdr:cNvPicPr>
          <a:picLocks noChangeAspect="1"/>
        </xdr:cNvPicPr>
      </xdr:nvPicPr>
      <xdr:blipFill>
        <a:blip xmlns:r="http://schemas.openxmlformats.org/officeDocument/2006/relationships" r:embed="rId1"/>
        <a:stretch>
          <a:fillRect/>
        </a:stretch>
      </xdr:blipFill>
      <xdr:spPr>
        <a:xfrm>
          <a:off x="36602579" y="7625249"/>
          <a:ext cx="1087621" cy="65875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Nayoung Yoon" id="{925649D1-D5F8-4399-B9C5-7F9921F3C96F}" userId="" providerId=""/>
  <person displayName="Nayoung Yoon" id="{7F4078CD-54DC-EC49-A0B0-D0648D525105}" userId="Nayoung Yoon" providerId="None"/>
  <person displayName="Yixian Huang" id="{542FBE7B-16E6-FF49-8176-FA733018590F}" userId="Yixian Huang" providerId="None"/>
  <person displayName="Huang, Yixian" id="{DAE40A29-3132-E340-9532-04353316326C}" userId="S::yh23753@my.utexas.edu::b8de5be3-e76c-42cc-80a8-1c481fb714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1" dT="2024-12-26T19:58:30.18" personId="{DAE40A29-3132-E340-9532-04353316326C}" id="{66584D4E-4D6D-8E45-A974-0D51E440E767}">
    <text xml:space="preserve">BASIC CODE
</text>
  </threadedComment>
  <threadedComment ref="AL1" dT="2024-12-27T22:41:42.75" personId="{DAE40A29-3132-E340-9532-04353316326C}" id="{1FC62B67-F774-DD45-A9D3-F57185072392}">
    <text>Coding note:
When article report “mixed-ability” we code 20% for struggling reader, an NA for disability.</text>
  </threadedComment>
</ThreadedComments>
</file>

<file path=xl/threadedComments/threadedComment2.xml><?xml version="1.0" encoding="utf-8"?>
<ThreadedComments xmlns="http://schemas.microsoft.com/office/spreadsheetml/2018/threadedcomments" xmlns:x="http://schemas.openxmlformats.org/spreadsheetml/2006/main">
  <threadedComment ref="AB17" dT="2024-05-23T18:13:32.63" personId="{542FBE7B-16E6-FF49-8176-FA733018590F}" id="{6A3E6349-88F5-2446-A89B-C73625FC7B0A}">
    <text xml:space="preserve">Read naturally is a published program that is scripted.
</text>
  </threadedComment>
  <threadedComment ref="AD22" dT="2024-06-07T15:26:46.81" personId="{DAE40A29-3132-E340-9532-04353316326C}" id="{C5C631C7-026D-3F4E-B0C4-B090BF2323EE}">
    <text>Subjects assigned to the same experimental condition met in groups of five in a private room with a female instructor, who was a member of the project staff from outside the school. There were two small groups for each experimental condition (total of six groups). The order in which groups met with the instructor was rotated to eliminate potential effects due to meeting time.</text>
  </threadedComment>
  <threadedComment ref="AI22" dT="2024-06-07T15:54:50.16" personId="{DAE40A29-3132-E340-9532-04353316326C}" id="{03A313D3-3105-B54D-B163-6E78D765E932}">
    <text>Our periodic observations of the sessions confirmed they were implemented correctly and that subjects maintained interest.</text>
  </threadedComment>
  <threadedComment ref="AT35" dT="2024-12-20T19:20:35.04" personId="{DAE40A29-3132-E340-9532-04353316326C}" id="{450F0153-0036-294B-A1BA-A59794FB7DDD}">
    <text>Not the same sample participate in the follow up test.</text>
  </threadedComment>
  <threadedComment ref="N39" dT="2024-12-26T02:38:20.76" personId="{DAE40A29-3132-E340-9532-04353316326C}" id="{F5F37210-1F5C-C94F-89B0-862E141B17E1}">
    <text xml:space="preserve">Or NV
</text>
  </threadedComment>
  <threadedComment ref="AF39" dT="2024-06-07T16:03:30.95" personId="{DAE40A29-3132-E340-9532-04353316326C}" id="{15367638-EFAC-0C41-B55C-5B4FA7B2AA11}">
    <text xml:space="preserve">6-week teacher-delivered integrated-class -&gt; we can assume this is part of their daily school lesson, so I count 6*5=30 as the total number of  sessions. The Email group can add two 30-min email sessions as described in the text. </text>
  </threadedComment>
  <threadedComment ref="AI39" dT="2024-06-07T16:04:56.80" personId="{DAE40A29-3132-E340-9532-04353316326C}" id="{2826D8F8-8C46-8E40-A385-B99C9D0B935A}">
    <text xml:space="preserve">The email process is monitored. 
</text>
  </threadedComment>
  <threadedComment ref="V45" dT="2024-06-07T20:00:50.44" personId="{DAE40A29-3132-E340-9532-04353316326C}" id="{5F59C648-AD66-D143-97E3-D07BBF4AA490}">
    <text>Further, the girls were from same socio-economic status. The girls’ mothers are housewives and their fathers’ occupations are primarily governmental ones with salaries that range between 350 and 420 Jordanian Dinars.</text>
  </threadedComment>
  <threadedComment ref="AD45" dT="2024-06-07T16:56:45.42" personId="{DAE40A29-3132-E340-9532-04353316326C}" id="{276439B1-2C39-5F42-8BA2-E635AC9D8596}">
    <text>The students in CORI classes (M = 4.180) outperformed the students in the control group (M = 3.655),</text>
  </threadedComment>
  <threadedComment ref="AF45" dT="2024-06-12T18:33:21.32" personId="{DAE40A29-3132-E340-9532-04353316326C}" id="{B9E69DB7-82CB-9449-B6FA-3A8C63FA9C64}">
    <text xml:space="preserve">The 50-minute daily reading intervention program, implemented in the beginning of the second semester 2014 (from February to the end of May), was the main reading program for the total of 16 weeks.
</text>
  </threadedComment>
  <threadedComment ref="AF47" dT="2024-06-07T18:42:23.34" personId="{DAE40A29-3132-E340-9532-04353316326C}" id="{9D170BF5-35AC-C44C-B49F-0E611B2F2558}">
    <text xml:space="preserve">Pretest =   Oct  -  Nov
Post-test = May - July
Duration:     7.5 months
</text>
  </threadedComment>
  <threadedComment ref="V49" dT="2024-06-07T19:06:49.19" personId="{DAE40A29-3132-E340-9532-04353316326C}" id="{824C0FE7-EFC0-EA46-AE54-E4D7B32EEAA5}">
    <text>In addition, the SI schools were relatively high in SES and entering achievement. Thus, two of the highest achievement classrooms in SI schools and two of the lowestachieving classrooms in CORI schools were dropped to equate the entering reading achievement levels. This permitted the equivalent groups, pre- and postdesign analyses to be performed. There were 315 students included in these analyses.</text>
  </threadedComment>
  <threadedComment ref="AC49" dT="2024-06-07T19:06:13.29" personId="{DAE40A29-3132-E340-9532-04353316326C}" id="{EE120BF1-D8ED-4B44-BBB1-C3826D087EC8}">
    <text>The instructional models were not scripts and required extensive expertise that not all teachers acquired.</text>
  </threadedComment>
  <threadedComment ref="AM50" dT="2024-07-10T20:35:20.38" personId="{DAE40A29-3132-E340-9532-04353316326C}" id="{F2F510CC-3C04-5042-9FDC-AB132CA93F06}">
    <text xml:space="preserve">Across-time correlation of these responses for parallel forms was r (151) = 0.46, p &lt; .001.
</text>
  </threadedComment>
  <threadedComment ref="M55" dT="2024-06-12T18:50:20.39" personId="{DAE40A29-3132-E340-9532-04353316326C}" id="{9B49A14A-86A7-844F-B190-67A6FBD98089}">
    <text xml:space="preserve">Data analysis
A quasi-experimental pre-post design consisting of an IG and a CG in first grade was used.
</text>
  </threadedComment>
  <threadedComment ref="S55" dT="2024-06-12T18:21:38.62" personId="{DAE40A29-3132-E340-9532-04353316326C}" id="{59D08123-DB9B-E54B-83D4-5DD256E67B1C}">
    <text>7 years and 6 months
= 7 + 6/12 = 7.5</text>
  </threadedComment>
  <threadedComment ref="W55" dT="2024-06-12T18:23:28.12" personId="{DAE40A29-3132-E340-9532-04353316326C}" id="{0C67F604-5E6C-0547-88E8-FCDF095251CC}">
    <text xml:space="preserve">58 native Hebrew-speaking children,
</text>
  </threadedComment>
  <threadedComment ref="AF55" dT="2024-06-09T20:05:44.03" personId="{DAE40A29-3132-E340-9532-04353316326C}" id="{4608B7E3-AFDC-A248-B817-BEB29833D130}">
    <text>A six-month intervention (6*4 week), 5 days a week, 2 sessions per day, 45 minute per session.</text>
  </threadedComment>
  <threadedComment ref="AH55" dT="2024-06-12T18:52:01.53" personId="{DAE40A29-3132-E340-9532-04353316326C}" id="{79841158-8AF9-F047-AD85-D356167F9CA1}">
    <text xml:space="preserve">two weekly lessons (90minutes)
</text>
  </threadedComment>
  <threadedComment ref="M57" dT="2024-06-23T14:34:38.38" personId="{DAE40A29-3132-E340-9532-04353316326C}" id="{49B3072B-6D1D-4849-B4C6-B5F5FD45EBD0}">
    <text xml:space="preserve">Although the authors stated “We used a non-equivalent groups pretest-posttest design. (p. 525)”, their pre-test data on RC and motivational measures are non-significant (p. 531, Table 3). Therefore, we consider the groups are matched.
</text>
  </threadedComment>
  <threadedComment ref="Y57" dT="2024-07-05T19:03:33.10" personId="{DAE40A29-3132-E340-9532-04353316326C}" id="{B685148D-65F6-1E47-B52B-41C00D4DCB29}">
    <text xml:space="preserve">The vast majority of the participants were white native speakers of Norwegian, with only 14 participants (12 in the intervention group, 2 in the control group) having a first language other than Norwegian,
</text>
  </threadedComment>
  <threadedComment ref="AB57" dT="2024-07-05T19:06:23.82" personId="{DAE40A29-3132-E340-9532-04353316326C}" id="{3FFA45E4-625C-8A49-AF9B-6E28F771F213}">
    <text xml:space="preserve">P55 The instructional content consisted of topics from the Norwegian national fifth-grade social studies curriculum. This content area was chosen because all teachers involved in the intervention taught social studies in their fifth-grade class- rooms. Moreover, social studies require extensive expository text comprehension. The specific topics of instruction were Nordic Stone Age, Bronze Age, and Iron Age, as well as Norwegian natural landscape and geography. The same topics were taught in the same order to the control group during the same period. Within ERCI, teachers attempted to use the following four instructional practices, which were derived from the principles of relevant background knowledge, reading comprehension strategies, reading-group organization, and reading motivation (see above).
</text>
  </threadedComment>
  <threadedComment ref="AS57" dT="2024-06-23T14:54:56.54" personId="{DAE40A29-3132-E340-9532-04353316326C}" id="{AD11070F-36B7-7E40-8EAE-EC5DE0FD6BEE}">
    <text>p. 532. The third research question, concerning the effects of our intervention on reading comprehension … Eighty-nine students in the intervention group and 90 students in the control group had complete data sets and were available for this analysis.</text>
  </threadedComment>
  <threadedComment ref="AS58" dT="2024-06-23T14:54:56.54" personId="{DAE40A29-3132-E340-9532-04353316326C}" id="{C7282ED4-865D-564A-97BF-F8C8ACDF7F83}">
    <text>p. 532. The third research question, concerning the effects of our intervention on reading comprehension … Eighty-nine students in the intervention group and 90 students in the control group had complete data sets and were available for this analysis.</text>
  </threadedComment>
  <threadedComment ref="M65" dT="2024-06-23T15:51:22.20" personId="{DAE40A29-3132-E340-9532-04353316326C}" id="{1810750F-36C5-FB42-A27D-F2EC1B7DA355}">
    <text>The groups were selected so that the conditions were dispersed between the teachers, with each teacher teaching two different conditions to control for teacher effects: teacher 1 taught a control condition and a textbook ISR condition, teacher 2 taught a control condition and a module ISR condition, and teacher 3 taught a textbook ISR condition and a module ISR condition.</text>
  </threadedComment>
  <threadedComment ref="M65" dT="2024-06-23T15:51:31.95" personId="{DAE40A29-3132-E340-9532-04353316326C}" id="{4AABF968-77C7-7B41-9222-553DBA52CCBA}" parentId="{1810750F-36C5-FB42-A27D-F2EC1B7DA355}">
    <text>and the school randomly assigned those students to the classes in this study.</text>
  </threadedComment>
  <threadedComment ref="AQ65" dT="2024-06-23T16:23:58.99" personId="{DAE40A29-3132-E340-9532-04353316326C}" id="{D860718F-7CBC-5F43-9708-6FBF3A261082}">
    <text>Table 4 Reading comprehension with total reading ability as the covariate: control versus textbook ISR versus module ISR
Will contact author for raw data</text>
  </threadedComment>
  <threadedComment ref="M84" dT="2024-06-23T20:08:15.12" personId="{DAE40A29-3132-E340-9532-04353316326C}" id="{4DFF3693-B654-EC4C-82CB-D96AC4AEC2C4}">
    <text>As in Study 1, we used an equivalent groups pretest–posttest design (Pedhazur &amp; Schmelkin, 1991).</text>
  </threadedComment>
  <threadedComment ref="U86" dT="2024-06-23T20:10:08.38" personId="{DAE40A29-3132-E340-9532-04353316326C}" id="{C4EB45CD-FB6C-9144-917C-34BDF8464832}">
    <text>The table reported the percentage as 11%</text>
  </threadedComment>
  <threadedComment ref="AW90" dT="2024-12-20T21:09:08.06" personId="{DAE40A29-3132-E340-9532-04353316326C}" id="{CD51F4D8-6B87-3C49-A9FE-C84A4E857509}">
    <text>from mid-March to mid-May, 2020, and follow-up measurements from October to November 2020.
7 mo = mid-March to mid-October</text>
  </threadedComment>
  <threadedComment ref="M93" dT="2024-06-24T01:25:30.95" personId="{DAE40A29-3132-E340-9532-04353316326C}" id="{990EB2FB-ED37-0641-B093-146D302DF083}">
    <text>Because students in the two experimental conditions received essentially similar treatments and because there were no differences in pre- and posttest outcomes by condition, we simplified our main analysis and presentation of the results by combining the two conditions (MS and MS-H).</text>
  </threadedComment>
  <threadedComment ref="M93" dT="2024-06-24T01:26:00.85" personId="{DAE40A29-3132-E340-9532-04353316326C}" id="{08E968FE-38CE-A645-9746-8787E2D645C0}" parentId="{990EB2FB-ED37-0641-B093-146D302DF083}">
    <text>Combine two intervention groups into 1 - can this still be considered as RCT?</text>
  </threadedComment>
  <threadedComment ref="AK93" dT="2024-07-05T19:28:49.39" personId="{DAE40A29-3132-E340-9532-04353316326C}" id="{6D4B48E8-103D-C440-8BF9-84C326873A41}">
    <text>Primary grade students are only tested for Reading Skills and ... No, MAP is not a standardized test. It is an adaptive test and is ... 
https://blog.etutorworld.com/map-testing-measure-of-academic-progress/</text>
    <extLst>
      <x:ext xmlns:xltc2="http://schemas.microsoft.com/office/spreadsheetml/2020/threadedcomments2" uri="{F7C98A9C-CBB3-438F-8F68-D28B6AF4A901}">
        <xltc2:checksum>802860436</xltc2:checksum>
        <xltc2:hyperlink startIndex="138" length="70" url="https://blog.etutorworld.com/map-testing-measure-of-academic-progress/"/>
      </x:ext>
    </extLst>
  </threadedComment>
  <threadedComment ref="I97" dT="2024-12-27T20:38:56.43" personId="{DAE40A29-3132-E340-9532-04353316326C}" id="{1626437A-699F-0F41-8D79-FFE675569CC8}">
    <text xml:space="preserve">Hong Kong
</text>
  </threadedComment>
  <threadedComment ref="V97" dT="2024-07-02T18:25:33.24" personId="{DAE40A29-3132-E340-9532-04353316326C}" id="{D7CABF29-3BD9-2544-AB0B-94471F1B97F9}">
    <text>children mostly came from lower-class families,</text>
  </threadedComment>
  <threadedComment ref="AD97" dT="2024-07-02T18:44:37.77" personId="{DAE40A29-3132-E340-9532-04353316326C}" id="{13992C6F-0769-7A46-B6CC-0AFC91CC7B2E}">
    <text>Condition 1 – Direct instruction integrated with the jigsaw approach. In lessons 1 and 2, the teacher taught the text following a whole-class approach. In lessons 3–5, students were assigned to six home groups comprising students of different ability, with five to six students in each group.</text>
  </threadedComment>
  <threadedComment ref="AW97" dT="2024-12-20T21:16:43.26" personId="{DAE40A29-3132-E340-9532-04353316326C}" id="{D48FBCD8-75AF-584E-A1E3-7F661D011C83}">
    <text>Students in the jigsaw group also performed better on understanding the story than the control group in the re-test after 3 months.</text>
  </threadedComment>
  <threadedComment ref="AB100" dT="2024-07-02T19:04:49.53" personId="{DAE40A29-3132-E340-9532-04353316326C}" id="{B1C13DBE-16D9-8A42-9666-77A8C8E82ABB}">
    <text>Reading Materials  Students selected books of their own choice from the list of books recommended for third-grade students by the school. In the treatment classroom, the less proficient readers of the pair selected books from the list.</text>
  </threadedComment>
  <threadedComment ref="W102" dT="2024-07-02T20:18:39.43" personId="{DAE40A29-3132-E340-9532-04353316326C}" id="{A4B5F789-3CC5-7B4F-A498-9454BE9E0E80}">
    <text>Three models were run: one involving only ELs (n 1⁄4 76), one with only native English speakers (n 1⁄4 125), and one in which students were not separated by language status (n 1⁄4 203).</text>
  </threadedComment>
  <threadedComment ref="AH102" dT="2024-07-02T20:22:31.52" personId="{DAE40A29-3132-E340-9532-04353316326C}" id="{2E7ABCE6-E944-1E41-A853-9D1B97896967}">
    <text xml:space="preserve">The dosage info can be found in the limitation section! </text>
  </threadedComment>
  <threadedComment ref="AT102" dT="2024-12-20T21:24:58.68" personId="{DAE40A29-3132-E340-9532-04353316326C}" id="{92A12523-AB50-E242-9105-ED031B56FEAC}">
    <text>Waitlist design. The condition changed before the delayed posttest.</text>
  </threadedComment>
  <threadedComment ref="M108" dT="2024-09-06T20:56:05.43" personId="{DAE40A29-3132-E340-9532-04353316326C}" id="{CF71FFBB-FDA7-CF47-93D0-E649F6A09AC7}">
    <text xml:space="preserve">RCT - class level
</text>
  </threadedComment>
  <threadedComment ref="AH108" dT="2024-07-02T20:48:41.72" personId="{DAE40A29-3132-E340-9532-04353316326C}" id="{4652B5EB-2CD6-DB4A-B902-5614304079B3}">
    <text xml:space="preserve">The dosage info can be found in the limitation section! </text>
  </threadedComment>
  <threadedComment ref="M142" dT="2024-07-15T16:40:41.91" personId="{DAE40A29-3132-E340-9532-04353316326C}" id="{A1166E22-D7FC-6049-A160-C47EAE67FA87}">
    <text>This study incorporated multi-site cluster-randomized design.
In each school, researchers randomly assigned teachers to treatment or control conditions within each grade level.</text>
  </threadedComment>
  <threadedComment ref="AL166" dT="2024-09-01T20:57:34.33" personId="{DAE40A29-3132-E340-9532-04353316326C}" id="{82680F84-744E-534E-A51D-8F98CAB47B1D}">
    <text xml:space="preserve">Text comprehension. Text comprehension tasks were designed to be similar to reading activities, which were prominent in the traditional classrooms.
- over align with TI, not the intervention condition
</text>
  </threadedComment>
  <threadedComment ref="AT166" dT="2024-12-20T21:25:32.59" personId="{DAE40A29-3132-E340-9532-04353316326C}" id="{1DA98282-8EC2-5146-AB81-1F7C6AD0FB99}">
    <text>Waitlist design. The condition changed before the delayed posttest.</text>
  </threadedComment>
  <threadedComment ref="AL167" dT="2024-09-01T20:57:34.33" personId="{DAE40A29-3132-E340-9532-04353316326C}" id="{198198DF-EB7A-4945-B22F-7B5265C94362}">
    <text xml:space="preserve">Text comprehension. Text comprehension tasks were designed to be similar to reading activities, which were prominent in the traditional classrooms.
- over align with TI, not the intervention condition
</text>
  </threadedComment>
  <threadedComment ref="AL168" dT="2024-09-01T20:57:34.33" personId="{DAE40A29-3132-E340-9532-04353316326C}" id="{5AA97D02-03D6-9E49-B019-3677474122C1}">
    <text xml:space="preserve">Text comprehension. Text comprehension tasks were designed to be similar to reading activities, which were prominent in the traditional classrooms.
- over align with TI, not the intervention condition
</text>
  </threadedComment>
  <threadedComment ref="AL176" dT="2024-09-01T20:57:34.33" personId="{DAE40A29-3132-E340-9532-04353316326C}" id="{7E5CBA7B-0495-4747-BF5F-8B20FF83AD16}">
    <text xml:space="preserve">Text comprehension. Text comprehension tasks were designed to be similar to reading activities, which were prominent in the traditional classrooms.
- over align with TI, not the intervention condition
</text>
  </threadedComment>
  <threadedComment ref="AL177" dT="2024-09-01T20:57:34.33" personId="{DAE40A29-3132-E340-9532-04353316326C}" id="{00CF5490-A834-AD4B-94BF-6684D804EE1D}">
    <text xml:space="preserve">Text comprehension. Text comprehension tasks were designed to be similar to reading activities, which were prominent in the traditional classrooms.
- over align with TI, not the intervention condition
</text>
  </threadedComment>
  <threadedComment ref="AL178" dT="2024-09-01T20:57:34.33" personId="{DAE40A29-3132-E340-9532-04353316326C}" id="{D7CA03C6-517B-AD4D-982F-F36682798AE0}">
    <text xml:space="preserve">Text comprehension. Text comprehension tasks were designed to be similar to reading activities, which were prominent in the traditional classrooms.
- over align with TI, not the intervention condition
</text>
  </threadedComment>
  <threadedComment ref="R186" dT="2024-08-20T17:02:02.62" personId="{7F4078CD-54DC-EC49-A0B0-D0648D525105}" id="{05BBBAA1-7587-2747-B620-7B4783E87718}">
    <text>Netherlands secondary grades (12-14 years of age)</text>
  </threadedComment>
  <threadedComment ref="R186" dT="2024-09-01T21:12:47.52" personId="{DAE40A29-3132-E340-9532-04353316326C}" id="{626E3D7E-0AD8-E640-9787-32F609AD5665}" parentId="{05BBBAA1-7587-2747-B620-7B4783E87718}">
    <text>We selected students in their first year of secondary education (12–14 years of age).</text>
  </threadedComment>
  <threadedComment ref="AI188" dT="2024-09-02T00:08:46.10" personId="{DAE40A29-3132-E340-9532-04353316326C}" id="{202FBA75-24D8-7645-B973-D0DB83AC892E}">
    <text>Occasional observations by the authors confirmed that it was properly implemented.</text>
  </threadedComment>
  <threadedComment ref="AF195" dT="2024-09-02T20:01:41.64" personId="{DAE40A29-3132-E340-9532-04353316326C}" id="{E8B15734-41D5-BD48-A7CC-E32BB12250C0}">
    <text>Over the course of the five-week program, students received a total of 40 hours of  instruction, delivered by head teachers who were supported by undergraduate assistant  teachers.</text>
  </threadedComment>
  <threadedComment ref="AH195" dT="2024-09-02T20:01:16.05" personId="{DAE40A29-3132-E340-9532-04353316326C}" id="{A115B99D-E82C-094C-BA13-E8E9E35B1E8E}">
    <text>Each group received one hour of daily instruction in both the RAVE-O and  Wilson Reading programs’ curricula proven to improve fluency and phonics skills  respectively</text>
  </threadedComment>
  <threadedComment ref="H197" dT="2024-12-26T05:32:40.28" personId="{DAE40A29-3132-E340-9532-04353316326C}" id="{534CFD3C-4643-AF44-8FC7-B9B9C2CCFCE0}">
    <text>CAI</text>
  </threadedComment>
  <threadedComment ref="T199" dT="2024-09-02T21:07:50.47" personId="{DAE40A29-3132-E340-9532-04353316326C}" id="{5B4C0806-0643-2A4A-A89F-AA81B51A9FF7}">
    <text>All students had active IEPs that included reading goals.</text>
  </threadedComment>
  <threadedComment ref="AJ201" dT="2024-09-02T20:52:10.83" personId="{DAE40A29-3132-E340-9532-04353316326C}" id="{38BEEDCE-77C4-284B-AD67-1E6B6FA6A630}">
    <text>The MAP reading test comprises four areas, Word Meaning, Literal Comprehension, Interpretive Comprehension, and Evaluative Comprehension, which compose an overall MAP reading score.</text>
  </threadedComment>
  <threadedComment ref="AJ204" dT="2024-09-02T20:52:10.83" personId="{DAE40A29-3132-E340-9532-04353316326C}" id="{BBBA6710-DF45-6746-B179-604A8F531EC0}">
    <text>The MAP reading test comprises four areas, Word Meaning, Literal Comprehension, Interpretive Comprehension, and Evaluative Comprehension, which compose an overall MAP reading score.</text>
  </threadedComment>
  <threadedComment ref="V205" dT="2024-09-28T15:58:48.24" personId="{DAE40A29-3132-E340-9532-04353316326C}" id="{F81FAE21-5578-9C48-9001-765545D408E0}">
    <text>children predominantly were lower-middle class.</text>
  </threadedComment>
  <threadedComment ref="V209" dT="2024-12-02T00:10:24.48" personId="{DAE40A29-3132-E340-9532-04353316326C}" id="{EA5F1501-B0E2-B04D-9704-18ED522BE6D8}">
    <text>childrenpredominantlywere lower middle class</text>
  </threadedComment>
  <threadedComment ref="AF212" dT="2024-12-02T01:28:07.19" personId="{DAE40A29-3132-E340-9532-04353316326C}" id="{33A42075-0B36-4C43-BCD2-4ABA7BCD5D6C}">
    <text>Not reported directly. Estimate to be the same as the PI group.</text>
  </threadedComment>
  <threadedComment ref="AF212" dT="2024-12-02T01:28:23.62" personId="{DAE40A29-3132-E340-9532-04353316326C}" id="{9F01F4AB-A892-384B-85B1-D691A337D6F4}" parentId="{33A42075-0B36-4C43-BCD2-4ABA7BCD5D6C}">
    <text>Reading is organized on a daily basis, integrated in other activities, without a fixed time schedule.</text>
  </threadedComment>
  <threadedComment ref="V214" dT="2024-12-02T02:44:31.59" personId="{DAE40A29-3132-E340-9532-04353316326C}" id="{7D8EA0DC-34F4-4E4D-88D8-8B36DBB40346}">
    <text>the median household income was CAN$100,000 to CAN$124,999.</text>
  </threadedComment>
  <threadedComment ref="W214" dT="2024-12-02T02:44:56.99" personId="{DAE40A29-3132-E340-9532-04353316326C}" id="{F93E4D63-A1C7-6F4D-BA16-181289B02F60}">
    <text>the primary language spoken at home by the final sample of 25 students was either English or English and French</text>
  </threadedComment>
  <threadedComment ref="G220" dT="2024-12-13T13:50:54.95" personId="{DAE40A29-3132-E340-9532-04353316326C}" id="{A87BC0C7-7B53-FE4F-B3F2-9466C58AD464}">
    <text>Demographic info is on page 33-35. Table 2 has most of the info (pp.35).</text>
  </threadedComment>
  <threadedComment ref="G220" dT="2024-12-13T15:26:10.08" personId="{DAE40A29-3132-E340-9532-04353316326C}" id="{3486F0C7-D076-E344-B2E1-F29E0E2BE109}" parentId="{A87BC0C7-7B53-FE4F-B3F2-9466C58AD464}">
    <text>Dosage = 20 RN + 10 Read Aloud</text>
  </threadedComment>
  <threadedComment ref="M220" dT="2024-12-13T13:28:10.60" personId="{DAE40A29-3132-E340-9532-04353316326C}" id="{A0092A61-0F9F-CE49-84C7-2001C282FDCB}">
    <text>students with  learning disabilities (LD) and other high incidence disabilities were stratified by class and  randomly assigned to one of three conditions:</text>
  </threadedComment>
  <threadedComment ref="M232" dT="2024-12-14T16:28:53.69" personId="{DAE40A29-3132-E340-9532-04353316326C}" id="{77E51F62-2DB2-F440-BC7E-65B28B3BF2F3}">
    <text>[INDIVIDUAL] Students from each class were randomly assigned to one of four instruction conditions.</text>
  </threadedComment>
  <threadedComment ref="AL232" dT="2024-12-14T16:33:51.88" personId="{DAE40A29-3132-E340-9532-04353316326C}" id="{A10397F7-A041-6C46-A536-770444A87F9B}">
    <text>For each test a passage similar to those used for the reading tasks in Phase 2 was employed</text>
  </threadedComment>
  <threadedComment ref="AW232" dT="2024-12-14T16:25:00.78" personId="{DAE40A29-3132-E340-9532-04353316326C}" id="{2D4A6ACA-49BF-9E4E-8EF8-75AEB65E5BF0}">
    <text>four weeks after (maintenance test).</text>
  </threadedComment>
  <threadedComment ref="M236" dT="2024-12-14T16:28:53.69" personId="{DAE40A29-3132-E340-9532-04353316326C}" id="{B1984A5C-EC3D-E846-8EA2-A17511E0FFAA}">
    <text>[INDIVIDUAL] Students from each class were randomly assigned to one of four instruction conditions.</text>
  </threadedComment>
  <threadedComment ref="G240" dT="2024-12-17T01:24:07.60" personId="{DAE40A29-3132-E340-9532-04353316326C}" id="{D930923F-85CD-3044-9939-AE8091EDE647}">
    <text>Table 2 on page 98</text>
  </threadedComment>
  <threadedComment ref="AG240" dT="2024-12-17T15:47:10.66" personId="{DAE40A29-3132-E340-9532-04353316326C}" id="{9763A9D5-BC4E-9D4F-A06D-C72EFF1E44A5}">
    <text>The instruction was provided for forty minutes a day for  eight weeks to social studies classes.</text>
  </threadedComment>
  <threadedComment ref="AP240" dT="2024-12-17T15:53:37.02" personId="{DAE40A29-3132-E340-9532-04353316326C}" id="{9183F6DA-B592-D44D-8750-D2B2568E935B}">
    <text xml:space="preserve">Cannot find the exact # of students in each group.
</text>
  </threadedComment>
  <threadedComment ref="G244" dT="2024-12-17T01:24:07.60" personId="{DAE40A29-3132-E340-9532-04353316326C}" id="{45285DC9-175A-7C48-A65D-60D1D2F892F7}">
    <text>Table 2 on page 98</text>
  </threadedComment>
  <threadedComment ref="M248" dT="2024-12-15T15:50:18.22" personId="{DAE40A29-3132-E340-9532-04353316326C}" id="{F3A69D19-153F-3F44-8236-EF042EEA4142}">
    <text>Sixty children with LD were randomly assigned to three groups of 20 students. Two groups received the experimental treatment: self-instructional training and self-instructional plus attributional training</text>
  </threadedComment>
  <threadedComment ref="AW248" dT="2024-12-14T16:55:14.42" personId="{DAE40A29-3132-E340-9532-04353316326C}" id="{A2E19FE0-633B-DB4B-A32E-09ED98F217D5}">
    <text>2 months later</text>
  </threadedComment>
  <threadedComment ref="M251" dT="2024-12-15T15:50:18.22" personId="{DAE40A29-3132-E340-9532-04353316326C}" id="{FD39F7CB-9727-1045-ABA9-ADC81C63C42E}">
    <text>Sixty children with LD were randomly assigned to three groups of 20 students. Two groups received the experimental treatment: self-instructional training and self-instructional plus attributional training</text>
  </threadedComment>
  <threadedComment ref="M254" dT="2024-12-15T15:50:18.22" personId="{DAE40A29-3132-E340-9532-04353316326C}" id="{A8CA57B6-1D91-2E42-B575-2892C5F7F678}">
    <text>Sixty children with LD were randomly assigned to three groups of 20 students. Two groups received the experimental treatment: self-instructional training and self-instructional plus attributional training</text>
  </threadedComment>
  <threadedComment ref="M257" dT="2024-12-16T17:37:07.05" personId="{DAE40A29-3132-E340-9532-04353316326C}" id="{1FC13EAC-CD92-4242-905A-9E4E93660197}">
    <text>Didn’t mention RANDOM</text>
  </threadedComment>
  <threadedComment ref="AG259" dT="2024-12-19T03:15:08.59" personId="{DAE40A29-3132-E340-9532-04353316326C}" id="{CD0377A6-6D8C-8448-BC95-37A58B26DAF4}">
    <text xml:space="preserve">See fig 2
</text>
  </threadedComment>
  <threadedComment ref="AH259" dT="2024-12-19T03:19:27.98" personId="{DAE40A29-3132-E340-9532-04353316326C}" id="{9B9B74F2-39A6-7844-A3BD-5F80DB483ADE}">
    <text>20 class period. In Germany, class periods are normally 45 minutes long.</text>
  </threadedComment>
  <threadedComment ref="G302" dT="2024-12-20T15:50:04.07" personId="{DAE40A29-3132-E340-9532-04353316326C}" id="{899CA7CF-6158-5242-89A7-0E11969E06D7}">
    <text>Demographic Data table is on page 26</text>
  </threadedComment>
  <threadedComment ref="G302" dT="2024-12-20T16:07:56.42" personId="{DAE40A29-3132-E340-9532-04353316326C}" id="{E6F8C52E-8812-7244-A2D0-5345F5CAFF93}" parentId="{899CA7CF-6158-5242-89A7-0E11969E06D7}">
    <text>Number of minutes - table 4</text>
  </threadedComment>
  <threadedComment ref="AN302" dT="2024-12-20T16:36:54.75" personId="{DAE40A29-3132-E340-9532-04353316326C}" id="{743A5264-4B4D-F14C-BD3B-2562403166DA}">
    <text xml:space="preserve">Not sig.
</text>
  </threadedComment>
</ThreadedComments>
</file>

<file path=xl/threadedComments/threadedComment3.xml><?xml version="1.0" encoding="utf-8"?>
<ThreadedComments xmlns="http://schemas.microsoft.com/office/spreadsheetml/2018/threadedcomments" xmlns:x="http://schemas.openxmlformats.org/spreadsheetml/2006/main">
  <threadedComment ref="P11" dT="2024-05-23T17:49:00.49" personId="{542FBE7B-16E6-FF49-8176-FA733018590F}" id="{63D52874-6D89-684B-BD33-D3766C3A5C4C}">
    <text>Just need to divide the number by 100. ;)</text>
  </threadedComment>
  <threadedComment ref="AB11" dT="2024-05-29T18:41:54.24" personId="{925649D1-D5F8-4399-B9C5-7F9921F3C96F}" id="{490CB2BE-BC1D-4BDC-9712-0453DC5255AE}">
    <text>Fixed - It makes sense to exclude math fluency practice time. What about writing activity? Maybe the time dedicated to activities involving 'literacy' and motivational training?</text>
  </threadedComment>
  <threadedComment ref="X14" dT="2024-05-23T18:16:25.63" personId="{542FBE7B-16E6-FF49-8176-FA733018590F}" id="{B7DFB100-FEB1-9947-BCF3-E28F783AA852}">
    <text>“Each teacher continued to use previously established classroom organizational procedures.”</text>
  </threadedComment>
  <threadedComment ref="X14" dT="2024-05-29T18:41:11.43" personId="{925649D1-D5F8-4399-B9C5-7F9921F3C96F}" id="{3663F6F0-C00E-4D9F-8814-5CA882BEB116}" parentId="{B7DFB100-FEB1-9947-BCF3-E28F783AA852}">
    <text>P. 21 "… randomly assigned to one of three conditions: RCS+AR, RCS, or RN. This resulted in 21 total instructional groups (7 RCS+AR, 7 RCS, and 7 RN) of not more than seven students."</text>
  </threadedComment>
  <threadedComment ref="Y14" dT="2024-05-23T16:25:47.74" personId="{542FBE7B-16E6-FF49-8176-FA733018590F}" id="{47C5F538-CECD-0F4E-86DA-FFAA05228925}">
    <text>See table Table 1 - they major instructors are researchers in the RCS+AR condition (5 researchers and 2 SpEd teachers)</text>
  </threadedComment>
  <threadedComment ref="Q20" dT="2024-05-23T17:48:31.17" personId="{542FBE7B-16E6-FF49-8176-FA733018590F}" id="{F0907F58-9AD4-AE4B-93F3-88A69D039637}">
    <text xml:space="preserve">“Twenty-one students (64%) received some instruction in English as a second language classes.”
</text>
  </threadedComment>
  <threadedComment ref="Y20" dT="2024-05-23T18:18:06.42" personId="{542FBE7B-16E6-FF49-8176-FA733018590F}" id="{86E875B0-2F42-814E-A1E6-B048B4A3F8D5}">
    <text xml:space="preserve">“a female adult trainer from outside the school.”
</text>
  </threadedComment>
  <threadedComment ref="Y20" dT="2024-05-29T18:41:36.25" personId="{925649D1-D5F8-4399-B9C5-7F9921F3C96F}" id="{C7CD0806-255A-4F26-BA13-534E30C91463}" parentId="{86E875B0-2F42-814E-A1E6-B048B4A3F8D5}">
    <text>that makes sense and now this code looks clear!</text>
  </threadedComment>
  <threadedComment ref="AC20" dT="2024-05-29T18:42:07.77" personId="{925649D1-D5F8-4399-B9C5-7F9921F3C96F}" id="{D47E5083-379C-49E5-8C7B-71D8529CE4B0}">
    <text>P. 5 "Periodic observations of the training procedure by the authors confirmed that it was properly implemented and that children maintained their interest."
I thought this part implied somewhat degree of implementation fidelity. I think we need to clarify whether "1 = reported" indicates exact numeric data reported or any indication of checking fidelity reported.</text>
  </threadedComment>
  <threadedComment ref="AE23" dT="2024-06-07T15:56:51.48" personId="{DAE40A29-3132-E340-9532-04353316326C}" id="{C745E283-A86B-DF4C-B835-FB6BA773DB50}">
    <text>The eight passages described and provided information about persons, animals, places, and events. Passages ranged in length from 4 to 25 sentences (A/= 14 sentences), and each passage was followed by one to four questions (e.g., "What is the first paragraph mostly about?", "What is the most important idea in this passage?", "What is the writer's feeling?", "What is a good title for this passage?") for a total of 20 questions. Passages and questions ranged in difficulty; four passages (nine questions) were appropriate for Grade 2 students of average reading ability (Book A), two passages (six questions) for Grade 3 students (Book B), and two passages (five questions) for Grade 4 students (Book C). Passages and questions corresponded in reading level to those on the skill test but were not identical. A sample self-efficacy passage and question are shown in Table 1.</text>
  </threadedComment>
  <threadedComment ref="M26" dT="2024-05-31T22:28:25.45" personId="{7F4078CD-54DC-EC49-A0B0-D0648D525105}" id="{54099CBC-A351-504F-890D-6FC91B744B2D}">
    <text>P. 46 (Abstract) 75 upper elementary school students were assigned to four treatment groups.
I thought upper elementary in US is Grades 4, 5</text>
  </threadedComment>
  <threadedComment ref="Y26" dT="2024-06-01T01:00:35.30" personId="{7F4078CD-54DC-EC49-A0B0-D0648D525105}" id="{D0DF8830-CCF3-D54C-A8AF-2118B2BDB1A0}">
    <text>Authors simply mentioned "instructor"</text>
  </threadedComment>
  <threadedComment ref="T34" dT="2024-06-01T02:49:39.41" personId="{7F4078CD-54DC-EC49-A0B0-D0648D525105}" id="{765F3FF1-3DB7-C446-A6F0-DF673A36DD6C}">
    <text>P. 38-39 Learning Strategies Curriculum includes a number of strategies designed to help students derive information from texts, identify and remember important information, or develop writing or academic competence. The LCS including word identification, visual imagery, self-questioning, paraphrasing, sentence writing, vocabulary, and inferencing.
There was 'word identification' component, so I coded as "cm." I was not confident on this decision, so I would like to hear your thoughts!</text>
  </threadedComment>
  <threadedComment ref="Z34" dT="2024-06-01T03:22:15.14" personId="{7F4078CD-54DC-EC49-A0B0-D0648D525105}" id="{39CDCD51-8923-8A42-A757-F5752B602441}">
    <text>I thought the intervention was implemented for three years. So I computed as 3years*5days per week*36weeks in academic year*session length. Let me know if I misunderstood!</text>
  </threadedComment>
  <threadedComment ref="V35" dT="2024-06-01T04:52:47.73" personId="{7F4078CD-54DC-EC49-A0B0-D0648D525105}" id="{FBC63844-DC91-FA4B-B6C4-8C6A3CCB3A81}">
    <text>Researcher-developed school-wide professional development was implemented to BAU</text>
  </threadedComment>
  <threadedComment ref="Z36" dT="2024-06-01T04:35:29.55" personId="{7F4078CD-54DC-EC49-A0B0-D0648D525105}" id="{C6A62D0F-4878-D84D-A085-2B149BE1EC1E}">
    <text>I thought the intervention was implemented for four years. So I computed as 4years*5days per week*36weeks in academic year*session length. Let me know if I misunderstood!</text>
  </threadedComment>
  <threadedComment ref="P46" dT="2024-06-10T22:33:42.76" personId="{7F4078CD-54DC-EC49-A0B0-D0648D525105}" id="{18428521-4CD6-324F-9973-1E1989DA5C46}">
    <text>I compared average Jordan household salary in 2016 and authors' report. Average household salary in 2016 was around 931-992 JOD, and 350 to 420 JOD per month is substantially below the country average, so I assigned low SES to this study participants.</text>
  </threadedComment>
  <threadedComment ref="Q46" dT="2024-06-10T23:16:21.87" personId="{7F4078CD-54DC-EC49-A0B0-D0648D525105}" id="{3571807A-2084-FF48-B11B-33B543417DEF}">
    <text>English as foreign language can be included?</text>
  </threadedComment>
  <threadedComment ref="AC46" dT="2024-06-12T02:24:21.47" personId="{7F4078CD-54DC-EC49-A0B0-D0648D525105}" id="{DF8437D5-5C05-2843-B409-25A4304171FE}">
    <text>Although the authors mentioned that they made regular visits with teachers, visits were not occurred in classrooms and I do not think regular visit outside of the classrooms does not guarantee the fidelity ..</text>
  </threadedComment>
  <threadedComment ref="V47" dT="2024-06-12T02:50:02.45" personId="{7F4078CD-54DC-EC49-A0B0-D0648D525105}" id="{343015DF-AEA9-2349-95A1-F9B28E459D35}">
    <text>Traditional teaching method</text>
  </threadedComment>
  <threadedComment ref="G56" dT="2024-06-12T12:29:37.77" personId="{7F4078CD-54DC-EC49-A0B0-D0648D525105}" id="{3E4FFAE6-71F1-3441-B3DB-7EB8CC063F76}">
    <text>Would teacher random assignment be RCT?
(p.8) The two first grade teachers were assigned to either the IG or the CG by a coin toss.</text>
  </threadedComment>
  <threadedComment ref="AF61" dT="2024-07-10T21:57:31.72" personId="{7F4078CD-54DC-EC49-A0B0-D0648D525105}" id="{10F97D06-D13B-7948-BA3B-0A33B0797751}">
    <text>P. 529 The text was selected from a fifth-grade social studies textbook not used by the participants and the topic of the passage was Norwegian fisheries. 
Should this be considered as 'not overaligned'?</text>
  </threadedComment>
  <threadedComment ref="AF67" dT="2024-07-11T05:51:10.33" personId="{7F4078CD-54DC-EC49-A0B0-D0648D525105}" id="{597DB333-656E-CE45-879A-CE3B2C78C121}">
    <text>I thought that this four reading assignment measures were possibly overaligned to the intervention, because those passages were used as instructional material (see Table 9)</text>
  </threadedComment>
  <threadedComment ref="V76" dT="2024-06-28T17:42:55.40" personId="{7F4078CD-54DC-EC49-A0B0-D0648D525105}" id="{DC16C6D3-2F53-9D45-B06D-D3F85963730F}">
    <text>P. 452 control group covered the same reading material each week as the two treatment groups … Each teacher used a variety of methods to cover the material with the control classes but did not have the classes engage in ISR (independent silent reading).</text>
  </threadedComment>
  <threadedComment ref="X98" dT="2024-07-03T17:53:58.72" personId="{7F4078CD-54DC-EC49-A0B0-D0648D525105}" id="{08F74B5A-AFE3-4547-A476-C9469C205A1A}">
    <text>Lesson 1, 2 were taught in wholeclass and lesson 3, 4, 5 were taught in small group. I coded as small group based on the frequency.</text>
  </threadedComment>
  <threadedComment ref="AF98" dT="2024-07-11T05:52:25.21" personId="{7F4078CD-54DC-EC49-A0B0-D0648D525105}" id="{25D4FC43-B9A9-254F-88E7-F1C6CE6CAD2A}">
    <text>P. 411. … the students were asked to complete a reading test developed to assess their higher-order reading comprehension of the story "they had studied in the programme."
Maybe over aligned?</text>
  </threadedComment>
  <threadedComment ref="W101" dT="2024-07-03T18:21:32.27" personId="{7F4078CD-54DC-EC49-A0B0-D0648D525105}" id="{11C765E1-B241-6F44-B8BD-700E2B325AD9}">
    <text>P. 484 The teachers were given the handouts describing the specific steps for conducting PALS. - But not sure whether this handout was script for intervention.</text>
  </threadedComment>
  <threadedComment ref="AF103" dT="2024-07-11T05:55:36.97" personId="{7F4078CD-54DC-EC49-A0B0-D0648D525105}" id="{15BF5B7D-8C11-DA4C-81D4-2BD23E5C607E}">
    <text>P.8 We chose passages that were not topically related to the intervention unit topics so that scores would not be confounded by content instruction.</text>
  </threadedComment>
  <threadedComment ref="V104" dT="2024-07-03T18:41:29.47" personId="{7F4078CD-54DC-EC49-A0B0-D0648D525105}" id="{6CB3C667-1068-6546-9248-888EC431FEF9}">
    <text>students in Sequence A were taught with USHER units related to American Indians, European exploration, and two cultures meet (i.e., interactions between the American Indians and European Explorers), whereas students in Sequence B were taught with USHER units related to colonization, people in colonial America, and events leading to the American Revolution. During non-USHER intervention time, students were taught with the typical social studies curriculum covering the same social studies content as the USHER units.
I coded Sequence A pretest-posttest treatment and comparison groups design data, where students in treatment group were taught USHER while students in comparison group were taught typical social studies instruction.</text>
  </threadedComment>
  <threadedComment ref="A167" dT="2024-08-19T00:34:42.46" personId="{7F4078CD-54DC-EC49-A0B0-D0648D525105}" id="{5D7977EE-C14A-2C46-910F-B940843209C4}">
    <text>Reading comprehension outcome: text comprehension = story comprehension + informational text comprehension; text comprehension seem to be summed score of two subtests.</text>
  </threadedComment>
  <threadedComment ref="AF167" dT="2024-08-20T16:09:05.56" personId="{7F4078CD-54DC-EC49-A0B0-D0648D525105}" id="{42B8D4B0-34A1-2541-A77E-A02F4D5EE31A}">
    <text>Not sure. (p.267) Text comprehension tasks were designed to be similar to reading activities, which were prominent in the traditional classrooms.</text>
  </threadedComment>
  <threadedComment ref="AF172" dT="2024-08-20T16:09:05.56" personId="{7F4078CD-54DC-EC49-A0B0-D0648D525105}" id="{03E3099B-50E9-C24A-ADC4-03EA00C4316C}">
    <text>Not sure. (p.267) Text comprehension tasks were designed to be similar to reading activities, which were prominent in the traditional classrooms.</text>
  </threadedComment>
  <threadedComment ref="AF177" dT="2024-08-20T16:09:05.56" personId="{7F4078CD-54DC-EC49-A0B0-D0648D525105}" id="{2391AFC0-D853-D54B-AE99-4F83F0F42857}">
    <text>Not sure. (p.267) Text comprehension tasks were designed to be similar to reading activities, which were prominent in the traditional classrooms.</text>
  </threadedComment>
  <threadedComment ref="AF182" dT="2024-08-20T16:09:05.56" personId="{7F4078CD-54DC-EC49-A0B0-D0648D525105}" id="{9AD27FF7-18EC-9244-8476-697875312976}">
    <text>Not sure. (p.267) Text comprehension tasks were designed to be similar to reading activities, which were prominent in the traditional classrooms.</text>
  </threadedComment>
  <threadedComment ref="M187" dT="2024-08-20T17:02:02.62" personId="{7F4078CD-54DC-EC49-A0B0-D0648D525105}" id="{C273A6D2-CBBE-2B45-8D4D-BA7538665339}">
    <text>Netherlands secondary grades (12-14 years of age)</text>
  </threadedComment>
  <threadedComment ref="M188" dT="2024-09-03T01:21:35.35" personId="{DAE40A29-3132-E340-9532-04353316326C}" id="{1A653062-21C1-A948-9D5E-37A2688090F6}">
    <text xml:space="preserve">13;6
= 13 + 6/12 = 13.5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7049-0350-BF49-BCC2-876E17EDA622}">
  <dimension ref="A1:AI312"/>
  <sheetViews>
    <sheetView tabSelected="1" zoomScale="125" workbookViewId="0">
      <selection activeCell="E33" sqref="E33"/>
    </sheetView>
  </sheetViews>
  <sheetFormatPr baseColWidth="10" defaultRowHeight="15" x14ac:dyDescent="0.2"/>
  <cols>
    <col min="1" max="2" width="7.33203125" customWidth="1"/>
    <col min="3" max="3" width="13" customWidth="1"/>
    <col min="4" max="4" width="14" customWidth="1"/>
    <col min="5" max="6" width="15.83203125" customWidth="1"/>
    <col min="12" max="13" width="10.6640625" style="324" customWidth="1"/>
    <col min="14" max="14" width="10.5" style="372" customWidth="1"/>
    <col min="15" max="15" width="11.83203125" style="372" bestFit="1" customWidth="1"/>
    <col min="16" max="17" width="5.33203125" style="369" customWidth="1"/>
    <col min="18" max="18" width="7.5" style="369" customWidth="1"/>
    <col min="19" max="19" width="16.83203125" style="369" customWidth="1"/>
    <col min="20" max="25" width="10.83203125" style="370"/>
    <col min="26" max="31" width="10.83203125" style="371"/>
  </cols>
  <sheetData>
    <row r="1" spans="1:35" x14ac:dyDescent="0.2">
      <c r="A1" t="str">
        <f>coder1_YH!B1</f>
        <v>EX_Identifier</v>
      </c>
      <c r="B1" t="str">
        <f>coder1_YH!C1</f>
        <v>esid</v>
      </c>
      <c r="C1" t="str">
        <f>coder1_YH!D1</f>
        <v>Unique_Study</v>
      </c>
      <c r="D1" t="str">
        <f>coder1_YH!E1</f>
        <v>Unique_Sample</v>
      </c>
      <c r="E1" t="str">
        <f>coder1_YH!F1</f>
        <v>Unique_TRUEcondition</v>
      </c>
      <c r="G1" t="s">
        <v>932</v>
      </c>
      <c r="H1" t="s">
        <v>998</v>
      </c>
      <c r="I1" t="str">
        <f>clean_mod!G1</f>
        <v>StudyID</v>
      </c>
      <c r="J1" t="str">
        <f>clean_mod!H1</f>
        <v>SampleID</v>
      </c>
      <c r="K1" t="s">
        <v>945</v>
      </c>
      <c r="L1" s="324" t="s">
        <v>989</v>
      </c>
      <c r="M1" s="324" t="s">
        <v>988</v>
      </c>
      <c r="N1" s="372" t="s">
        <v>943</v>
      </c>
      <c r="O1" s="372" t="s">
        <v>944</v>
      </c>
      <c r="P1" s="372" t="s">
        <v>934</v>
      </c>
      <c r="Q1" s="372" t="s">
        <v>984</v>
      </c>
      <c r="R1" s="372" t="s">
        <v>985</v>
      </c>
      <c r="S1" s="372" t="s">
        <v>992</v>
      </c>
      <c r="T1" s="373" t="str">
        <f>coder1_YH!AN1</f>
        <v>m_pre_int</v>
      </c>
      <c r="U1" s="373" t="str">
        <f>coder1_YH!AO1</f>
        <v>sd_pre_int</v>
      </c>
      <c r="V1" s="373" t="str">
        <f>coder1_YH!AP1</f>
        <v>n_pre_int</v>
      </c>
      <c r="W1" s="373" t="str">
        <f>coder1_YH!AQ1</f>
        <v>m_post_int</v>
      </c>
      <c r="X1" s="373" t="str">
        <f>coder1_YH!AR1</f>
        <v>sd_post_int</v>
      </c>
      <c r="Y1" s="373" t="str">
        <f>coder1_YH!AS1</f>
        <v>n_post_int</v>
      </c>
      <c r="Z1" s="373" t="s">
        <v>937</v>
      </c>
      <c r="AA1" s="373" t="s">
        <v>938</v>
      </c>
      <c r="AB1" s="373" t="s">
        <v>939</v>
      </c>
      <c r="AC1" s="373" t="s">
        <v>940</v>
      </c>
      <c r="AD1" s="373" t="s">
        <v>941</v>
      </c>
      <c r="AE1" s="373" t="s">
        <v>942</v>
      </c>
      <c r="AF1" t="s">
        <v>946</v>
      </c>
      <c r="AG1" t="s">
        <v>947</v>
      </c>
      <c r="AH1" t="s">
        <v>948</v>
      </c>
      <c r="AI1" t="s">
        <v>792</v>
      </c>
    </row>
    <row r="2" spans="1:35" x14ac:dyDescent="0.2">
      <c r="A2">
        <f>coder1_YH!B2</f>
        <v>0</v>
      </c>
      <c r="B2">
        <f>coder1_YH!C2</f>
        <v>2</v>
      </c>
      <c r="C2" t="b">
        <f>coder1_YH!D2</f>
        <v>1</v>
      </c>
      <c r="D2" t="b">
        <f>coder1_YH!E2</f>
        <v>1</v>
      </c>
      <c r="E2" t="b">
        <f>coder1_YH!F2</f>
        <v>1</v>
      </c>
      <c r="G2" t="str">
        <f>IF(coder1_YH!G2="",G1, coder1_YH!G2)</f>
        <v>Orkin et al., 2017</v>
      </c>
      <c r="H2" s="405" t="str">
        <f>clean_mod!I2</f>
        <v>2017</v>
      </c>
      <c r="I2" t="str">
        <f>clean_mod!G2</f>
        <v>101</v>
      </c>
      <c r="J2">
        <f>clean_mod!H2</f>
        <v>101</v>
      </c>
      <c r="K2">
        <f>IF(coder1_YH!P2="",K1, coder1_YH!P2)</f>
        <v>1</v>
      </c>
      <c r="L2" s="324" t="str">
        <f>IF(clean_mod!AF2="",L1,clean_mod!AF2)</f>
        <v>101-Ncm</v>
      </c>
      <c r="M2" s="324" t="str">
        <f>IF(clean_mod!AG2="",M1,clean_mod!AG2)</f>
        <v>101-N_R</v>
      </c>
      <c r="N2" s="372" t="str">
        <f t="shared" ref="N2:N65" si="0">I2&amp;"-"&amp;"ctl"&amp;"-"&amp;P2</f>
        <v>101-ctl-1</v>
      </c>
      <c r="O2" s="372" t="str">
        <f t="shared" ref="O2:O65" si="1">I2&amp;"-"&amp;K2&amp;"-"&amp;P2</f>
        <v>101-1-1</v>
      </c>
      <c r="P2" s="369">
        <v>1</v>
      </c>
      <c r="Q2" s="369" t="str">
        <f>LEFT(coder1_YH!AK2,1)</f>
        <v>1</v>
      </c>
      <c r="R2" s="369" t="str">
        <f>LEFT(coder1_YH!AL2,1)</f>
        <v>0</v>
      </c>
      <c r="S2" s="369" t="str">
        <f>coder1_YH!AJ2</f>
        <v>SRI PC = Standard Reading Inventory, Passage Comprehension;</v>
      </c>
      <c r="T2" s="370">
        <f>coder1_YH!AN2</f>
        <v>8.17</v>
      </c>
      <c r="U2" s="370">
        <f>coder1_YH!AO2</f>
        <v>2.5099999999999998</v>
      </c>
      <c r="V2" s="370">
        <f>coder1_YH!AP2</f>
        <v>24</v>
      </c>
      <c r="W2" s="370">
        <f>coder1_YH!AQ2</f>
        <v>9.5399999999999991</v>
      </c>
      <c r="X2" s="370">
        <f>coder1_YH!AR2</f>
        <v>2.93</v>
      </c>
      <c r="Y2" s="370">
        <f>coder1_YH!AS2</f>
        <v>24</v>
      </c>
      <c r="Z2" s="371">
        <f t="shared" ref="Z2:Z65" si="2">VLOOKUP($N2,$O:$Y,6,0)</f>
        <v>8</v>
      </c>
      <c r="AA2" s="371">
        <f t="shared" ref="AA2:AA65" si="3">VLOOKUP($N2,$O:$Y,7,0)</f>
        <v>2.2400000000000002</v>
      </c>
      <c r="AB2" s="371">
        <f t="shared" ref="AB2:AB65" si="4">VLOOKUP($N2,$O:$Y,8,0)</f>
        <v>23</v>
      </c>
      <c r="AC2" s="371">
        <f t="shared" ref="AC2:AC65" si="5">VLOOKUP($N2,$O:$Y,9,0)</f>
        <v>8.17</v>
      </c>
      <c r="AD2" s="371">
        <f t="shared" ref="AD2:AD65" si="6">VLOOKUP($N2,$O:$Y,10,0)</f>
        <v>2.31</v>
      </c>
      <c r="AE2" s="371">
        <f t="shared" ref="AE2:AE65" si="7">VLOOKUP($N2,$O:$Y,11,0)</f>
        <v>23</v>
      </c>
    </row>
    <row r="3" spans="1:35" x14ac:dyDescent="0.2">
      <c r="A3">
        <f>coder1_YH!B3</f>
        <v>0</v>
      </c>
      <c r="B3">
        <f>coder1_YH!C3</f>
        <v>3</v>
      </c>
      <c r="C3">
        <f>coder1_YH!D3</f>
        <v>0</v>
      </c>
      <c r="D3" t="str">
        <f>coder1_YH!E3</f>
        <v/>
      </c>
      <c r="E3" t="b">
        <f>coder1_YH!F3</f>
        <v>1</v>
      </c>
      <c r="G3" t="str">
        <f>IF(coder1_YH!G3="",G2, coder1_YH!G3)</f>
        <v>Orkin et al., 2017</v>
      </c>
      <c r="H3" s="405" t="str">
        <f>clean_mod!I3</f>
        <v>2017</v>
      </c>
      <c r="I3" t="str">
        <f>clean_mod!G3</f>
        <v>101</v>
      </c>
      <c r="J3">
        <f>clean_mod!H3</f>
        <v>101</v>
      </c>
      <c r="K3" t="str">
        <f>IF(coder1_YH!P3="",K2, coder1_YH!P3)</f>
        <v>ctl</v>
      </c>
      <c r="L3" s="324" t="str">
        <f>IF(clean_mod!AF3="",L2,clean_mod!AF3)</f>
        <v>101-.cm</v>
      </c>
      <c r="M3" s="324" t="str">
        <f>IF(clean_mod!AG3="",M2,clean_mod!AG3)</f>
        <v>101-R</v>
      </c>
      <c r="N3" s="372" t="str">
        <f t="shared" si="0"/>
        <v>101-ctl-1</v>
      </c>
      <c r="O3" s="372" t="str">
        <f t="shared" si="1"/>
        <v>101-ctl-1</v>
      </c>
      <c r="P3" s="369">
        <v>1</v>
      </c>
      <c r="Q3" s="369" t="str">
        <f>LEFT(coder1_YH!AK3,1)</f>
        <v>1</v>
      </c>
      <c r="R3" s="369" t="str">
        <f>LEFT(coder1_YH!AL3,1)</f>
        <v>0</v>
      </c>
      <c r="S3" s="369" t="str">
        <f>coder1_YH!AJ3</f>
        <v>SRI PC = Standard Reading Inventory, Passage Comprehension;</v>
      </c>
      <c r="T3" s="370">
        <f>coder1_YH!AN3</f>
        <v>8</v>
      </c>
      <c r="U3" s="370">
        <f>coder1_YH!AO3</f>
        <v>2.2400000000000002</v>
      </c>
      <c r="V3" s="370">
        <f>coder1_YH!AP3</f>
        <v>23</v>
      </c>
      <c r="W3" s="370">
        <f>coder1_YH!AQ3</f>
        <v>8.17</v>
      </c>
      <c r="X3" s="370">
        <f>coder1_YH!AR3</f>
        <v>2.31</v>
      </c>
      <c r="Y3" s="370">
        <f>coder1_YH!AS3</f>
        <v>23</v>
      </c>
      <c r="Z3" s="371">
        <f t="shared" si="2"/>
        <v>8</v>
      </c>
      <c r="AA3" s="371">
        <f t="shared" si="3"/>
        <v>2.2400000000000002</v>
      </c>
      <c r="AB3" s="371">
        <f t="shared" si="4"/>
        <v>23</v>
      </c>
      <c r="AC3" s="371">
        <f t="shared" si="5"/>
        <v>8.17</v>
      </c>
      <c r="AD3" s="371">
        <f t="shared" si="6"/>
        <v>2.31</v>
      </c>
      <c r="AE3" s="371">
        <f t="shared" si="7"/>
        <v>23</v>
      </c>
    </row>
    <row r="4" spans="1:35" x14ac:dyDescent="0.2">
      <c r="A4">
        <f>coder1_YH!B4</f>
        <v>0</v>
      </c>
      <c r="B4">
        <f>coder1_YH!C4</f>
        <v>4</v>
      </c>
      <c r="C4">
        <f>coder1_YH!D4</f>
        <v>0</v>
      </c>
      <c r="D4">
        <f>coder1_YH!E4</f>
        <v>0</v>
      </c>
      <c r="E4" t="b">
        <f>coder1_YH!F4</f>
        <v>1</v>
      </c>
      <c r="G4" t="str">
        <f>IF(coder1_YH!G4="",G3, coder1_YH!G4)</f>
        <v>Toste et al., 2019</v>
      </c>
      <c r="H4" s="405" t="str">
        <f>clean_mod!I4</f>
        <v>2019</v>
      </c>
      <c r="I4" t="str">
        <f>clean_mod!G4</f>
        <v>102</v>
      </c>
      <c r="J4">
        <f>clean_mod!H4</f>
        <v>102</v>
      </c>
      <c r="K4">
        <f>IF(coder1_YH!P4="",K3, coder1_YH!P4)</f>
        <v>1</v>
      </c>
      <c r="L4" s="324" t="str">
        <f>IF(clean_mod!AF4="",L3,clean_mod!AF4)</f>
        <v xml:space="preserve">102-.c </v>
      </c>
      <c r="M4" s="324" t="str">
        <f>IF(clean_mod!AG4="",M3,clean_mod!AG4)</f>
        <v>102-R</v>
      </c>
      <c r="N4" s="372" t="str">
        <f t="shared" si="0"/>
        <v>102-ctl-2</v>
      </c>
      <c r="O4" s="372" t="str">
        <f t="shared" si="1"/>
        <v>102-1-2</v>
      </c>
      <c r="P4" s="369">
        <v>2</v>
      </c>
      <c r="Q4" s="369" t="str">
        <f>LEFT(coder1_YH!AK4,1)</f>
        <v>1</v>
      </c>
      <c r="R4" s="369" t="str">
        <f>LEFT(coder1_YH!AL4,1)</f>
        <v>0</v>
      </c>
      <c r="S4" s="369" t="str">
        <f>coder1_YH!AJ4</f>
        <v>WJIII PC</v>
      </c>
      <c r="T4" s="370">
        <f>coder1_YH!AN4</f>
        <v>88.91</v>
      </c>
      <c r="U4" s="370">
        <f>coder1_YH!AO4</f>
        <v>8.9600000000000009</v>
      </c>
      <c r="V4" s="370">
        <f>coder1_YH!AP4</f>
        <v>34</v>
      </c>
      <c r="W4" s="370">
        <f>coder1_YH!AQ4</f>
        <v>88.91</v>
      </c>
      <c r="X4" s="370">
        <f>coder1_YH!AR4</f>
        <v>8.91</v>
      </c>
      <c r="Y4" s="370">
        <f>coder1_YH!AS4</f>
        <v>34</v>
      </c>
      <c r="Z4" s="371">
        <f t="shared" si="2"/>
        <v>87.19</v>
      </c>
      <c r="AA4" s="371">
        <f t="shared" si="3"/>
        <v>6.97</v>
      </c>
      <c r="AB4" s="371">
        <f t="shared" si="4"/>
        <v>37</v>
      </c>
      <c r="AC4" s="371">
        <f t="shared" si="5"/>
        <v>89.06</v>
      </c>
      <c r="AD4" s="371">
        <f t="shared" si="6"/>
        <v>6.59</v>
      </c>
      <c r="AE4" s="371">
        <f t="shared" si="7"/>
        <v>36</v>
      </c>
    </row>
    <row r="5" spans="1:35" x14ac:dyDescent="0.2">
      <c r="A5">
        <f>coder1_YH!B5</f>
        <v>0</v>
      </c>
      <c r="B5">
        <f>coder1_YH!C5</f>
        <v>5</v>
      </c>
      <c r="C5">
        <f>coder1_YH!D5</f>
        <v>0</v>
      </c>
      <c r="D5">
        <f>coder1_YH!E5</f>
        <v>0</v>
      </c>
      <c r="E5" t="str">
        <f>coder1_YH!F5</f>
        <v/>
      </c>
      <c r="G5" t="str">
        <f>IF(coder1_YH!G5="",G4, coder1_YH!G5)</f>
        <v>Toste et al., 2019</v>
      </c>
      <c r="H5" s="405" t="str">
        <f>clean_mod!I5</f>
        <v>2019</v>
      </c>
      <c r="I5" t="str">
        <f>clean_mod!G5</f>
        <v>102</v>
      </c>
      <c r="J5">
        <f>clean_mod!H5</f>
        <v>102</v>
      </c>
      <c r="K5">
        <f>IF(coder1_YH!P5="",K4, coder1_YH!P5)</f>
        <v>1</v>
      </c>
      <c r="L5" s="324" t="str">
        <f>IF(clean_mod!AF5="",L4,clean_mod!AF5)</f>
        <v xml:space="preserve">102-.c </v>
      </c>
      <c r="M5" s="324" t="str">
        <f>IF(clean_mod!AG5="",M4,clean_mod!AG5)</f>
        <v>102-R</v>
      </c>
      <c r="N5" s="372" t="str">
        <f t="shared" si="0"/>
        <v>102-ctl-3</v>
      </c>
      <c r="O5" s="372" t="str">
        <f t="shared" si="1"/>
        <v>102-1-3</v>
      </c>
      <c r="P5" s="369">
        <v>3</v>
      </c>
      <c r="Q5" s="369" t="str">
        <f>LEFT(coder1_YH!AK5,1)</f>
        <v>1</v>
      </c>
      <c r="R5" s="369" t="str">
        <f>LEFT(coder1_YH!AL5,1)</f>
        <v>0</v>
      </c>
      <c r="S5" s="369" t="str">
        <f>coder1_YH!AJ5</f>
        <v>GMRT-RC</v>
      </c>
      <c r="T5" s="370">
        <f>coder1_YH!AN5</f>
        <v>88.86</v>
      </c>
      <c r="U5" s="370">
        <f>coder1_YH!AO5</f>
        <v>12.3</v>
      </c>
      <c r="V5" s="370">
        <f>coder1_YH!AP5</f>
        <v>34</v>
      </c>
      <c r="W5" s="370">
        <f>coder1_YH!AQ5</f>
        <v>91.98</v>
      </c>
      <c r="X5" s="370">
        <f>coder1_YH!AR5</f>
        <v>9.34</v>
      </c>
      <c r="Y5" s="370">
        <f>coder1_YH!AS5</f>
        <v>34</v>
      </c>
      <c r="Z5" s="371">
        <f t="shared" si="2"/>
        <v>91.31</v>
      </c>
      <c r="AA5" s="371">
        <f t="shared" si="3"/>
        <v>9.9700000000000006</v>
      </c>
      <c r="AB5" s="371">
        <f t="shared" si="4"/>
        <v>36</v>
      </c>
      <c r="AC5" s="371">
        <f t="shared" si="5"/>
        <v>90.8</v>
      </c>
      <c r="AD5" s="371">
        <f t="shared" si="6"/>
        <v>7.82</v>
      </c>
      <c r="AE5" s="371">
        <f t="shared" si="7"/>
        <v>36</v>
      </c>
    </row>
    <row r="6" spans="1:35" x14ac:dyDescent="0.2">
      <c r="A6">
        <f>coder1_YH!B6</f>
        <v>0</v>
      </c>
      <c r="B6">
        <f>coder1_YH!C6</f>
        <v>6</v>
      </c>
      <c r="C6" t="b">
        <f>coder1_YH!D6</f>
        <v>1</v>
      </c>
      <c r="D6" t="b">
        <f>coder1_YH!E6</f>
        <v>1</v>
      </c>
      <c r="E6" t="b">
        <f>coder1_YH!F6</f>
        <v>1</v>
      </c>
      <c r="G6" t="str">
        <f>IF(coder1_YH!G6="",G5, coder1_YH!G6)</f>
        <v>Toste et al., 2019</v>
      </c>
      <c r="H6" s="405" t="str">
        <f>clean_mod!I6</f>
        <v>2019</v>
      </c>
      <c r="I6" t="str">
        <f>clean_mod!G6</f>
        <v>102</v>
      </c>
      <c r="J6">
        <f>clean_mod!H6</f>
        <v>102</v>
      </c>
      <c r="K6">
        <f>IF(coder1_YH!P6="",K5, coder1_YH!P6)</f>
        <v>2</v>
      </c>
      <c r="L6" s="324" t="str">
        <f>IF(clean_mod!AF6="",L5,clean_mod!AF6)</f>
        <v xml:space="preserve">102-GTc </v>
      </c>
      <c r="M6" s="324" t="str">
        <f>IF(clean_mod!AG6="",M5,clean_mod!AG6)</f>
        <v>102-GT_R</v>
      </c>
      <c r="N6" s="372" t="str">
        <f t="shared" si="0"/>
        <v>102-ctl-2</v>
      </c>
      <c r="O6" s="372" t="str">
        <f t="shared" si="1"/>
        <v>102-2-2</v>
      </c>
      <c r="P6" s="369">
        <v>2</v>
      </c>
      <c r="Q6" s="369" t="str">
        <f>LEFT(coder1_YH!AK6,1)</f>
        <v>1</v>
      </c>
      <c r="R6" s="369" t="str">
        <f>LEFT(coder1_YH!AL6,1)</f>
        <v>0</v>
      </c>
      <c r="S6" s="369" t="str">
        <f>coder1_YH!AJ6</f>
        <v>WJIII PC</v>
      </c>
      <c r="T6" s="370">
        <f>coder1_YH!AN6</f>
        <v>86.79</v>
      </c>
      <c r="U6" s="370">
        <f>coder1_YH!AO6</f>
        <v>6.96</v>
      </c>
      <c r="V6" s="370">
        <f>coder1_YH!AP6</f>
        <v>38</v>
      </c>
      <c r="W6" s="370">
        <f>coder1_YH!AQ6</f>
        <v>91.16</v>
      </c>
      <c r="X6" s="370">
        <f>coder1_YH!AR6</f>
        <v>7.53</v>
      </c>
      <c r="Y6" s="370">
        <f>coder1_YH!AS6</f>
        <v>38</v>
      </c>
      <c r="Z6" s="371">
        <f t="shared" si="2"/>
        <v>87.19</v>
      </c>
      <c r="AA6" s="371">
        <f t="shared" si="3"/>
        <v>6.97</v>
      </c>
      <c r="AB6" s="371">
        <f t="shared" si="4"/>
        <v>37</v>
      </c>
      <c r="AC6" s="371">
        <f t="shared" si="5"/>
        <v>89.06</v>
      </c>
      <c r="AD6" s="371">
        <f t="shared" si="6"/>
        <v>6.59</v>
      </c>
      <c r="AE6" s="371">
        <f t="shared" si="7"/>
        <v>36</v>
      </c>
    </row>
    <row r="7" spans="1:35" x14ac:dyDescent="0.2">
      <c r="A7">
        <f>coder1_YH!B7</f>
        <v>0</v>
      </c>
      <c r="B7">
        <f>coder1_YH!C7</f>
        <v>7</v>
      </c>
      <c r="C7">
        <f>coder1_YH!D7</f>
        <v>0</v>
      </c>
      <c r="D7">
        <f>coder1_YH!E7</f>
        <v>0</v>
      </c>
      <c r="E7" t="str">
        <f>coder1_YH!F7</f>
        <v/>
      </c>
      <c r="G7" t="str">
        <f>IF(coder1_YH!G7="",G6, coder1_YH!G7)</f>
        <v>Toste et al., 2019</v>
      </c>
      <c r="H7" s="405" t="str">
        <f>clean_mod!I7</f>
        <v>2019</v>
      </c>
      <c r="I7" t="str">
        <f>clean_mod!G7</f>
        <v>102</v>
      </c>
      <c r="J7">
        <f>clean_mod!H7</f>
        <v>102</v>
      </c>
      <c r="K7">
        <f>IF(coder1_YH!P7="",K6, coder1_YH!P7)</f>
        <v>2</v>
      </c>
      <c r="L7" s="324" t="str">
        <f>IF(clean_mod!AF7="",L6,clean_mod!AF7)</f>
        <v xml:space="preserve">102-GTc </v>
      </c>
      <c r="M7" s="324" t="str">
        <f>IF(clean_mod!AG7="",M6,clean_mod!AG7)</f>
        <v>102-GT_R</v>
      </c>
      <c r="N7" s="372" t="str">
        <f t="shared" si="0"/>
        <v>102-ctl-3</v>
      </c>
      <c r="O7" s="372" t="str">
        <f t="shared" si="1"/>
        <v>102-2-3</v>
      </c>
      <c r="P7" s="369">
        <v>3</v>
      </c>
      <c r="Q7" s="369" t="str">
        <f>LEFT(coder1_YH!AK7,1)</f>
        <v>1</v>
      </c>
      <c r="R7" s="369" t="str">
        <f>LEFT(coder1_YH!AL7,1)</f>
        <v>0</v>
      </c>
      <c r="S7" s="369" t="str">
        <f>coder1_YH!AJ7</f>
        <v>GMRT-RC</v>
      </c>
      <c r="T7" s="370">
        <f>coder1_YH!AN7</f>
        <v>89.3</v>
      </c>
      <c r="U7" s="370">
        <f>coder1_YH!AO7</f>
        <v>10.49</v>
      </c>
      <c r="V7" s="370">
        <f>coder1_YH!AP7</f>
        <v>38</v>
      </c>
      <c r="W7" s="370">
        <f>coder1_YH!AQ7</f>
        <v>91.88</v>
      </c>
      <c r="X7" s="370">
        <f>coder1_YH!AR7</f>
        <v>6.38</v>
      </c>
      <c r="Y7" s="370">
        <f>coder1_YH!AS7</f>
        <v>38</v>
      </c>
      <c r="Z7" s="371">
        <f t="shared" si="2"/>
        <v>91.31</v>
      </c>
      <c r="AA7" s="371">
        <f t="shared" si="3"/>
        <v>9.9700000000000006</v>
      </c>
      <c r="AB7" s="371">
        <f t="shared" si="4"/>
        <v>36</v>
      </c>
      <c r="AC7" s="371">
        <f t="shared" si="5"/>
        <v>90.8</v>
      </c>
      <c r="AD7" s="371">
        <f t="shared" si="6"/>
        <v>7.82</v>
      </c>
      <c r="AE7" s="371">
        <f t="shared" si="7"/>
        <v>36</v>
      </c>
    </row>
    <row r="8" spans="1:35" x14ac:dyDescent="0.2">
      <c r="A8">
        <f>coder1_YH!B8</f>
        <v>0</v>
      </c>
      <c r="B8">
        <f>coder1_YH!C8</f>
        <v>8</v>
      </c>
      <c r="C8">
        <f>coder1_YH!D8</f>
        <v>0</v>
      </c>
      <c r="D8">
        <f>coder1_YH!E8</f>
        <v>0</v>
      </c>
      <c r="E8" t="b">
        <f>coder1_YH!F8</f>
        <v>1</v>
      </c>
      <c r="G8" t="str">
        <f>IF(coder1_YH!G8="",G7, coder1_YH!G8)</f>
        <v>Toste et al., 2019</v>
      </c>
      <c r="H8" s="405" t="str">
        <f>clean_mod!I8</f>
        <v>2019</v>
      </c>
      <c r="I8" t="str">
        <f>clean_mod!G8</f>
        <v>102</v>
      </c>
      <c r="J8">
        <f>clean_mod!H8</f>
        <v>102</v>
      </c>
      <c r="K8" t="str">
        <f>IF(coder1_YH!P8="",K7, coder1_YH!P8)</f>
        <v>ctl</v>
      </c>
      <c r="L8" s="324" t="str">
        <f>IF(clean_mod!AF8="",L7,clean_mod!AF8)</f>
        <v>102-..</v>
      </c>
      <c r="M8" s="324" t="str">
        <f>IF(clean_mod!AG8="",M7,clean_mod!AG8)</f>
        <v>102-BAU</v>
      </c>
      <c r="N8" s="372" t="str">
        <f t="shared" si="0"/>
        <v>102-ctl-2</v>
      </c>
      <c r="O8" s="372" t="str">
        <f t="shared" si="1"/>
        <v>102-ctl-2</v>
      </c>
      <c r="P8" s="369">
        <v>2</v>
      </c>
      <c r="Q8" s="369" t="str">
        <f>LEFT(coder1_YH!AK8,1)</f>
        <v>1</v>
      </c>
      <c r="R8" s="369" t="str">
        <f>LEFT(coder1_YH!AL8,1)</f>
        <v>0</v>
      </c>
      <c r="S8" s="369" t="str">
        <f>coder1_YH!AJ8</f>
        <v>WJIII PC</v>
      </c>
      <c r="T8" s="370">
        <f>coder1_YH!AN8</f>
        <v>87.19</v>
      </c>
      <c r="U8" s="370">
        <f>coder1_YH!AO8</f>
        <v>6.97</v>
      </c>
      <c r="V8" s="370">
        <f>coder1_YH!AP8</f>
        <v>37</v>
      </c>
      <c r="W8" s="370">
        <f>coder1_YH!AQ8</f>
        <v>89.06</v>
      </c>
      <c r="X8" s="370">
        <f>coder1_YH!AR8</f>
        <v>6.59</v>
      </c>
      <c r="Y8" s="370">
        <f>coder1_YH!AS8</f>
        <v>36</v>
      </c>
      <c r="Z8" s="371">
        <f t="shared" si="2"/>
        <v>87.19</v>
      </c>
      <c r="AA8" s="371">
        <f t="shared" si="3"/>
        <v>6.97</v>
      </c>
      <c r="AB8" s="371">
        <f t="shared" si="4"/>
        <v>37</v>
      </c>
      <c r="AC8" s="371">
        <f t="shared" si="5"/>
        <v>89.06</v>
      </c>
      <c r="AD8" s="371">
        <f t="shared" si="6"/>
        <v>6.59</v>
      </c>
      <c r="AE8" s="371">
        <f t="shared" si="7"/>
        <v>36</v>
      </c>
    </row>
    <row r="9" spans="1:35" x14ac:dyDescent="0.2">
      <c r="A9">
        <f>coder1_YH!B9</f>
        <v>0</v>
      </c>
      <c r="B9">
        <f>coder1_YH!C9</f>
        <v>9</v>
      </c>
      <c r="C9">
        <f>coder1_YH!D9</f>
        <v>0</v>
      </c>
      <c r="D9">
        <f>coder1_YH!E9</f>
        <v>0</v>
      </c>
      <c r="E9" t="str">
        <f>coder1_YH!F9</f>
        <v/>
      </c>
      <c r="G9" t="str">
        <f>IF(coder1_YH!G9="",G8, coder1_YH!G9)</f>
        <v>Toste et al., 2019</v>
      </c>
      <c r="H9" s="405" t="str">
        <f>clean_mod!I9</f>
        <v>2019</v>
      </c>
      <c r="I9" t="str">
        <f>clean_mod!G9</f>
        <v>102</v>
      </c>
      <c r="J9">
        <f>clean_mod!H9</f>
        <v>102</v>
      </c>
      <c r="K9" t="str">
        <f>IF(coder1_YH!P9="",K8, coder1_YH!P9)</f>
        <v>ctl</v>
      </c>
      <c r="L9" s="324" t="str">
        <f>IF(clean_mod!AF9="",L8,clean_mod!AF9)</f>
        <v>102-..</v>
      </c>
      <c r="M9" s="324" t="str">
        <f>IF(clean_mod!AG9="",M8,clean_mod!AG9)</f>
        <v>102-BAU</v>
      </c>
      <c r="N9" s="372" t="str">
        <f t="shared" si="0"/>
        <v>102-ctl-3</v>
      </c>
      <c r="O9" s="372" t="str">
        <f t="shared" si="1"/>
        <v>102-ctl-3</v>
      </c>
      <c r="P9" s="369">
        <v>3</v>
      </c>
      <c r="Q9" s="369" t="str">
        <f>LEFT(coder1_YH!AK9,1)</f>
        <v>1</v>
      </c>
      <c r="R9" s="369" t="str">
        <f>LEFT(coder1_YH!AL9,1)</f>
        <v>0</v>
      </c>
      <c r="S9" s="369" t="str">
        <f>coder1_YH!AJ9</f>
        <v>GMRT-RC</v>
      </c>
      <c r="T9" s="370">
        <f>coder1_YH!AN9</f>
        <v>91.31</v>
      </c>
      <c r="U9" s="370">
        <f>coder1_YH!AO9</f>
        <v>9.9700000000000006</v>
      </c>
      <c r="V9" s="370">
        <f>coder1_YH!AP9</f>
        <v>36</v>
      </c>
      <c r="W9" s="370">
        <f>coder1_YH!AQ9</f>
        <v>90.8</v>
      </c>
      <c r="X9" s="370">
        <f>coder1_YH!AR9</f>
        <v>7.82</v>
      </c>
      <c r="Y9" s="370">
        <f>coder1_YH!AS9</f>
        <v>36</v>
      </c>
      <c r="Z9" s="371">
        <f t="shared" si="2"/>
        <v>91.31</v>
      </c>
      <c r="AA9" s="371">
        <f t="shared" si="3"/>
        <v>9.9700000000000006</v>
      </c>
      <c r="AB9" s="371">
        <f t="shared" si="4"/>
        <v>36</v>
      </c>
      <c r="AC9" s="371">
        <f t="shared" si="5"/>
        <v>90.8</v>
      </c>
      <c r="AD9" s="371">
        <f t="shared" si="6"/>
        <v>7.82</v>
      </c>
      <c r="AE9" s="371">
        <f t="shared" si="7"/>
        <v>36</v>
      </c>
    </row>
    <row r="10" spans="1:35" x14ac:dyDescent="0.2">
      <c r="A10">
        <f>coder1_YH!B10</f>
        <v>0</v>
      </c>
      <c r="B10">
        <f>coder1_YH!C10</f>
        <v>10</v>
      </c>
      <c r="C10">
        <f>coder1_YH!D10</f>
        <v>0</v>
      </c>
      <c r="D10">
        <f>coder1_YH!E10</f>
        <v>0</v>
      </c>
      <c r="E10" t="b">
        <f>coder1_YH!F10</f>
        <v>1</v>
      </c>
      <c r="G10" t="str">
        <f>IF(coder1_YH!G10="",G9, coder1_YH!G10)</f>
        <v>Toste et al., 2017</v>
      </c>
      <c r="H10" s="405" t="str">
        <f>clean_mod!I10</f>
        <v>2017</v>
      </c>
      <c r="I10" t="str">
        <f>clean_mod!G10</f>
        <v>103</v>
      </c>
      <c r="J10">
        <f>clean_mod!H10</f>
        <v>103</v>
      </c>
      <c r="K10">
        <f>IF(coder1_YH!P10="",K9, coder1_YH!P10)</f>
        <v>2</v>
      </c>
      <c r="L10" s="324" t="str">
        <f>IF(clean_mod!AF10="",L9,clean_mod!AF10)</f>
        <v xml:space="preserve">103-.c </v>
      </c>
      <c r="M10" s="324" t="str">
        <f>IF(clean_mod!AG10="",M9,clean_mod!AG10)</f>
        <v>103-R</v>
      </c>
      <c r="N10" s="372" t="str">
        <f t="shared" si="0"/>
        <v>103-ctl-4</v>
      </c>
      <c r="O10" s="372" t="str">
        <f t="shared" si="1"/>
        <v>103-2-4</v>
      </c>
      <c r="P10" s="369">
        <v>4</v>
      </c>
      <c r="Q10" s="369" t="str">
        <f>LEFT(coder1_YH!AK10,1)</f>
        <v>1</v>
      </c>
      <c r="R10" s="369" t="str">
        <f>LEFT(coder1_YH!AL10,1)</f>
        <v>0</v>
      </c>
      <c r="S10" s="369" t="str">
        <f>coder1_YH!AJ10</f>
        <v>WRAT4 - Sentence comprehension</v>
      </c>
      <c r="T10" s="370">
        <f>coder1_YH!AN10</f>
        <v>98.33</v>
      </c>
      <c r="U10" s="370">
        <f>coder1_YH!AO10</f>
        <v>10.6</v>
      </c>
      <c r="V10" s="370">
        <f>coder1_YH!AP10</f>
        <v>18</v>
      </c>
      <c r="W10" s="370">
        <f>coder1_YH!AQ10</f>
        <v>97.17</v>
      </c>
      <c r="X10" s="370">
        <f>coder1_YH!AR10</f>
        <v>7.9</v>
      </c>
      <c r="Y10" s="370">
        <f>coder1_YH!AS10</f>
        <v>18</v>
      </c>
      <c r="Z10" s="371">
        <f t="shared" si="2"/>
        <v>90.36</v>
      </c>
      <c r="AA10" s="371">
        <f t="shared" si="3"/>
        <v>10.61</v>
      </c>
      <c r="AB10" s="371">
        <f t="shared" si="4"/>
        <v>22</v>
      </c>
      <c r="AC10" s="371">
        <f t="shared" si="5"/>
        <v>94.91</v>
      </c>
      <c r="AD10" s="371">
        <f t="shared" si="6"/>
        <v>14.33</v>
      </c>
      <c r="AE10" s="371">
        <f t="shared" si="7"/>
        <v>21</v>
      </c>
    </row>
    <row r="11" spans="1:35" x14ac:dyDescent="0.2">
      <c r="A11">
        <f>coder1_YH!B11</f>
        <v>0</v>
      </c>
      <c r="B11">
        <f>coder1_YH!C11</f>
        <v>11</v>
      </c>
      <c r="C11" t="b">
        <f>coder1_YH!D11</f>
        <v>1</v>
      </c>
      <c r="D11" t="b">
        <f>coder1_YH!E11</f>
        <v>1</v>
      </c>
      <c r="E11" t="b">
        <f>coder1_YH!F11</f>
        <v>1</v>
      </c>
      <c r="G11" t="str">
        <f>IF(coder1_YH!G11="",G10, coder1_YH!G11)</f>
        <v>Toste et al., 2017</v>
      </c>
      <c r="H11" s="405" t="str">
        <f>clean_mod!I11</f>
        <v>2017</v>
      </c>
      <c r="I11" t="str">
        <f>clean_mod!G11</f>
        <v>103</v>
      </c>
      <c r="J11">
        <f>clean_mod!H11</f>
        <v>103</v>
      </c>
      <c r="K11">
        <f>IF(coder1_YH!P11="",K10, coder1_YH!P11)</f>
        <v>1</v>
      </c>
      <c r="L11" s="324" t="str">
        <f>IF(clean_mod!AF11="",L10,clean_mod!AF11)</f>
        <v xml:space="preserve">103-Tc </v>
      </c>
      <c r="M11" s="324" t="str">
        <f>IF(clean_mod!AG11="",M10,clean_mod!AG11)</f>
        <v>103-T_R</v>
      </c>
      <c r="N11" s="372" t="str">
        <f t="shared" si="0"/>
        <v>103-ctl-4</v>
      </c>
      <c r="O11" s="372" t="str">
        <f t="shared" si="1"/>
        <v>103-1-4</v>
      </c>
      <c r="P11" s="369">
        <v>4</v>
      </c>
      <c r="Q11" s="369" t="str">
        <f>LEFT(coder1_YH!AK11,1)</f>
        <v>1</v>
      </c>
      <c r="R11" s="369" t="str">
        <f>LEFT(coder1_YH!AL11,1)</f>
        <v>0</v>
      </c>
      <c r="S11" s="369" t="str">
        <f>coder1_YH!AJ11</f>
        <v>WRAT4 - Sentence comprehension</v>
      </c>
      <c r="T11" s="370">
        <f>coder1_YH!AN11</f>
        <v>94.89</v>
      </c>
      <c r="U11" s="370">
        <f>coder1_YH!AO11</f>
        <v>9.64</v>
      </c>
      <c r="V11" s="370">
        <f>coder1_YH!AP11</f>
        <v>19</v>
      </c>
      <c r="W11" s="370">
        <f>coder1_YH!AQ11</f>
        <v>100.47</v>
      </c>
      <c r="X11" s="370">
        <f>coder1_YH!AR11</f>
        <v>9.9700000000000006</v>
      </c>
      <c r="Y11" s="370">
        <f>coder1_YH!AS11</f>
        <v>19</v>
      </c>
      <c r="Z11" s="371">
        <f t="shared" si="2"/>
        <v>90.36</v>
      </c>
      <c r="AA11" s="371">
        <f t="shared" si="3"/>
        <v>10.61</v>
      </c>
      <c r="AB11" s="371">
        <f t="shared" si="4"/>
        <v>22</v>
      </c>
      <c r="AC11" s="371">
        <f t="shared" si="5"/>
        <v>94.91</v>
      </c>
      <c r="AD11" s="371">
        <f t="shared" si="6"/>
        <v>14.33</v>
      </c>
      <c r="AE11" s="371">
        <f t="shared" si="7"/>
        <v>21</v>
      </c>
    </row>
    <row r="12" spans="1:35" x14ac:dyDescent="0.2">
      <c r="A12">
        <f>coder1_YH!B12</f>
        <v>0</v>
      </c>
      <c r="B12">
        <f>coder1_YH!C12</f>
        <v>12</v>
      </c>
      <c r="C12">
        <f>coder1_YH!D12</f>
        <v>0</v>
      </c>
      <c r="D12">
        <f>coder1_YH!E12</f>
        <v>0</v>
      </c>
      <c r="E12" t="b">
        <f>coder1_YH!F12</f>
        <v>1</v>
      </c>
      <c r="G12" t="str">
        <f>IF(coder1_YH!G12="",G11, coder1_YH!G12)</f>
        <v>Toste et al., 2017</v>
      </c>
      <c r="H12" s="405" t="str">
        <f>clean_mod!I12</f>
        <v>2017</v>
      </c>
      <c r="I12" t="str">
        <f>clean_mod!G12</f>
        <v>103</v>
      </c>
      <c r="J12">
        <f>clean_mod!H12</f>
        <v>103</v>
      </c>
      <c r="K12" t="str">
        <f>IF(coder1_YH!P12="",K11, coder1_YH!P12)</f>
        <v>ctl</v>
      </c>
      <c r="L12" s="324" t="str">
        <f>IF(clean_mod!AF12="",L11,clean_mod!AF12)</f>
        <v>103-..</v>
      </c>
      <c r="M12" s="324" t="str">
        <f>IF(clean_mod!AG12="",M11,clean_mod!AG12)</f>
        <v>103-BAU</v>
      </c>
      <c r="N12" s="372" t="str">
        <f t="shared" si="0"/>
        <v>103-ctl-4</v>
      </c>
      <c r="O12" s="372" t="str">
        <f t="shared" si="1"/>
        <v>103-ctl-4</v>
      </c>
      <c r="P12" s="369">
        <v>4</v>
      </c>
      <c r="Q12" s="369" t="str">
        <f>LEFT(coder1_YH!AK12,1)</f>
        <v>1</v>
      </c>
      <c r="R12" s="369" t="str">
        <f>LEFT(coder1_YH!AL12,1)</f>
        <v>0</v>
      </c>
      <c r="S12" s="369" t="str">
        <f>coder1_YH!AJ12</f>
        <v>WRAT4 - Sentence comprehension</v>
      </c>
      <c r="T12" s="370">
        <f>coder1_YH!AN12</f>
        <v>90.36</v>
      </c>
      <c r="U12" s="370">
        <f>coder1_YH!AO12</f>
        <v>10.61</v>
      </c>
      <c r="V12" s="370">
        <f>coder1_YH!AP12</f>
        <v>22</v>
      </c>
      <c r="W12" s="370">
        <f>coder1_YH!AQ12</f>
        <v>94.91</v>
      </c>
      <c r="X12" s="370">
        <f>coder1_YH!AR12</f>
        <v>14.33</v>
      </c>
      <c r="Y12" s="370">
        <f>coder1_YH!AS12</f>
        <v>21</v>
      </c>
      <c r="Z12" s="371">
        <f t="shared" si="2"/>
        <v>90.36</v>
      </c>
      <c r="AA12" s="371">
        <f t="shared" si="3"/>
        <v>10.61</v>
      </c>
      <c r="AB12" s="371">
        <f t="shared" si="4"/>
        <v>22</v>
      </c>
      <c r="AC12" s="371">
        <f t="shared" si="5"/>
        <v>94.91</v>
      </c>
      <c r="AD12" s="371">
        <f t="shared" si="6"/>
        <v>14.33</v>
      </c>
      <c r="AE12" s="371">
        <f t="shared" si="7"/>
        <v>21</v>
      </c>
    </row>
    <row r="13" spans="1:35" x14ac:dyDescent="0.2">
      <c r="A13">
        <f>coder1_YH!B13</f>
        <v>0</v>
      </c>
      <c r="B13">
        <f>coder1_YH!C13</f>
        <v>13</v>
      </c>
      <c r="C13" t="b">
        <f>coder1_YH!D13</f>
        <v>1</v>
      </c>
      <c r="D13" t="b">
        <f>coder1_YH!E13</f>
        <v>1</v>
      </c>
      <c r="E13" t="b">
        <f>coder1_YH!F13</f>
        <v>1</v>
      </c>
      <c r="G13" t="str">
        <f>IF(coder1_YH!G13="",G12, coder1_YH!G13)</f>
        <v>Berkeley et al., 2011</v>
      </c>
      <c r="H13" s="405" t="str">
        <f>clean_mod!I13</f>
        <v>2011</v>
      </c>
      <c r="I13" t="str">
        <f>clean_mod!G13</f>
        <v>104</v>
      </c>
      <c r="J13">
        <f>clean_mod!H13</f>
        <v>104</v>
      </c>
      <c r="K13">
        <f>IF(coder1_YH!P13="",K12, coder1_YH!P13)</f>
        <v>1</v>
      </c>
      <c r="L13" s="324" t="str">
        <f>IF(clean_mod!AF13="",L12,clean_mod!AF13)</f>
        <v xml:space="preserve">104-NTm </v>
      </c>
      <c r="M13" s="324" t="str">
        <f>IF(clean_mod!AG13="",M12,clean_mod!AG13)</f>
        <v>104-NT_R</v>
      </c>
      <c r="N13" s="372" t="str">
        <f t="shared" si="0"/>
        <v>104-ctl-5</v>
      </c>
      <c r="O13" s="372" t="str">
        <f t="shared" si="1"/>
        <v>104-1-5</v>
      </c>
      <c r="P13" s="369">
        <v>5</v>
      </c>
      <c r="Q13" s="369" t="str">
        <f>LEFT(coder1_YH!AK13,1)</f>
        <v>0</v>
      </c>
      <c r="R13" s="369" t="str">
        <f>LEFT(coder1_YH!AL13,1)</f>
        <v>0</v>
      </c>
      <c r="S13" s="369" t="str">
        <f>coder1_YH!AJ13</f>
        <v>Summary test</v>
      </c>
      <c r="T13" s="370">
        <f>coder1_YH!AN13</f>
        <v>3.8</v>
      </c>
      <c r="U13" s="370">
        <f>coder1_YH!AO13</f>
        <v>1.28</v>
      </c>
      <c r="V13" s="370">
        <f>coder1_YH!AP13</f>
        <v>20</v>
      </c>
      <c r="W13" s="370">
        <f>coder1_YH!AQ13</f>
        <v>7.5</v>
      </c>
      <c r="X13" s="370">
        <f>coder1_YH!AR13</f>
        <v>2.1800000000000002</v>
      </c>
      <c r="Y13" s="370">
        <f>coder1_YH!AS13</f>
        <v>20</v>
      </c>
      <c r="Z13" s="371">
        <f t="shared" si="2"/>
        <v>3.95</v>
      </c>
      <c r="AA13" s="371">
        <f t="shared" si="3"/>
        <v>1.46</v>
      </c>
      <c r="AB13" s="371">
        <f t="shared" si="4"/>
        <v>20</v>
      </c>
      <c r="AC13" s="371">
        <f t="shared" si="5"/>
        <v>4.83</v>
      </c>
      <c r="AD13" s="371">
        <f t="shared" si="6"/>
        <v>1.52</v>
      </c>
      <c r="AE13" s="371">
        <f t="shared" si="7"/>
        <v>20</v>
      </c>
    </row>
    <row r="14" spans="1:35" x14ac:dyDescent="0.2">
      <c r="A14">
        <f>coder1_YH!B14</f>
        <v>0</v>
      </c>
      <c r="B14">
        <f>coder1_YH!C14</f>
        <v>14</v>
      </c>
      <c r="C14">
        <f>coder1_YH!D14</f>
        <v>0</v>
      </c>
      <c r="D14" t="str">
        <f>coder1_YH!E14</f>
        <v/>
      </c>
      <c r="E14" t="str">
        <f>coder1_YH!F14</f>
        <v/>
      </c>
      <c r="G14" t="str">
        <f>IF(coder1_YH!G14="",G13, coder1_YH!G14)</f>
        <v>Berkeley et al., 2011</v>
      </c>
      <c r="H14" s="405" t="str">
        <f>clean_mod!I14</f>
        <v>2011</v>
      </c>
      <c r="I14" t="str">
        <f>clean_mod!G14</f>
        <v>104</v>
      </c>
      <c r="J14">
        <f>clean_mod!H14</f>
        <v>104</v>
      </c>
      <c r="K14">
        <f>IF(coder1_YH!P14="",K13, coder1_YH!P14)</f>
        <v>1</v>
      </c>
      <c r="L14" s="324" t="str">
        <f>IF(clean_mod!AF14="",L13,clean_mod!AF14)</f>
        <v xml:space="preserve">104-NTm </v>
      </c>
      <c r="M14" s="324" t="str">
        <f>IF(clean_mod!AG14="",M13,clean_mod!AG14)</f>
        <v>104-NT_R</v>
      </c>
      <c r="N14" s="372" t="str">
        <f t="shared" si="0"/>
        <v>104-ctl-6</v>
      </c>
      <c r="O14" s="372" t="str">
        <f t="shared" si="1"/>
        <v>104-1-6</v>
      </c>
      <c r="P14" s="369">
        <v>6</v>
      </c>
      <c r="Q14" s="369" t="str">
        <f>LEFT(coder1_YH!AK14,1)</f>
        <v>0</v>
      </c>
      <c r="R14" s="369" t="str">
        <f>LEFT(coder1_YH!AL14,1)</f>
        <v>0</v>
      </c>
      <c r="S14" s="369" t="str">
        <f>coder1_YH!AJ14</f>
        <v>Passage test</v>
      </c>
      <c r="T14" s="370">
        <f>coder1_YH!AN14</f>
        <v>6.55</v>
      </c>
      <c r="U14" s="370">
        <f>coder1_YH!AO14</f>
        <v>2.2799999999999998</v>
      </c>
      <c r="V14" s="370">
        <f>coder1_YH!AP14</f>
        <v>20</v>
      </c>
      <c r="W14" s="370">
        <f>coder1_YH!AQ14</f>
        <v>8.9499999999999993</v>
      </c>
      <c r="X14" s="370">
        <f>coder1_YH!AR14</f>
        <v>3.49</v>
      </c>
      <c r="Y14" s="370">
        <f>coder1_YH!AS14</f>
        <v>20</v>
      </c>
      <c r="Z14" s="371">
        <f t="shared" si="2"/>
        <v>5.8</v>
      </c>
      <c r="AA14" s="371">
        <f t="shared" si="3"/>
        <v>2.34</v>
      </c>
      <c r="AB14" s="371">
        <f t="shared" si="4"/>
        <v>20</v>
      </c>
      <c r="AC14" s="371">
        <f t="shared" si="5"/>
        <v>8.4499999999999993</v>
      </c>
      <c r="AD14" s="371">
        <f t="shared" si="6"/>
        <v>3.83</v>
      </c>
      <c r="AE14" s="371">
        <f t="shared" si="7"/>
        <v>20</v>
      </c>
    </row>
    <row r="15" spans="1:35" x14ac:dyDescent="0.2">
      <c r="A15">
        <f>coder1_YH!B15</f>
        <v>0</v>
      </c>
      <c r="B15">
        <f>coder1_YH!C15</f>
        <v>15</v>
      </c>
      <c r="C15">
        <f>coder1_YH!D15</f>
        <v>0</v>
      </c>
      <c r="D15" t="str">
        <f>coder1_YH!E15</f>
        <v/>
      </c>
      <c r="E15" t="b">
        <f>coder1_YH!F15</f>
        <v>1</v>
      </c>
      <c r="G15" t="str">
        <f>IF(coder1_YH!G15="",G14, coder1_YH!G15)</f>
        <v>Berkeley et al., 2011</v>
      </c>
      <c r="H15" s="405" t="str">
        <f>clean_mod!I15</f>
        <v>2011</v>
      </c>
      <c r="I15" t="str">
        <f>clean_mod!G15</f>
        <v>104</v>
      </c>
      <c r="J15">
        <f>clean_mod!H15</f>
        <v>104</v>
      </c>
      <c r="K15">
        <f>IF(coder1_YH!P15="",K14, coder1_YH!P15)</f>
        <v>2</v>
      </c>
      <c r="L15" s="324" t="str">
        <f>IF(clean_mod!AF15="",L14,clean_mod!AF15)</f>
        <v xml:space="preserve">104-Nm </v>
      </c>
      <c r="M15" s="324" t="str">
        <f>IF(clean_mod!AG15="",M14,clean_mod!AG15)</f>
        <v>104-N_R</v>
      </c>
      <c r="N15" s="372" t="str">
        <f t="shared" si="0"/>
        <v>104-ctl-5</v>
      </c>
      <c r="O15" s="372" t="str">
        <f t="shared" si="1"/>
        <v>104-2-5</v>
      </c>
      <c r="P15" s="369">
        <v>5</v>
      </c>
      <c r="Q15" s="369" t="str">
        <f>LEFT(coder1_YH!AK15,1)</f>
        <v>0</v>
      </c>
      <c r="R15" s="369" t="str">
        <f>LEFT(coder1_YH!AL15,1)</f>
        <v>0</v>
      </c>
      <c r="S15" s="369" t="str">
        <f>coder1_YH!AJ15</f>
        <v>Summary test</v>
      </c>
      <c r="T15" s="370">
        <f>coder1_YH!AN15</f>
        <v>3.61</v>
      </c>
      <c r="U15" s="370">
        <f>coder1_YH!AO15</f>
        <v>1.72</v>
      </c>
      <c r="V15" s="370">
        <f>coder1_YH!AP15</f>
        <v>19</v>
      </c>
      <c r="W15" s="370">
        <f>coder1_YH!AQ15</f>
        <v>6.4</v>
      </c>
      <c r="X15" s="370">
        <f>coder1_YH!AR15</f>
        <v>1.81</v>
      </c>
      <c r="Y15" s="370">
        <f>coder1_YH!AS15</f>
        <v>19</v>
      </c>
      <c r="Z15" s="371">
        <f t="shared" si="2"/>
        <v>3.95</v>
      </c>
      <c r="AA15" s="371">
        <f t="shared" si="3"/>
        <v>1.46</v>
      </c>
      <c r="AB15" s="371">
        <f t="shared" si="4"/>
        <v>20</v>
      </c>
      <c r="AC15" s="371">
        <f t="shared" si="5"/>
        <v>4.83</v>
      </c>
      <c r="AD15" s="371">
        <f t="shared" si="6"/>
        <v>1.52</v>
      </c>
      <c r="AE15" s="371">
        <f t="shared" si="7"/>
        <v>20</v>
      </c>
    </row>
    <row r="16" spans="1:35" x14ac:dyDescent="0.2">
      <c r="A16">
        <f>coder1_YH!B16</f>
        <v>0</v>
      </c>
      <c r="B16">
        <f>coder1_YH!C16</f>
        <v>16</v>
      </c>
      <c r="C16">
        <f>coder1_YH!D16</f>
        <v>0</v>
      </c>
      <c r="D16" t="str">
        <f>coder1_YH!E16</f>
        <v/>
      </c>
      <c r="E16" t="str">
        <f>coder1_YH!F16</f>
        <v/>
      </c>
      <c r="G16" t="str">
        <f>IF(coder1_YH!G16="",G15, coder1_YH!G16)</f>
        <v>Berkeley et al., 2011</v>
      </c>
      <c r="H16" s="405" t="str">
        <f>clean_mod!I16</f>
        <v>2011</v>
      </c>
      <c r="I16" t="str">
        <f>clean_mod!G16</f>
        <v>104</v>
      </c>
      <c r="J16">
        <f>clean_mod!H16</f>
        <v>104</v>
      </c>
      <c r="K16">
        <f>IF(coder1_YH!P16="",K15, coder1_YH!P16)</f>
        <v>2</v>
      </c>
      <c r="L16" s="324" t="str">
        <f>IF(clean_mod!AF16="",L15,clean_mod!AF16)</f>
        <v xml:space="preserve">104-Nm </v>
      </c>
      <c r="M16" s="324" t="str">
        <f>IF(clean_mod!AG16="",M15,clean_mod!AG16)</f>
        <v>104-N_R</v>
      </c>
      <c r="N16" s="372" t="str">
        <f t="shared" si="0"/>
        <v>104-ctl-6</v>
      </c>
      <c r="O16" s="372" t="str">
        <f t="shared" si="1"/>
        <v>104-2-6</v>
      </c>
      <c r="P16" s="369">
        <v>6</v>
      </c>
      <c r="Q16" s="369" t="str">
        <f>LEFT(coder1_YH!AK16,1)</f>
        <v>0</v>
      </c>
      <c r="R16" s="369" t="str">
        <f>LEFT(coder1_YH!AL16,1)</f>
        <v>0</v>
      </c>
      <c r="S16" s="369" t="str">
        <f>coder1_YH!AJ16</f>
        <v>Passage test</v>
      </c>
      <c r="T16" s="370">
        <f>coder1_YH!AN16</f>
        <v>5.89</v>
      </c>
      <c r="U16" s="370">
        <f>coder1_YH!AO16</f>
        <v>2.16</v>
      </c>
      <c r="V16" s="370">
        <f>coder1_YH!AP16</f>
        <v>19</v>
      </c>
      <c r="W16" s="370">
        <f>coder1_YH!AQ16</f>
        <v>7.84</v>
      </c>
      <c r="X16" s="370">
        <f>coder1_YH!AR16</f>
        <v>3.83</v>
      </c>
      <c r="Y16" s="370">
        <f>coder1_YH!AS16</f>
        <v>19</v>
      </c>
      <c r="Z16" s="371">
        <f t="shared" si="2"/>
        <v>5.8</v>
      </c>
      <c r="AA16" s="371">
        <f t="shared" si="3"/>
        <v>2.34</v>
      </c>
      <c r="AB16" s="371">
        <f t="shared" si="4"/>
        <v>20</v>
      </c>
      <c r="AC16" s="371">
        <f t="shared" si="5"/>
        <v>8.4499999999999993</v>
      </c>
      <c r="AD16" s="371">
        <f t="shared" si="6"/>
        <v>3.83</v>
      </c>
      <c r="AE16" s="371">
        <f t="shared" si="7"/>
        <v>20</v>
      </c>
    </row>
    <row r="17" spans="1:31" x14ac:dyDescent="0.2">
      <c r="A17">
        <f>coder1_YH!B17</f>
        <v>0</v>
      </c>
      <c r="B17">
        <f>coder1_YH!C17</f>
        <v>17</v>
      </c>
      <c r="C17">
        <f>coder1_YH!D17</f>
        <v>0</v>
      </c>
      <c r="D17" t="str">
        <f>coder1_YH!E17</f>
        <v/>
      </c>
      <c r="E17" t="b">
        <f>coder1_YH!F17</f>
        <v>1</v>
      </c>
      <c r="G17" t="str">
        <f>IF(coder1_YH!G17="",G16, coder1_YH!G17)</f>
        <v>Berkeley et al., 2011</v>
      </c>
      <c r="H17" s="405" t="str">
        <f>clean_mod!I17</f>
        <v>2011</v>
      </c>
      <c r="I17" t="str">
        <f>clean_mod!G17</f>
        <v>104</v>
      </c>
      <c r="J17">
        <f>clean_mod!H17</f>
        <v>104</v>
      </c>
      <c r="K17" t="str">
        <f>IF(coder1_YH!P17="",K16, coder1_YH!P17)</f>
        <v>ctl</v>
      </c>
      <c r="L17" s="324" t="str">
        <f>IF(clean_mod!AF17="",L16,clean_mod!AF17)</f>
        <v>104-Gcm</v>
      </c>
      <c r="M17" s="324" t="str">
        <f>IF(clean_mod!AG17="",M16,clean_mod!AG17)</f>
        <v>104-G_R</v>
      </c>
      <c r="N17" s="372" t="str">
        <f t="shared" si="0"/>
        <v>104-ctl-5</v>
      </c>
      <c r="O17" s="372" t="str">
        <f t="shared" si="1"/>
        <v>104-ctl-5</v>
      </c>
      <c r="P17" s="369">
        <v>5</v>
      </c>
      <c r="Q17" s="369" t="str">
        <f>LEFT(coder1_YH!AK17,1)</f>
        <v>0</v>
      </c>
      <c r="R17" s="369" t="str">
        <f>LEFT(coder1_YH!AL17,1)</f>
        <v>0</v>
      </c>
      <c r="S17" s="369" t="str">
        <f>coder1_YH!AJ17</f>
        <v>Summary test</v>
      </c>
      <c r="T17" s="370">
        <f>coder1_YH!AN17</f>
        <v>3.95</v>
      </c>
      <c r="U17" s="370">
        <f>coder1_YH!AO17</f>
        <v>1.46</v>
      </c>
      <c r="V17" s="370">
        <f>coder1_YH!AP17</f>
        <v>20</v>
      </c>
      <c r="W17" s="370">
        <f>coder1_YH!AQ17</f>
        <v>4.83</v>
      </c>
      <c r="X17" s="370">
        <f>coder1_YH!AR17</f>
        <v>1.52</v>
      </c>
      <c r="Y17" s="370">
        <f>coder1_YH!AS17</f>
        <v>20</v>
      </c>
      <c r="Z17" s="371">
        <f t="shared" si="2"/>
        <v>3.95</v>
      </c>
      <c r="AA17" s="371">
        <f t="shared" si="3"/>
        <v>1.46</v>
      </c>
      <c r="AB17" s="371">
        <f t="shared" si="4"/>
        <v>20</v>
      </c>
      <c r="AC17" s="371">
        <f t="shared" si="5"/>
        <v>4.83</v>
      </c>
      <c r="AD17" s="371">
        <f t="shared" si="6"/>
        <v>1.52</v>
      </c>
      <c r="AE17" s="371">
        <f t="shared" si="7"/>
        <v>20</v>
      </c>
    </row>
    <row r="18" spans="1:31" x14ac:dyDescent="0.2">
      <c r="A18">
        <f>coder1_YH!B18</f>
        <v>0</v>
      </c>
      <c r="B18">
        <f>coder1_YH!C18</f>
        <v>18</v>
      </c>
      <c r="C18">
        <f>coder1_YH!D18</f>
        <v>0</v>
      </c>
      <c r="D18" t="str">
        <f>coder1_YH!E18</f>
        <v/>
      </c>
      <c r="E18" t="str">
        <f>coder1_YH!F18</f>
        <v/>
      </c>
      <c r="G18" t="str">
        <f>IF(coder1_YH!G18="",G17, coder1_YH!G18)</f>
        <v>Berkeley et al., 2011</v>
      </c>
      <c r="H18" s="405" t="str">
        <f>clean_mod!I18</f>
        <v>2011</v>
      </c>
      <c r="I18" t="str">
        <f>clean_mod!G18</f>
        <v>104</v>
      </c>
      <c r="J18">
        <f>clean_mod!H18</f>
        <v>104</v>
      </c>
      <c r="K18" t="str">
        <f>IF(coder1_YH!P18="",K17, coder1_YH!P18)</f>
        <v>ctl</v>
      </c>
      <c r="L18" s="324" t="str">
        <f>IF(clean_mod!AF18="",L17,clean_mod!AF18)</f>
        <v>104-Gcm</v>
      </c>
      <c r="M18" s="324" t="str">
        <f>IF(clean_mod!AG18="",M17,clean_mod!AG18)</f>
        <v>104-G_R</v>
      </c>
      <c r="N18" s="372" t="str">
        <f t="shared" si="0"/>
        <v>104-ctl-6</v>
      </c>
      <c r="O18" s="372" t="str">
        <f t="shared" si="1"/>
        <v>104-ctl-6</v>
      </c>
      <c r="P18" s="369">
        <v>6</v>
      </c>
      <c r="Q18" s="369" t="str">
        <f>LEFT(coder1_YH!AK18,1)</f>
        <v>0</v>
      </c>
      <c r="R18" s="369" t="str">
        <f>LEFT(coder1_YH!AL18,1)</f>
        <v>0</v>
      </c>
      <c r="S18" s="369" t="str">
        <f>coder1_YH!AJ18</f>
        <v>Passage test</v>
      </c>
      <c r="T18" s="370">
        <f>coder1_YH!AN18</f>
        <v>5.8</v>
      </c>
      <c r="U18" s="370">
        <f>coder1_YH!AO18</f>
        <v>2.34</v>
      </c>
      <c r="V18" s="370">
        <f>coder1_YH!AP18</f>
        <v>20</v>
      </c>
      <c r="W18" s="370">
        <f>coder1_YH!AQ18</f>
        <v>8.4499999999999993</v>
      </c>
      <c r="X18" s="370">
        <f>coder1_YH!AR18</f>
        <v>3.83</v>
      </c>
      <c r="Y18" s="370">
        <f>coder1_YH!AS18</f>
        <v>20</v>
      </c>
      <c r="Z18" s="371">
        <f t="shared" si="2"/>
        <v>5.8</v>
      </c>
      <c r="AA18" s="371">
        <f t="shared" si="3"/>
        <v>2.34</v>
      </c>
      <c r="AB18" s="371">
        <f t="shared" si="4"/>
        <v>20</v>
      </c>
      <c r="AC18" s="371">
        <f t="shared" si="5"/>
        <v>8.4499999999999993</v>
      </c>
      <c r="AD18" s="371">
        <f t="shared" si="6"/>
        <v>3.83</v>
      </c>
      <c r="AE18" s="371">
        <f t="shared" si="7"/>
        <v>20</v>
      </c>
    </row>
    <row r="19" spans="1:31" x14ac:dyDescent="0.2">
      <c r="A19">
        <f>coder1_YH!B19</f>
        <v>0</v>
      </c>
      <c r="B19">
        <f>coder1_YH!C19</f>
        <v>19</v>
      </c>
      <c r="C19" t="b">
        <f>coder1_YH!D19</f>
        <v>1</v>
      </c>
      <c r="D19" t="b">
        <f>coder1_YH!E19</f>
        <v>1</v>
      </c>
      <c r="E19" t="b">
        <f>coder1_YH!F19</f>
        <v>1</v>
      </c>
      <c r="G19" t="str">
        <f>IF(coder1_YH!G19="",G18, coder1_YH!G19)</f>
        <v>Schunk and Rice, 1989</v>
      </c>
      <c r="H19" s="405" t="str">
        <f>clean_mod!I19</f>
        <v>1989</v>
      </c>
      <c r="I19" t="str">
        <f>clean_mod!G19</f>
        <v>105</v>
      </c>
      <c r="J19">
        <f>clean_mod!H19</f>
        <v>105</v>
      </c>
      <c r="K19">
        <f>IF(coder1_YH!P19="",K18, coder1_YH!P19)</f>
        <v>1</v>
      </c>
      <c r="L19" s="324" t="str">
        <f>IF(clean_mod!AF19="",L18,clean_mod!AF19)</f>
        <v xml:space="preserve">105-Gm </v>
      </c>
      <c r="M19" s="324" t="str">
        <f>IF(clean_mod!AG19="",M18,clean_mod!AG19)</f>
        <v>105-G_R</v>
      </c>
      <c r="N19" s="372" t="str">
        <f t="shared" si="0"/>
        <v>105-ctl-7</v>
      </c>
      <c r="O19" s="372" t="str">
        <f t="shared" si="1"/>
        <v>105-1-7</v>
      </c>
      <c r="P19" s="369">
        <v>7</v>
      </c>
      <c r="Q19" s="369" t="str">
        <f>LEFT(coder1_YH!AK19,1)</f>
        <v>0</v>
      </c>
      <c r="R19" s="369" t="str">
        <f>LEFT(coder1_YH!AL19,1)</f>
        <v>0</v>
      </c>
      <c r="S19" s="369" t="str">
        <f>coder1_YH!AJ19</f>
        <v>Comprehension Skill</v>
      </c>
      <c r="T19" s="370">
        <f>coder1_YH!AN19</f>
        <v>7.8</v>
      </c>
      <c r="U19" s="370">
        <f>coder1_YH!AO19</f>
        <v>2.5</v>
      </c>
      <c r="V19" s="370">
        <f>coder1_YH!AP19</f>
        <v>11</v>
      </c>
      <c r="W19" s="370">
        <f>coder1_YH!AQ19</f>
        <v>12.5</v>
      </c>
      <c r="X19" s="370">
        <f>coder1_YH!AR19</f>
        <v>3.7</v>
      </c>
      <c r="Y19" s="370">
        <f>coder1_YH!AS19</f>
        <v>11</v>
      </c>
      <c r="Z19" s="371">
        <f t="shared" si="2"/>
        <v>7.6</v>
      </c>
      <c r="AA19" s="371">
        <f t="shared" si="3"/>
        <v>2.9</v>
      </c>
      <c r="AB19" s="371">
        <f t="shared" si="4"/>
        <v>11</v>
      </c>
      <c r="AC19" s="371">
        <f t="shared" si="5"/>
        <v>8.5</v>
      </c>
      <c r="AD19" s="371">
        <f t="shared" si="6"/>
        <v>2.2000000000000002</v>
      </c>
      <c r="AE19" s="371">
        <f t="shared" si="7"/>
        <v>11</v>
      </c>
    </row>
    <row r="20" spans="1:31" x14ac:dyDescent="0.2">
      <c r="A20">
        <f>coder1_YH!B20</f>
        <v>0</v>
      </c>
      <c r="B20">
        <f>coder1_YH!C20</f>
        <v>20</v>
      </c>
      <c r="C20">
        <f>coder1_YH!D20</f>
        <v>0</v>
      </c>
      <c r="D20" t="str">
        <f>coder1_YH!E20</f>
        <v/>
      </c>
      <c r="E20" t="b">
        <f>coder1_YH!F20</f>
        <v>1</v>
      </c>
      <c r="G20" t="str">
        <f>IF(coder1_YH!G20="",G19, coder1_YH!G20)</f>
        <v>Schunk and Rice, 1989</v>
      </c>
      <c r="H20" s="405" t="str">
        <f>clean_mod!I20</f>
        <v>1989</v>
      </c>
      <c r="I20" t="str">
        <f>clean_mod!G20</f>
        <v>105</v>
      </c>
      <c r="J20">
        <f>clean_mod!H20</f>
        <v>105</v>
      </c>
      <c r="K20">
        <f>IF(coder1_YH!P20="",K19, coder1_YH!P20)</f>
        <v>2</v>
      </c>
      <c r="L20" s="324" t="str">
        <f>IF(clean_mod!AF20="",L19,clean_mod!AF20)</f>
        <v xml:space="preserve">105-Gm </v>
      </c>
      <c r="M20" s="324" t="str">
        <f>IF(clean_mod!AG20="",M19,clean_mod!AG20)</f>
        <v>105-G_R</v>
      </c>
      <c r="N20" s="372" t="str">
        <f t="shared" si="0"/>
        <v>105-ctl-7</v>
      </c>
      <c r="O20" s="372" t="str">
        <f t="shared" si="1"/>
        <v>105-2-7</v>
      </c>
      <c r="P20" s="369">
        <v>7</v>
      </c>
      <c r="Q20" s="369" t="str">
        <f>LEFT(coder1_YH!AK20,1)</f>
        <v>0</v>
      </c>
      <c r="R20" s="369" t="str">
        <f>LEFT(coder1_YH!AL20,1)</f>
        <v>0</v>
      </c>
      <c r="S20" s="369" t="str">
        <f>coder1_YH!AJ20</f>
        <v>Comprehension Skill</v>
      </c>
      <c r="T20" s="370">
        <f>coder1_YH!AN20</f>
        <v>7.8</v>
      </c>
      <c r="U20" s="370">
        <f>coder1_YH!AO20</f>
        <v>1.9</v>
      </c>
      <c r="V20" s="370">
        <f>coder1_YH!AP20</f>
        <v>11</v>
      </c>
      <c r="W20" s="370">
        <f>coder1_YH!AQ20</f>
        <v>11.5</v>
      </c>
      <c r="X20" s="370">
        <f>coder1_YH!AR20</f>
        <v>3.4</v>
      </c>
      <c r="Y20" s="370">
        <f>coder1_YH!AS20</f>
        <v>11</v>
      </c>
      <c r="Z20" s="371">
        <f t="shared" si="2"/>
        <v>7.6</v>
      </c>
      <c r="AA20" s="371">
        <f t="shared" si="3"/>
        <v>2.9</v>
      </c>
      <c r="AB20" s="371">
        <f t="shared" si="4"/>
        <v>11</v>
      </c>
      <c r="AC20" s="371">
        <f t="shared" si="5"/>
        <v>8.5</v>
      </c>
      <c r="AD20" s="371">
        <f t="shared" si="6"/>
        <v>2.2000000000000002</v>
      </c>
      <c r="AE20" s="371">
        <f t="shared" si="7"/>
        <v>11</v>
      </c>
    </row>
    <row r="21" spans="1:31" x14ac:dyDescent="0.2">
      <c r="A21">
        <f>coder1_YH!B21</f>
        <v>0</v>
      </c>
      <c r="B21">
        <f>coder1_YH!C21</f>
        <v>21</v>
      </c>
      <c r="C21">
        <f>coder1_YH!D21</f>
        <v>0</v>
      </c>
      <c r="D21" t="str">
        <f>coder1_YH!E21</f>
        <v/>
      </c>
      <c r="E21" t="b">
        <f>coder1_YH!F21</f>
        <v>1</v>
      </c>
      <c r="G21" t="str">
        <f>IF(coder1_YH!G21="",G20, coder1_YH!G21)</f>
        <v>Schunk and Rice, 1989</v>
      </c>
      <c r="H21" s="405" t="str">
        <f>clean_mod!I21</f>
        <v>1989</v>
      </c>
      <c r="I21" t="str">
        <f>clean_mod!G21</f>
        <v>105</v>
      </c>
      <c r="J21">
        <f>clean_mod!H21</f>
        <v>105</v>
      </c>
      <c r="K21" t="str">
        <f>IF(coder1_YH!P21="",K20, coder1_YH!P21)</f>
        <v>ctl</v>
      </c>
      <c r="L21" s="324" t="str">
        <f>IF(clean_mod!AF21="",L20,clean_mod!AF21)</f>
        <v xml:space="preserve">105-.m </v>
      </c>
      <c r="M21" s="324" t="str">
        <f>IF(clean_mod!AG21="",M20,clean_mod!AG21)</f>
        <v>105-R</v>
      </c>
      <c r="N21" s="372" t="str">
        <f t="shared" si="0"/>
        <v>105-ctl-7</v>
      </c>
      <c r="O21" s="372" t="str">
        <f t="shared" si="1"/>
        <v>105-ctl-7</v>
      </c>
      <c r="P21" s="369">
        <v>7</v>
      </c>
      <c r="Q21" s="369" t="str">
        <f>LEFT(coder1_YH!AK21,1)</f>
        <v>0</v>
      </c>
      <c r="R21" s="369" t="str">
        <f>LEFT(coder1_YH!AL21,1)</f>
        <v>0</v>
      </c>
      <c r="S21" s="369" t="str">
        <f>coder1_YH!AJ21</f>
        <v>Comprehension Skill</v>
      </c>
      <c r="T21" s="370">
        <f>coder1_YH!AN21</f>
        <v>7.6</v>
      </c>
      <c r="U21" s="370">
        <f>coder1_YH!AO21</f>
        <v>2.9</v>
      </c>
      <c r="V21" s="370">
        <f>coder1_YH!AP21</f>
        <v>11</v>
      </c>
      <c r="W21" s="370">
        <f>coder1_YH!AQ21</f>
        <v>8.5</v>
      </c>
      <c r="X21" s="370">
        <f>coder1_YH!AR21</f>
        <v>2.2000000000000002</v>
      </c>
      <c r="Y21" s="370">
        <f>coder1_YH!AS21</f>
        <v>11</v>
      </c>
      <c r="Z21" s="371">
        <f t="shared" si="2"/>
        <v>7.6</v>
      </c>
      <c r="AA21" s="371">
        <f t="shared" si="3"/>
        <v>2.9</v>
      </c>
      <c r="AB21" s="371">
        <f t="shared" si="4"/>
        <v>11</v>
      </c>
      <c r="AC21" s="371">
        <f t="shared" si="5"/>
        <v>8.5</v>
      </c>
      <c r="AD21" s="371">
        <f t="shared" si="6"/>
        <v>2.2000000000000002</v>
      </c>
      <c r="AE21" s="371">
        <f t="shared" si="7"/>
        <v>11</v>
      </c>
    </row>
    <row r="22" spans="1:31" x14ac:dyDescent="0.2">
      <c r="A22" t="str">
        <f>coder1_YH!B22</f>
        <v>EX</v>
      </c>
      <c r="B22">
        <f>coder1_YH!C22</f>
        <v>22</v>
      </c>
      <c r="C22">
        <f>coder1_YH!D22</f>
        <v>0</v>
      </c>
      <c r="D22">
        <f>coder1_YH!E22</f>
        <v>0</v>
      </c>
      <c r="E22" t="b">
        <f>coder1_YH!F22</f>
        <v>1</v>
      </c>
      <c r="G22" t="str">
        <f>IF(coder1_YH!G22="",G21, coder1_YH!G22)</f>
        <v>Schunk and Rice, 1991</v>
      </c>
      <c r="H22" s="405" t="str">
        <f>clean_mod!I22</f>
        <v>1991</v>
      </c>
      <c r="I22" t="str">
        <f>clean_mod!G22</f>
        <v>106</v>
      </c>
      <c r="J22">
        <f>clean_mod!H22</f>
        <v>106</v>
      </c>
      <c r="K22">
        <f>IF(coder1_YH!P22="",K21, coder1_YH!P22)</f>
        <v>1</v>
      </c>
      <c r="L22" s="324" t="str">
        <f>IF(clean_mod!AF22="",L21,clean_mod!AF22)</f>
        <v xml:space="preserve">106-Gm </v>
      </c>
      <c r="M22" s="324" t="str">
        <f>IF(clean_mod!AG22="",M21,clean_mod!AG22)</f>
        <v>106-G_R</v>
      </c>
      <c r="N22" s="372" t="str">
        <f t="shared" si="0"/>
        <v>106-ctl-8</v>
      </c>
      <c r="O22" s="372" t="str">
        <f t="shared" si="1"/>
        <v>106-1-8</v>
      </c>
      <c r="P22" s="369">
        <v>8</v>
      </c>
      <c r="Q22" s="369" t="str">
        <f>LEFT(coder1_YH!AK22,1)</f>
        <v>0</v>
      </c>
      <c r="R22" s="369" t="str">
        <f>LEFT(coder1_YH!AL22,1)</f>
        <v>0</v>
      </c>
      <c r="S22" s="369" t="str">
        <f>coder1_YH!AJ22</f>
        <v>Comprehension Skill</v>
      </c>
      <c r="T22" s="370">
        <f>coder1_YH!AN22</f>
        <v>6.9</v>
      </c>
      <c r="U22" s="370">
        <f>coder1_YH!AO22</f>
        <v>2.7</v>
      </c>
      <c r="V22" s="370">
        <f>coder1_YH!AP22</f>
        <v>10</v>
      </c>
      <c r="W22" s="370">
        <f>coder1_YH!AQ22</f>
        <v>8</v>
      </c>
      <c r="X22" s="370">
        <f>coder1_YH!AR22</f>
        <v>2.7</v>
      </c>
      <c r="Y22" s="370">
        <f>coder1_YH!AS22</f>
        <v>10</v>
      </c>
      <c r="Z22" s="371">
        <f t="shared" si="2"/>
        <v>6.1</v>
      </c>
      <c r="AA22" s="371">
        <f t="shared" si="3"/>
        <v>1.9</v>
      </c>
      <c r="AB22" s="371">
        <f t="shared" si="4"/>
        <v>10</v>
      </c>
      <c r="AC22" s="371">
        <f t="shared" si="5"/>
        <v>11.6</v>
      </c>
      <c r="AD22" s="371">
        <f t="shared" si="6"/>
        <v>2.7</v>
      </c>
      <c r="AE22" s="371">
        <f t="shared" si="7"/>
        <v>10</v>
      </c>
    </row>
    <row r="23" spans="1:31" x14ac:dyDescent="0.2">
      <c r="A23" t="str">
        <f>coder1_YH!B23</f>
        <v>EX</v>
      </c>
      <c r="B23">
        <f>coder1_YH!C23</f>
        <v>23</v>
      </c>
      <c r="C23">
        <f>coder1_YH!D23</f>
        <v>0</v>
      </c>
      <c r="D23">
        <f>coder1_YH!E23</f>
        <v>0</v>
      </c>
      <c r="E23" t="b">
        <f>coder1_YH!F23</f>
        <v>1</v>
      </c>
      <c r="G23" t="str">
        <f>IF(coder1_YH!G23="",G22, coder1_YH!G23)</f>
        <v>Schunk and Rice, 1991</v>
      </c>
      <c r="H23" s="405" t="str">
        <f>clean_mod!I23</f>
        <v>1991</v>
      </c>
      <c r="I23" t="str">
        <f>clean_mod!G23</f>
        <v>106</v>
      </c>
      <c r="J23">
        <f>clean_mod!H23</f>
        <v>106</v>
      </c>
      <c r="K23">
        <f>IF(coder1_YH!P23="",K22, coder1_YH!P23)</f>
        <v>1</v>
      </c>
      <c r="L23" s="324" t="str">
        <f>IF(clean_mod!AF23="",L22,clean_mod!AF23)</f>
        <v xml:space="preserve">106-Gm </v>
      </c>
      <c r="M23" s="324" t="str">
        <f>IF(clean_mod!AG23="",M22,clean_mod!AG23)</f>
        <v>106-G_R</v>
      </c>
      <c r="N23" s="372" t="str">
        <f t="shared" si="0"/>
        <v>106-ctl-8</v>
      </c>
      <c r="O23" s="372" t="str">
        <f t="shared" si="1"/>
        <v>106-1-8</v>
      </c>
      <c r="P23" s="369">
        <v>8</v>
      </c>
      <c r="Q23" s="369" t="str">
        <f>LEFT(coder1_YH!AK23,1)</f>
        <v>0</v>
      </c>
      <c r="R23" s="369" t="str">
        <f>LEFT(coder1_YH!AL23,1)</f>
        <v>0</v>
      </c>
      <c r="S23" s="369" t="str">
        <f>coder1_YH!AJ23</f>
        <v>Comprehension Skill</v>
      </c>
      <c r="T23" s="370">
        <f>coder1_YH!AN23</f>
        <v>6.5</v>
      </c>
      <c r="U23" s="370">
        <f>coder1_YH!AO23</f>
        <v>2.4</v>
      </c>
      <c r="V23" s="370">
        <f>coder1_YH!AP23</f>
        <v>10</v>
      </c>
      <c r="W23" s="370">
        <f>coder1_YH!AQ23</f>
        <v>8.6999999999999993</v>
      </c>
      <c r="X23" s="370">
        <f>coder1_YH!AR23</f>
        <v>2.2000000000000002</v>
      </c>
      <c r="Y23" s="370">
        <f>coder1_YH!AS23</f>
        <v>10</v>
      </c>
      <c r="Z23" s="371">
        <f t="shared" si="2"/>
        <v>6.1</v>
      </c>
      <c r="AA23" s="371">
        <f t="shared" si="3"/>
        <v>1.9</v>
      </c>
      <c r="AB23" s="371">
        <f t="shared" si="4"/>
        <v>10</v>
      </c>
      <c r="AC23" s="371">
        <f t="shared" si="5"/>
        <v>11.6</v>
      </c>
      <c r="AD23" s="371">
        <f t="shared" si="6"/>
        <v>2.7</v>
      </c>
      <c r="AE23" s="371">
        <f t="shared" si="7"/>
        <v>10</v>
      </c>
    </row>
    <row r="24" spans="1:31" x14ac:dyDescent="0.2">
      <c r="A24" t="str">
        <f>coder1_YH!B24</f>
        <v>EX</v>
      </c>
      <c r="B24">
        <f>coder1_YH!C24</f>
        <v>24</v>
      </c>
      <c r="C24" t="b">
        <f>coder1_YH!D24</f>
        <v>1</v>
      </c>
      <c r="D24" t="b">
        <f>coder1_YH!E24</f>
        <v>1</v>
      </c>
      <c r="E24" t="b">
        <f>coder1_YH!F24</f>
        <v>1</v>
      </c>
      <c r="G24" t="str">
        <f>IF(coder1_YH!G24="",G23, coder1_YH!G24)</f>
        <v>Schunk and Rice, 1991</v>
      </c>
      <c r="H24" s="405" t="str">
        <f>clean_mod!I24</f>
        <v>1991</v>
      </c>
      <c r="I24" t="str">
        <f>clean_mod!G24</f>
        <v>106</v>
      </c>
      <c r="J24">
        <f>clean_mod!H24</f>
        <v>106</v>
      </c>
      <c r="K24" t="str">
        <f>IF(coder1_YH!P24="",K23, coder1_YH!P24)</f>
        <v>ctl</v>
      </c>
      <c r="L24" s="324" t="str">
        <f>IF(clean_mod!AF24="",L23,clean_mod!AF24)</f>
        <v xml:space="preserve">106-Gm </v>
      </c>
      <c r="M24" s="324" t="str">
        <f>IF(clean_mod!AG24="",M23,clean_mod!AG24)</f>
        <v>106-G_R</v>
      </c>
      <c r="N24" s="372" t="str">
        <f t="shared" si="0"/>
        <v>106-ctl-8</v>
      </c>
      <c r="O24" s="372" t="str">
        <f t="shared" si="1"/>
        <v>106-ctl-8</v>
      </c>
      <c r="P24" s="369">
        <v>8</v>
      </c>
      <c r="Q24" s="369" t="str">
        <f>LEFT(coder1_YH!AK24,1)</f>
        <v>0</v>
      </c>
      <c r="R24" s="369" t="str">
        <f>LEFT(coder1_YH!AL24,1)</f>
        <v>0</v>
      </c>
      <c r="S24" s="369" t="str">
        <f>coder1_YH!AJ24</f>
        <v>Comprehension Skill</v>
      </c>
      <c r="T24" s="370">
        <f>coder1_YH!AN24</f>
        <v>6.1</v>
      </c>
      <c r="U24" s="370">
        <f>coder1_YH!AO24</f>
        <v>1.9</v>
      </c>
      <c r="V24" s="370">
        <f>coder1_YH!AP24</f>
        <v>10</v>
      </c>
      <c r="W24" s="370">
        <f>coder1_YH!AQ24</f>
        <v>11.6</v>
      </c>
      <c r="X24" s="370">
        <f>coder1_YH!AR24</f>
        <v>2.7</v>
      </c>
      <c r="Y24" s="370">
        <f>coder1_YH!AS24</f>
        <v>10</v>
      </c>
      <c r="Z24" s="371">
        <f t="shared" si="2"/>
        <v>6.1</v>
      </c>
      <c r="AA24" s="371">
        <f t="shared" si="3"/>
        <v>1.9</v>
      </c>
      <c r="AB24" s="371">
        <f t="shared" si="4"/>
        <v>10</v>
      </c>
      <c r="AC24" s="371">
        <f t="shared" si="5"/>
        <v>11.6</v>
      </c>
      <c r="AD24" s="371">
        <f t="shared" si="6"/>
        <v>2.7</v>
      </c>
      <c r="AE24" s="371">
        <f t="shared" si="7"/>
        <v>10</v>
      </c>
    </row>
    <row r="25" spans="1:31" x14ac:dyDescent="0.2">
      <c r="A25">
        <f>coder1_YH!B25</f>
        <v>0</v>
      </c>
      <c r="B25">
        <f>coder1_YH!C25</f>
        <v>25</v>
      </c>
      <c r="C25" t="b">
        <f>coder1_YH!D25</f>
        <v>1</v>
      </c>
      <c r="D25" t="b">
        <f>coder1_YH!E25</f>
        <v>1</v>
      </c>
      <c r="E25" t="b">
        <f>coder1_YH!F25</f>
        <v>1</v>
      </c>
      <c r="G25" t="str">
        <f>IF(coder1_YH!G25="",G24, coder1_YH!G25)</f>
        <v>Borkowski et al., 1988</v>
      </c>
      <c r="H25" s="405" t="str">
        <f>clean_mod!I25</f>
        <v>1988</v>
      </c>
      <c r="I25" t="str">
        <f>clean_mod!G25</f>
        <v>107</v>
      </c>
      <c r="J25">
        <f>clean_mod!H25</f>
        <v>107</v>
      </c>
      <c r="K25">
        <f>IF(coder1_YH!P25="",K24, coder1_YH!P25)</f>
        <v>1</v>
      </c>
      <c r="L25" s="324" t="str">
        <f>IF(clean_mod!AF25="",L24,clean_mod!AF25)</f>
        <v xml:space="preserve">107-Tm </v>
      </c>
      <c r="M25" s="324" t="str">
        <f>IF(clean_mod!AG25="",M24,clean_mod!AG25)</f>
        <v>107-T_R</v>
      </c>
      <c r="N25" s="372" t="str">
        <f t="shared" si="0"/>
        <v>107-ctl-9</v>
      </c>
      <c r="O25" s="372" t="str">
        <f t="shared" si="1"/>
        <v>107-1-9</v>
      </c>
      <c r="P25" s="369">
        <v>9</v>
      </c>
      <c r="Q25" s="369" t="str">
        <f>LEFT(coder1_YH!AK25,1)</f>
        <v>0</v>
      </c>
      <c r="R25" s="369" t="str">
        <f>LEFT(coder1_YH!AL25,1)</f>
        <v>0</v>
      </c>
      <c r="S25" s="369" t="str">
        <f>coder1_YH!AJ25</f>
        <v>Post 1-Paragraph Summarization</v>
      </c>
      <c r="T25" s="370">
        <f>coder1_YH!AN25</f>
        <v>5.67</v>
      </c>
      <c r="U25" s="370">
        <f>coder1_YH!AO25</f>
        <v>3.9</v>
      </c>
      <c r="V25" s="370">
        <f>coder1_YH!AP25</f>
        <v>17</v>
      </c>
      <c r="W25" s="370">
        <f>coder1_YH!AQ25</f>
        <v>12.72</v>
      </c>
      <c r="X25" s="370">
        <f>coder1_YH!AR25</f>
        <v>5.18</v>
      </c>
      <c r="Y25" s="370">
        <f>coder1_YH!AS25</f>
        <v>17</v>
      </c>
      <c r="Z25" s="371">
        <f t="shared" si="2"/>
        <v>7.9</v>
      </c>
      <c r="AA25" s="371">
        <f t="shared" si="3"/>
        <v>3.99</v>
      </c>
      <c r="AB25" s="371">
        <f t="shared" si="4"/>
        <v>21</v>
      </c>
      <c r="AC25" s="371">
        <f t="shared" si="5"/>
        <v>9.81</v>
      </c>
      <c r="AD25" s="371">
        <f t="shared" si="6"/>
        <v>5.34</v>
      </c>
      <c r="AE25" s="371">
        <f t="shared" si="7"/>
        <v>21</v>
      </c>
    </row>
    <row r="26" spans="1:31" x14ac:dyDescent="0.2">
      <c r="A26">
        <f>coder1_YH!B26</f>
        <v>0</v>
      </c>
      <c r="B26">
        <f>coder1_YH!C26</f>
        <v>26</v>
      </c>
      <c r="C26">
        <f>coder1_YH!D26</f>
        <v>0</v>
      </c>
      <c r="D26" t="str">
        <f>coder1_YH!E26</f>
        <v/>
      </c>
      <c r="E26" t="str">
        <f>coder1_YH!F26</f>
        <v/>
      </c>
      <c r="G26" t="str">
        <f>IF(coder1_YH!G26="",G25, coder1_YH!G26)</f>
        <v>Borkowski et al., 1988</v>
      </c>
      <c r="H26" s="405" t="str">
        <f>clean_mod!I26</f>
        <v>1988</v>
      </c>
      <c r="I26" t="str">
        <f>clean_mod!G26</f>
        <v>107</v>
      </c>
      <c r="J26">
        <f>clean_mod!H26</f>
        <v>107</v>
      </c>
      <c r="K26">
        <f>IF(coder1_YH!P26="",K25, coder1_YH!P26)</f>
        <v>1</v>
      </c>
      <c r="L26" s="324" t="str">
        <f>IF(clean_mod!AF26="",L25,clean_mod!AF26)</f>
        <v xml:space="preserve">107-Tm </v>
      </c>
      <c r="M26" s="324" t="str">
        <f>IF(clean_mod!AG26="",M25,clean_mod!AG26)</f>
        <v>107-T_R</v>
      </c>
      <c r="N26" s="372" t="str">
        <f t="shared" si="0"/>
        <v>107-ctl-10</v>
      </c>
      <c r="O26" s="372" t="str">
        <f t="shared" si="1"/>
        <v>107-1-10</v>
      </c>
      <c r="P26" s="369">
        <v>10</v>
      </c>
      <c r="Q26" s="369" t="str">
        <f>LEFT(coder1_YH!AK26,1)</f>
        <v>0</v>
      </c>
      <c r="R26" s="369" t="str">
        <f>LEFT(coder1_YH!AL26,1)</f>
        <v>0</v>
      </c>
      <c r="S26" s="369" t="str">
        <f>coder1_YH!AJ26</f>
        <v>Post 2-Paragraph Summarization</v>
      </c>
      <c r="T26" s="370">
        <f>coder1_YH!AN26</f>
        <v>5.67</v>
      </c>
      <c r="U26" s="370">
        <f>coder1_YH!AO26</f>
        <v>3.9</v>
      </c>
      <c r="V26" s="370">
        <f>coder1_YH!AP26</f>
        <v>17</v>
      </c>
      <c r="W26" s="370">
        <f>coder1_YH!AQ26</f>
        <v>13.44</v>
      </c>
      <c r="X26" s="370">
        <f>coder1_YH!AR26</f>
        <v>4.91</v>
      </c>
      <c r="Y26" s="370">
        <f>coder1_YH!AS26</f>
        <v>17</v>
      </c>
      <c r="Z26" s="371">
        <f t="shared" si="2"/>
        <v>7.9</v>
      </c>
      <c r="AA26" s="371">
        <f t="shared" si="3"/>
        <v>3.99</v>
      </c>
      <c r="AB26" s="371">
        <f t="shared" si="4"/>
        <v>21</v>
      </c>
      <c r="AC26" s="371">
        <f t="shared" si="5"/>
        <v>8.66</v>
      </c>
      <c r="AD26" s="371">
        <f t="shared" si="6"/>
        <v>3.95</v>
      </c>
      <c r="AE26" s="371">
        <f t="shared" si="7"/>
        <v>21</v>
      </c>
    </row>
    <row r="27" spans="1:31" x14ac:dyDescent="0.2">
      <c r="A27">
        <f>coder1_YH!B27</f>
        <v>0</v>
      </c>
      <c r="B27">
        <f>coder1_YH!C27</f>
        <v>27</v>
      </c>
      <c r="C27">
        <f>coder1_YH!D27</f>
        <v>0</v>
      </c>
      <c r="D27" t="str">
        <f>coder1_YH!E27</f>
        <v/>
      </c>
      <c r="E27" t="b">
        <f>coder1_YH!F27</f>
        <v>1</v>
      </c>
      <c r="G27" t="str">
        <f>IF(coder1_YH!G27="",G26, coder1_YH!G27)</f>
        <v>Borkowski et al., 1988</v>
      </c>
      <c r="H27" s="405" t="str">
        <f>clean_mod!I27</f>
        <v>1988</v>
      </c>
      <c r="I27" t="str">
        <f>clean_mod!G27</f>
        <v>107</v>
      </c>
      <c r="J27">
        <f>clean_mod!H27</f>
        <v>107</v>
      </c>
      <c r="K27">
        <f>IF(coder1_YH!P27="",K26, coder1_YH!P27)</f>
        <v>2</v>
      </c>
      <c r="L27" s="324" t="str">
        <f>IF(clean_mod!AF27="",L26,clean_mod!AF27)</f>
        <v xml:space="preserve">107-Tm </v>
      </c>
      <c r="M27" s="324" t="str">
        <f>IF(clean_mod!AG27="",M26,clean_mod!AG27)</f>
        <v>107-T_R</v>
      </c>
      <c r="N27" s="372" t="str">
        <f t="shared" si="0"/>
        <v>107-ctl-9</v>
      </c>
      <c r="O27" s="372" t="str">
        <f t="shared" si="1"/>
        <v>107-2-9</v>
      </c>
      <c r="P27" s="369">
        <v>9</v>
      </c>
      <c r="Q27" s="369" t="str">
        <f>LEFT(coder1_YH!AK27,1)</f>
        <v>0</v>
      </c>
      <c r="R27" s="369" t="str">
        <f>LEFT(coder1_YH!AL27,1)</f>
        <v>0</v>
      </c>
      <c r="S27" s="369" t="str">
        <f>coder1_YH!AJ27</f>
        <v>Post 1-Paragraph Summarization</v>
      </c>
      <c r="T27" s="370">
        <f>coder1_YH!AN27</f>
        <v>6.81</v>
      </c>
      <c r="U27" s="370">
        <f>coder1_YH!AO27</f>
        <v>4.8099999999999996</v>
      </c>
      <c r="V27" s="370">
        <f>coder1_YH!AP27</f>
        <v>16</v>
      </c>
      <c r="W27" s="370">
        <f>coder1_YH!AQ27</f>
        <v>11.41</v>
      </c>
      <c r="X27" s="370">
        <f>coder1_YH!AR27</f>
        <v>6.61</v>
      </c>
      <c r="Y27" s="370">
        <f>coder1_YH!AS27</f>
        <v>16</v>
      </c>
      <c r="Z27" s="371">
        <f t="shared" si="2"/>
        <v>7.9</v>
      </c>
      <c r="AA27" s="371">
        <f t="shared" si="3"/>
        <v>3.99</v>
      </c>
      <c r="AB27" s="371">
        <f t="shared" si="4"/>
        <v>21</v>
      </c>
      <c r="AC27" s="371">
        <f t="shared" si="5"/>
        <v>9.81</v>
      </c>
      <c r="AD27" s="371">
        <f t="shared" si="6"/>
        <v>5.34</v>
      </c>
      <c r="AE27" s="371">
        <f t="shared" si="7"/>
        <v>21</v>
      </c>
    </row>
    <row r="28" spans="1:31" x14ac:dyDescent="0.2">
      <c r="A28">
        <f>coder1_YH!B28</f>
        <v>0</v>
      </c>
      <c r="B28">
        <f>coder1_YH!C28</f>
        <v>28</v>
      </c>
      <c r="C28">
        <f>coder1_YH!D28</f>
        <v>0</v>
      </c>
      <c r="D28" t="str">
        <f>coder1_YH!E28</f>
        <v/>
      </c>
      <c r="E28" t="str">
        <f>coder1_YH!F28</f>
        <v/>
      </c>
      <c r="G28" t="str">
        <f>IF(coder1_YH!G28="",G27, coder1_YH!G28)</f>
        <v>Borkowski et al., 1988</v>
      </c>
      <c r="H28" s="405" t="str">
        <f>clean_mod!I28</f>
        <v>1988</v>
      </c>
      <c r="I28" t="str">
        <f>clean_mod!G28</f>
        <v>107</v>
      </c>
      <c r="J28">
        <f>clean_mod!H28</f>
        <v>107</v>
      </c>
      <c r="K28">
        <f>IF(coder1_YH!P28="",K27, coder1_YH!P28)</f>
        <v>2</v>
      </c>
      <c r="L28" s="324" t="str">
        <f>IF(clean_mod!AF28="",L27,clean_mod!AF28)</f>
        <v xml:space="preserve">107-Tm </v>
      </c>
      <c r="M28" s="324" t="str">
        <f>IF(clean_mod!AG28="",M27,clean_mod!AG28)</f>
        <v>107-T_R</v>
      </c>
      <c r="N28" s="372" t="str">
        <f t="shared" si="0"/>
        <v>107-ctl-10</v>
      </c>
      <c r="O28" s="372" t="str">
        <f t="shared" si="1"/>
        <v>107-2-10</v>
      </c>
      <c r="P28" s="369">
        <v>10</v>
      </c>
      <c r="Q28" s="369" t="str">
        <f>LEFT(coder1_YH!AK28,1)</f>
        <v>0</v>
      </c>
      <c r="R28" s="369" t="str">
        <f>LEFT(coder1_YH!AL28,1)</f>
        <v>0</v>
      </c>
      <c r="S28" s="369" t="str">
        <f>coder1_YH!AJ28</f>
        <v>Post 2-Paragraph Summarization</v>
      </c>
      <c r="T28" s="370">
        <f>coder1_YH!AN28</f>
        <v>6.81</v>
      </c>
      <c r="U28" s="370">
        <f>coder1_YH!AO28</f>
        <v>4.8099999999999996</v>
      </c>
      <c r="V28" s="370">
        <f>coder1_YH!AP28</f>
        <v>16</v>
      </c>
      <c r="W28" s="370">
        <f>coder1_YH!AQ28</f>
        <v>11.56</v>
      </c>
      <c r="X28" s="370">
        <f>coder1_YH!AR28</f>
        <v>6.55</v>
      </c>
      <c r="Y28" s="370">
        <f>coder1_YH!AS28</f>
        <v>16</v>
      </c>
      <c r="Z28" s="371">
        <f t="shared" si="2"/>
        <v>7.9</v>
      </c>
      <c r="AA28" s="371">
        <f t="shared" si="3"/>
        <v>3.99</v>
      </c>
      <c r="AB28" s="371">
        <f t="shared" si="4"/>
        <v>21</v>
      </c>
      <c r="AC28" s="371">
        <f t="shared" si="5"/>
        <v>8.66</v>
      </c>
      <c r="AD28" s="371">
        <f t="shared" si="6"/>
        <v>3.95</v>
      </c>
      <c r="AE28" s="371">
        <f t="shared" si="7"/>
        <v>21</v>
      </c>
    </row>
    <row r="29" spans="1:31" x14ac:dyDescent="0.2">
      <c r="A29">
        <f>coder1_YH!B29</f>
        <v>0</v>
      </c>
      <c r="B29">
        <f>coder1_YH!C29</f>
        <v>29</v>
      </c>
      <c r="C29">
        <f>coder1_YH!D29</f>
        <v>0</v>
      </c>
      <c r="D29" t="str">
        <f>coder1_YH!E29</f>
        <v/>
      </c>
      <c r="E29" t="b">
        <f>coder1_YH!F29</f>
        <v>1</v>
      </c>
      <c r="G29" t="str">
        <f>IF(coder1_YH!G29="",G28, coder1_YH!G29)</f>
        <v>Borkowski et al., 1988</v>
      </c>
      <c r="H29" s="405" t="str">
        <f>clean_mod!I29</f>
        <v>1988</v>
      </c>
      <c r="I29" t="str">
        <f>clean_mod!G29</f>
        <v>107</v>
      </c>
      <c r="J29">
        <f>clean_mod!H29</f>
        <v>107</v>
      </c>
      <c r="K29">
        <f>IF(coder1_YH!P29="",K28, coder1_YH!P29)</f>
        <v>3</v>
      </c>
      <c r="L29" s="324" t="str">
        <f>IF(clean_mod!AF29="",L28,clean_mod!AF29)</f>
        <v xml:space="preserve">107-.m </v>
      </c>
      <c r="M29" s="324" t="str">
        <f>IF(clean_mod!AG29="",M28,clean_mod!AG29)</f>
        <v>107-R</v>
      </c>
      <c r="N29" s="372" t="str">
        <f t="shared" si="0"/>
        <v>107-ctl-9</v>
      </c>
      <c r="O29" s="372" t="str">
        <f t="shared" si="1"/>
        <v>107-3-9</v>
      </c>
      <c r="P29" s="369">
        <v>9</v>
      </c>
      <c r="Q29" s="369" t="str">
        <f>LEFT(coder1_YH!AK29,1)</f>
        <v>0</v>
      </c>
      <c r="R29" s="369" t="str">
        <f>LEFT(coder1_YH!AL29,1)</f>
        <v>0</v>
      </c>
      <c r="S29" s="369" t="str">
        <f>coder1_YH!AJ29</f>
        <v>Post 1-Paragraph Summarization</v>
      </c>
      <c r="T29" s="370">
        <f>coder1_YH!AN29</f>
        <v>7</v>
      </c>
      <c r="U29" s="370">
        <f>coder1_YH!AO29</f>
        <v>3.84</v>
      </c>
      <c r="V29" s="370">
        <f>coder1_YH!AP29</f>
        <v>19</v>
      </c>
      <c r="W29" s="370">
        <f>coder1_YH!AQ29</f>
        <v>9.73</v>
      </c>
      <c r="X29" s="370">
        <f>coder1_YH!AR29</f>
        <v>4.49</v>
      </c>
      <c r="Y29" s="370">
        <f>coder1_YH!AS29</f>
        <v>19</v>
      </c>
      <c r="Z29" s="371">
        <f t="shared" si="2"/>
        <v>7.9</v>
      </c>
      <c r="AA29" s="371">
        <f t="shared" si="3"/>
        <v>3.99</v>
      </c>
      <c r="AB29" s="371">
        <f t="shared" si="4"/>
        <v>21</v>
      </c>
      <c r="AC29" s="371">
        <f t="shared" si="5"/>
        <v>9.81</v>
      </c>
      <c r="AD29" s="371">
        <f t="shared" si="6"/>
        <v>5.34</v>
      </c>
      <c r="AE29" s="371">
        <f t="shared" si="7"/>
        <v>21</v>
      </c>
    </row>
    <row r="30" spans="1:31" x14ac:dyDescent="0.2">
      <c r="A30">
        <f>coder1_YH!B30</f>
        <v>0</v>
      </c>
      <c r="B30">
        <f>coder1_YH!C30</f>
        <v>30</v>
      </c>
      <c r="C30">
        <f>coder1_YH!D30</f>
        <v>0</v>
      </c>
      <c r="D30" t="str">
        <f>coder1_YH!E30</f>
        <v/>
      </c>
      <c r="E30" t="str">
        <f>coder1_YH!F30</f>
        <v/>
      </c>
      <c r="G30" t="str">
        <f>IF(coder1_YH!G30="",G29, coder1_YH!G30)</f>
        <v>Borkowski et al., 1988</v>
      </c>
      <c r="H30" s="405" t="str">
        <f>clean_mod!I30</f>
        <v>1988</v>
      </c>
      <c r="I30" t="str">
        <f>clean_mod!G30</f>
        <v>107</v>
      </c>
      <c r="J30">
        <f>clean_mod!H30</f>
        <v>107</v>
      </c>
      <c r="K30">
        <f>IF(coder1_YH!P30="",K29, coder1_YH!P30)</f>
        <v>3</v>
      </c>
      <c r="L30" s="324" t="str">
        <f>IF(clean_mod!AF30="",L29,clean_mod!AF30)</f>
        <v xml:space="preserve">107-.m </v>
      </c>
      <c r="M30" s="324" t="str">
        <f>IF(clean_mod!AG30="",M29,clean_mod!AG30)</f>
        <v>107-R</v>
      </c>
      <c r="N30" s="372" t="str">
        <f t="shared" si="0"/>
        <v>107-ctl-10</v>
      </c>
      <c r="O30" s="372" t="str">
        <f t="shared" si="1"/>
        <v>107-3-10</v>
      </c>
      <c r="P30" s="369">
        <v>10</v>
      </c>
      <c r="Q30" s="369" t="str">
        <f>LEFT(coder1_YH!AK30,1)</f>
        <v>0</v>
      </c>
      <c r="R30" s="369" t="str">
        <f>LEFT(coder1_YH!AL30,1)</f>
        <v>0</v>
      </c>
      <c r="S30" s="369" t="str">
        <f>coder1_YH!AJ30</f>
        <v>Post 2-Paragraph Summarization</v>
      </c>
      <c r="T30" s="370">
        <f>coder1_YH!AN30</f>
        <v>7</v>
      </c>
      <c r="U30" s="370">
        <f>coder1_YH!AO30</f>
        <v>3.84</v>
      </c>
      <c r="V30" s="370">
        <f>coder1_YH!AP30</f>
        <v>19</v>
      </c>
      <c r="W30" s="370">
        <f>coder1_YH!AQ30</f>
        <v>9.36</v>
      </c>
      <c r="X30" s="370">
        <f>coder1_YH!AR30</f>
        <v>5.62</v>
      </c>
      <c r="Y30" s="370">
        <f>coder1_YH!AS30</f>
        <v>19</v>
      </c>
      <c r="Z30" s="371">
        <f t="shared" si="2"/>
        <v>7.9</v>
      </c>
      <c r="AA30" s="371">
        <f t="shared" si="3"/>
        <v>3.99</v>
      </c>
      <c r="AB30" s="371">
        <f t="shared" si="4"/>
        <v>21</v>
      </c>
      <c r="AC30" s="371">
        <f t="shared" si="5"/>
        <v>8.66</v>
      </c>
      <c r="AD30" s="371">
        <f t="shared" si="6"/>
        <v>3.95</v>
      </c>
      <c r="AE30" s="371">
        <f t="shared" si="7"/>
        <v>21</v>
      </c>
    </row>
    <row r="31" spans="1:31" x14ac:dyDescent="0.2">
      <c r="A31">
        <f>coder1_YH!B31</f>
        <v>0</v>
      </c>
      <c r="B31">
        <f>coder1_YH!C31</f>
        <v>31</v>
      </c>
      <c r="C31">
        <f>coder1_YH!D31</f>
        <v>0</v>
      </c>
      <c r="D31" t="str">
        <f>coder1_YH!E31</f>
        <v/>
      </c>
      <c r="E31" t="b">
        <f>coder1_YH!F31</f>
        <v>1</v>
      </c>
      <c r="G31" t="str">
        <f>IF(coder1_YH!G31="",G30, coder1_YH!G31)</f>
        <v>Borkowski et al., 1988</v>
      </c>
      <c r="H31" s="405" t="str">
        <f>clean_mod!I31</f>
        <v>1988</v>
      </c>
      <c r="I31" t="str">
        <f>clean_mod!G31</f>
        <v>107</v>
      </c>
      <c r="J31">
        <f>clean_mod!H31</f>
        <v>107</v>
      </c>
      <c r="K31" t="str">
        <f>IF(coder1_YH!P31="",K30, coder1_YH!P31)</f>
        <v>ctl</v>
      </c>
      <c r="L31" s="324" t="str">
        <f>IF(clean_mod!AF31="",L30,clean_mod!AF31)</f>
        <v>107-..</v>
      </c>
      <c r="M31" s="324" t="str">
        <f>IF(clean_mod!AG31="",M30,clean_mod!AG31)</f>
        <v>107-BAU</v>
      </c>
      <c r="N31" s="372" t="str">
        <f t="shared" si="0"/>
        <v>107-ctl-9</v>
      </c>
      <c r="O31" s="372" t="str">
        <f t="shared" si="1"/>
        <v>107-ctl-9</v>
      </c>
      <c r="P31" s="369">
        <v>9</v>
      </c>
      <c r="Q31" s="369" t="str">
        <f>LEFT(coder1_YH!AK31,1)</f>
        <v>0</v>
      </c>
      <c r="R31" s="369" t="str">
        <f>LEFT(coder1_YH!AL31,1)</f>
        <v>0</v>
      </c>
      <c r="S31" s="369" t="str">
        <f>coder1_YH!AJ31</f>
        <v>Post 1-Paragraph Summarization</v>
      </c>
      <c r="T31" s="370">
        <f>coder1_YH!AN31</f>
        <v>7.9</v>
      </c>
      <c r="U31" s="370">
        <f>coder1_YH!AO31</f>
        <v>3.99</v>
      </c>
      <c r="V31" s="370">
        <f>coder1_YH!AP31</f>
        <v>21</v>
      </c>
      <c r="W31" s="370">
        <f>coder1_YH!AQ31</f>
        <v>9.81</v>
      </c>
      <c r="X31" s="370">
        <f>coder1_YH!AR31</f>
        <v>5.34</v>
      </c>
      <c r="Y31" s="370">
        <f>coder1_YH!AS31</f>
        <v>21</v>
      </c>
      <c r="Z31" s="371">
        <f t="shared" si="2"/>
        <v>7.9</v>
      </c>
      <c r="AA31" s="371">
        <f t="shared" si="3"/>
        <v>3.99</v>
      </c>
      <c r="AB31" s="371">
        <f t="shared" si="4"/>
        <v>21</v>
      </c>
      <c r="AC31" s="371">
        <f t="shared" si="5"/>
        <v>9.81</v>
      </c>
      <c r="AD31" s="371">
        <f t="shared" si="6"/>
        <v>5.34</v>
      </c>
      <c r="AE31" s="371">
        <f t="shared" si="7"/>
        <v>21</v>
      </c>
    </row>
    <row r="32" spans="1:31" x14ac:dyDescent="0.2">
      <c r="A32">
        <f>coder1_YH!B32</f>
        <v>0</v>
      </c>
      <c r="B32">
        <f>coder1_YH!C32</f>
        <v>32</v>
      </c>
      <c r="C32">
        <f>coder1_YH!D32</f>
        <v>0</v>
      </c>
      <c r="D32" t="str">
        <f>coder1_YH!E32</f>
        <v/>
      </c>
      <c r="E32" t="str">
        <f>coder1_YH!F32</f>
        <v/>
      </c>
      <c r="G32" t="str">
        <f>IF(coder1_YH!G32="",G31, coder1_YH!G32)</f>
        <v>Borkowski et al., 1988</v>
      </c>
      <c r="H32" s="405" t="str">
        <f>clean_mod!I32</f>
        <v>1988</v>
      </c>
      <c r="I32" t="str">
        <f>clean_mod!G32</f>
        <v>107</v>
      </c>
      <c r="J32">
        <f>clean_mod!H32</f>
        <v>107</v>
      </c>
      <c r="K32" t="str">
        <f>IF(coder1_YH!P32="",K31, coder1_YH!P32)</f>
        <v>ctl</v>
      </c>
      <c r="L32" s="324" t="str">
        <f>IF(clean_mod!AF32="",L31,clean_mod!AF32)</f>
        <v>107-..</v>
      </c>
      <c r="M32" s="324" t="str">
        <f>IF(clean_mod!AG32="",M31,clean_mod!AG32)</f>
        <v>107-BAU</v>
      </c>
      <c r="N32" s="372" t="str">
        <f t="shared" si="0"/>
        <v>107-ctl-10</v>
      </c>
      <c r="O32" s="372" t="str">
        <f t="shared" si="1"/>
        <v>107-ctl-10</v>
      </c>
      <c r="P32" s="369">
        <v>10</v>
      </c>
      <c r="Q32" s="369" t="str">
        <f>LEFT(coder1_YH!AK32,1)</f>
        <v>0</v>
      </c>
      <c r="R32" s="369" t="str">
        <f>LEFT(coder1_YH!AL32,1)</f>
        <v>0</v>
      </c>
      <c r="S32" s="369" t="str">
        <f>coder1_YH!AJ32</f>
        <v>Post 2-Paragraph Summarization</v>
      </c>
      <c r="T32" s="370">
        <f>coder1_YH!AN32</f>
        <v>7.9</v>
      </c>
      <c r="U32" s="370">
        <f>coder1_YH!AO32</f>
        <v>3.99</v>
      </c>
      <c r="V32" s="370">
        <f>coder1_YH!AP32</f>
        <v>21</v>
      </c>
      <c r="W32" s="370">
        <f>coder1_YH!AQ32</f>
        <v>8.66</v>
      </c>
      <c r="X32" s="370">
        <f>coder1_YH!AR32</f>
        <v>3.95</v>
      </c>
      <c r="Y32" s="370">
        <f>coder1_YH!AS32</f>
        <v>21</v>
      </c>
      <c r="Z32" s="371">
        <f t="shared" si="2"/>
        <v>7.9</v>
      </c>
      <c r="AA32" s="371">
        <f t="shared" si="3"/>
        <v>3.99</v>
      </c>
      <c r="AB32" s="371">
        <f t="shared" si="4"/>
        <v>21</v>
      </c>
      <c r="AC32" s="371">
        <f t="shared" si="5"/>
        <v>8.66</v>
      </c>
      <c r="AD32" s="371">
        <f t="shared" si="6"/>
        <v>3.95</v>
      </c>
      <c r="AE32" s="371">
        <f t="shared" si="7"/>
        <v>21</v>
      </c>
    </row>
    <row r="33" spans="1:31" x14ac:dyDescent="0.2">
      <c r="A33">
        <f>coder1_YH!B33</f>
        <v>0</v>
      </c>
      <c r="B33">
        <f>coder1_YH!C33</f>
        <v>33</v>
      </c>
      <c r="C33" t="b">
        <f>coder1_YH!D33</f>
        <v>1</v>
      </c>
      <c r="D33" t="b">
        <f>coder1_YH!E33</f>
        <v>1</v>
      </c>
      <c r="E33" t="b">
        <f>coder1_YH!F33</f>
        <v>1</v>
      </c>
      <c r="G33" t="str">
        <f>IF(coder1_YH!G33="",G32, coder1_YH!G33)</f>
        <v>Cantrell et al., 2014</v>
      </c>
      <c r="H33" s="405" t="str">
        <f>clean_mod!I33</f>
        <v>2014</v>
      </c>
      <c r="I33" t="str">
        <f>clean_mod!G33</f>
        <v>108</v>
      </c>
      <c r="J33">
        <f>clean_mod!H33</f>
        <v>108</v>
      </c>
      <c r="K33">
        <f>IF(coder1_YH!P33="",K32, coder1_YH!P33)</f>
        <v>1</v>
      </c>
      <c r="L33" s="324" t="str">
        <f>IF(clean_mod!AF33="",L32,clean_mod!AF33)</f>
        <v>108-Ncm</v>
      </c>
      <c r="M33" s="324" t="str">
        <f>IF(clean_mod!AG33="",M32,clean_mod!AG33)</f>
        <v>108-N_R</v>
      </c>
      <c r="N33" s="372" t="str">
        <f t="shared" si="0"/>
        <v>108-ctl-11</v>
      </c>
      <c r="O33" s="372" t="str">
        <f t="shared" si="1"/>
        <v>108-1-11</v>
      </c>
      <c r="P33" s="369">
        <v>11</v>
      </c>
      <c r="Q33" s="369" t="str">
        <f>LEFT(coder1_YH!AK33,1)</f>
        <v>1</v>
      </c>
      <c r="R33" s="369" t="str">
        <f>LEFT(coder1_YH!AL33,1)</f>
        <v>0</v>
      </c>
      <c r="S33" s="369" t="str">
        <f>coder1_YH!AJ33</f>
        <v>GRADE Reading Comprehension</v>
      </c>
      <c r="T33" s="370" t="str">
        <f>coder1_YH!AN33</f>
        <v>NA</v>
      </c>
      <c r="U33" s="370" t="str">
        <f>coder1_YH!AO33</f>
        <v>NA</v>
      </c>
      <c r="V33" s="370" t="str">
        <f>coder1_YH!AP33</f>
        <v>NA</v>
      </c>
      <c r="W33" s="370">
        <f>coder1_YH!AQ33</f>
        <v>32.1</v>
      </c>
      <c r="X33" s="370">
        <f>coder1_YH!AR33</f>
        <v>14.33</v>
      </c>
      <c r="Y33" s="370">
        <f>coder1_YH!AS33</f>
        <v>462</v>
      </c>
      <c r="Z33" s="371" t="str">
        <f t="shared" si="2"/>
        <v>NA</v>
      </c>
      <c r="AA33" s="371" t="str">
        <f t="shared" si="3"/>
        <v>NA</v>
      </c>
      <c r="AB33" s="371" t="str">
        <f t="shared" si="4"/>
        <v>NA</v>
      </c>
      <c r="AC33" s="371">
        <f t="shared" si="5"/>
        <v>31.6</v>
      </c>
      <c r="AD33" s="371">
        <f t="shared" si="6"/>
        <v>14.11</v>
      </c>
      <c r="AE33" s="371">
        <f t="shared" si="7"/>
        <v>389</v>
      </c>
    </row>
    <row r="34" spans="1:31" x14ac:dyDescent="0.2">
      <c r="A34">
        <f>coder1_YH!B34</f>
        <v>0</v>
      </c>
      <c r="B34">
        <f>coder1_YH!C34</f>
        <v>34</v>
      </c>
      <c r="C34">
        <f>coder1_YH!D34</f>
        <v>0</v>
      </c>
      <c r="D34" t="str">
        <f>coder1_YH!E34</f>
        <v/>
      </c>
      <c r="E34" t="b">
        <f>coder1_YH!F34</f>
        <v>1</v>
      </c>
      <c r="G34" t="str">
        <f>IF(coder1_YH!G34="",G33, coder1_YH!G34)</f>
        <v>Cantrell et al., 2014</v>
      </c>
      <c r="H34" s="405" t="str">
        <f>clean_mod!I34</f>
        <v>2014</v>
      </c>
      <c r="I34" t="str">
        <f>clean_mod!G34</f>
        <v>108</v>
      </c>
      <c r="J34">
        <f>clean_mod!H34</f>
        <v>108</v>
      </c>
      <c r="K34" t="str">
        <f>IF(coder1_YH!P34="",K33, coder1_YH!P34)</f>
        <v>ctl</v>
      </c>
      <c r="L34" s="324" t="str">
        <f>IF(clean_mod!AF34="",L33,clean_mod!AF34)</f>
        <v>108-..</v>
      </c>
      <c r="M34" s="324" t="str">
        <f>IF(clean_mod!AG34="",M33,clean_mod!AG34)</f>
        <v>108-BAU</v>
      </c>
      <c r="N34" s="372" t="str">
        <f t="shared" si="0"/>
        <v>108-ctl-11</v>
      </c>
      <c r="O34" s="372" t="str">
        <f t="shared" si="1"/>
        <v>108-ctl-11</v>
      </c>
      <c r="P34" s="369">
        <v>11</v>
      </c>
      <c r="Q34" s="369" t="str">
        <f>LEFT(coder1_YH!AK34,1)</f>
        <v>1</v>
      </c>
      <c r="R34" s="369" t="str">
        <f>LEFT(coder1_YH!AL34,1)</f>
        <v>0</v>
      </c>
      <c r="S34" s="369" t="str">
        <f>coder1_YH!AJ34</f>
        <v>GRADE Reading Comprehension</v>
      </c>
      <c r="T34" s="370" t="str">
        <f>coder1_YH!AN34</f>
        <v>NA</v>
      </c>
      <c r="U34" s="370" t="str">
        <f>coder1_YH!AO34</f>
        <v>NA</v>
      </c>
      <c r="V34" s="370" t="str">
        <f>coder1_YH!AP34</f>
        <v>NA</v>
      </c>
      <c r="W34" s="370">
        <f>coder1_YH!AQ34</f>
        <v>31.6</v>
      </c>
      <c r="X34" s="370">
        <f>coder1_YH!AR34</f>
        <v>14.11</v>
      </c>
      <c r="Y34" s="370">
        <f>coder1_YH!AS34</f>
        <v>389</v>
      </c>
      <c r="Z34" s="371" t="str">
        <f t="shared" si="2"/>
        <v>NA</v>
      </c>
      <c r="AA34" s="371" t="str">
        <f t="shared" si="3"/>
        <v>NA</v>
      </c>
      <c r="AB34" s="371" t="str">
        <f t="shared" si="4"/>
        <v>NA</v>
      </c>
      <c r="AC34" s="371">
        <f t="shared" si="5"/>
        <v>31.6</v>
      </c>
      <c r="AD34" s="371">
        <f t="shared" si="6"/>
        <v>14.11</v>
      </c>
      <c r="AE34" s="371">
        <f t="shared" si="7"/>
        <v>389</v>
      </c>
    </row>
    <row r="35" spans="1:31" x14ac:dyDescent="0.2">
      <c r="A35">
        <f>coder1_YH!B35</f>
        <v>0</v>
      </c>
      <c r="B35">
        <f>coder1_YH!C35</f>
        <v>35</v>
      </c>
      <c r="C35" t="b">
        <f>coder1_YH!D35</f>
        <v>1</v>
      </c>
      <c r="D35" t="b">
        <f>coder1_YH!E35</f>
        <v>1</v>
      </c>
      <c r="E35" t="b">
        <f>coder1_YH!F35</f>
        <v>1</v>
      </c>
      <c r="G35" t="str">
        <f>IF(coder1_YH!G35="",G34, coder1_YH!G35)</f>
        <v>Cantrell et al., 2016</v>
      </c>
      <c r="H35" s="405" t="str">
        <f>clean_mod!I35</f>
        <v>2016</v>
      </c>
      <c r="I35" t="str">
        <f>clean_mod!G35</f>
        <v>109</v>
      </c>
      <c r="J35">
        <f>clean_mod!H35</f>
        <v>109.1</v>
      </c>
      <c r="K35">
        <f>IF(coder1_YH!P35="",K34, coder1_YH!P35)</f>
        <v>1</v>
      </c>
      <c r="L35" s="324" t="str">
        <f>IF(clean_mod!AF35="",L34,clean_mod!AF35)</f>
        <v>109.1-Ncm</v>
      </c>
      <c r="M35" s="324" t="str">
        <f>IF(clean_mod!AG35="",M34,clean_mod!AG35)</f>
        <v>109.1-N_R</v>
      </c>
      <c r="N35" s="372" t="str">
        <f t="shared" si="0"/>
        <v>109-ctl-12</v>
      </c>
      <c r="O35" s="372" t="str">
        <f t="shared" si="1"/>
        <v>109-1-12</v>
      </c>
      <c r="P35" s="369">
        <v>12</v>
      </c>
      <c r="Q35" s="369" t="str">
        <f>LEFT(coder1_YH!AK35,1)</f>
        <v>1</v>
      </c>
      <c r="R35" s="369" t="str">
        <f>LEFT(coder1_YH!AL35,1)</f>
        <v>0</v>
      </c>
      <c r="S35" s="369" t="str">
        <f>coder1_YH!AJ35</f>
        <v>* GRADE = Group Reading and Diagnostic Evaluation</v>
      </c>
      <c r="T35" s="370">
        <f>coder1_YH!AN35</f>
        <v>21.11</v>
      </c>
      <c r="U35" s="370">
        <f>coder1_YH!AO35</f>
        <v>9.49</v>
      </c>
      <c r="V35" s="370">
        <f>coder1_YH!AP35</f>
        <v>605</v>
      </c>
      <c r="W35" s="370">
        <f>coder1_YH!AQ35</f>
        <v>32.299999999999997</v>
      </c>
      <c r="X35" s="370">
        <f>coder1_YH!AR35</f>
        <v>13.92</v>
      </c>
      <c r="Y35" s="370">
        <f>coder1_YH!AS35</f>
        <v>605</v>
      </c>
      <c r="Z35" s="371">
        <f t="shared" si="2"/>
        <v>21.66</v>
      </c>
      <c r="AA35" s="371">
        <f t="shared" si="3"/>
        <v>9.32</v>
      </c>
      <c r="AB35" s="371">
        <f t="shared" si="4"/>
        <v>530</v>
      </c>
      <c r="AC35" s="371">
        <f t="shared" si="5"/>
        <v>30.7</v>
      </c>
      <c r="AD35" s="371">
        <f t="shared" si="6"/>
        <v>13.86</v>
      </c>
      <c r="AE35" s="371">
        <f t="shared" si="7"/>
        <v>530</v>
      </c>
    </row>
    <row r="36" spans="1:31" x14ac:dyDescent="0.2">
      <c r="A36">
        <f>coder1_YH!B36</f>
        <v>0</v>
      </c>
      <c r="B36">
        <f>coder1_YH!C36</f>
        <v>36</v>
      </c>
      <c r="C36">
        <f>coder1_YH!D36</f>
        <v>0</v>
      </c>
      <c r="D36" t="str">
        <f>coder1_YH!E36</f>
        <v/>
      </c>
      <c r="E36" t="b">
        <f>coder1_YH!F36</f>
        <v>1</v>
      </c>
      <c r="G36" t="str">
        <f>IF(coder1_YH!G36="",G35, coder1_YH!G36)</f>
        <v>Cantrell et al., 2016</v>
      </c>
      <c r="H36" s="405" t="str">
        <f>clean_mod!I36</f>
        <v>2016</v>
      </c>
      <c r="I36" t="str">
        <f>clean_mod!G36</f>
        <v>109</v>
      </c>
      <c r="J36">
        <f>clean_mod!H36</f>
        <v>109.1</v>
      </c>
      <c r="K36" t="str">
        <f>IF(coder1_YH!P36="",K35, coder1_YH!P36)</f>
        <v>ctl</v>
      </c>
      <c r="L36" s="324" t="str">
        <f>IF(clean_mod!AF36="",L35,clean_mod!AF36)</f>
        <v>109.1-..</v>
      </c>
      <c r="M36" s="324" t="str">
        <f>IF(clean_mod!AG36="",M35,clean_mod!AG36)</f>
        <v>109.1-BAU</v>
      </c>
      <c r="N36" s="372" t="str">
        <f t="shared" si="0"/>
        <v>109-ctl-12</v>
      </c>
      <c r="O36" s="372" t="str">
        <f t="shared" si="1"/>
        <v>109-ctl-12</v>
      </c>
      <c r="P36" s="369">
        <v>12</v>
      </c>
      <c r="Q36" s="369" t="str">
        <f>LEFT(coder1_YH!AK36,1)</f>
        <v>1</v>
      </c>
      <c r="R36" s="369" t="str">
        <f>LEFT(coder1_YH!AL36,1)</f>
        <v>0</v>
      </c>
      <c r="S36" s="369" t="str">
        <f>coder1_YH!AJ36</f>
        <v>* GRADE = Group Reading and Diagnostic Evaluation</v>
      </c>
      <c r="T36" s="370">
        <f>coder1_YH!AN36</f>
        <v>21.66</v>
      </c>
      <c r="U36" s="370">
        <f>coder1_YH!AO36</f>
        <v>9.32</v>
      </c>
      <c r="V36" s="370">
        <f>coder1_YH!AP36</f>
        <v>530</v>
      </c>
      <c r="W36" s="370">
        <f>coder1_YH!AQ36</f>
        <v>30.7</v>
      </c>
      <c r="X36" s="370">
        <f>coder1_YH!AR36</f>
        <v>13.86</v>
      </c>
      <c r="Y36" s="370">
        <f>coder1_YH!AS36</f>
        <v>530</v>
      </c>
      <c r="Z36" s="371">
        <f t="shared" si="2"/>
        <v>21.66</v>
      </c>
      <c r="AA36" s="371">
        <f t="shared" si="3"/>
        <v>9.32</v>
      </c>
      <c r="AB36" s="371">
        <f t="shared" si="4"/>
        <v>530</v>
      </c>
      <c r="AC36" s="371">
        <f t="shared" si="5"/>
        <v>30.7</v>
      </c>
      <c r="AD36" s="371">
        <f t="shared" si="6"/>
        <v>13.86</v>
      </c>
      <c r="AE36" s="371">
        <f t="shared" si="7"/>
        <v>530</v>
      </c>
    </row>
    <row r="37" spans="1:31" x14ac:dyDescent="0.2">
      <c r="A37">
        <f>coder1_YH!B37</f>
        <v>0</v>
      </c>
      <c r="B37">
        <f>coder1_YH!C37</f>
        <v>37</v>
      </c>
      <c r="C37">
        <f>coder1_YH!D37</f>
        <v>0</v>
      </c>
      <c r="D37" t="b">
        <f>coder1_YH!E37</f>
        <v>1</v>
      </c>
      <c r="E37" t="b">
        <f>coder1_YH!F37</f>
        <v>1</v>
      </c>
      <c r="G37" t="str">
        <f>IF(coder1_YH!G37="",G36, coder1_YH!G37)</f>
        <v>Cantrell et al., 2016</v>
      </c>
      <c r="H37" s="405" t="str">
        <f>clean_mod!I37</f>
        <v>2016</v>
      </c>
      <c r="I37" t="str">
        <f>clean_mod!G37</f>
        <v>109</v>
      </c>
      <c r="J37">
        <f>clean_mod!H37</f>
        <v>109.2</v>
      </c>
      <c r="K37">
        <f>IF(coder1_YH!P37="",K36, coder1_YH!P37)</f>
        <v>1</v>
      </c>
      <c r="L37" s="324" t="str">
        <f>IF(clean_mod!AF37="",L36,clean_mod!AF37)</f>
        <v>109.2-Ncm</v>
      </c>
      <c r="M37" s="324" t="str">
        <f>IF(clean_mod!AG37="",M36,clean_mod!AG37)</f>
        <v>109.2-N_R</v>
      </c>
      <c r="N37" s="372" t="str">
        <f t="shared" si="0"/>
        <v>109-ctl-13</v>
      </c>
      <c r="O37" s="372" t="str">
        <f t="shared" si="1"/>
        <v>109-1-13</v>
      </c>
      <c r="P37" s="369">
        <v>13</v>
      </c>
      <c r="Q37" s="369" t="str">
        <f>LEFT(coder1_YH!AK37,1)</f>
        <v>1</v>
      </c>
      <c r="R37" s="369" t="str">
        <f>LEFT(coder1_YH!AL37,1)</f>
        <v>0</v>
      </c>
      <c r="S37" s="369" t="str">
        <f>coder1_YH!AJ37</f>
        <v>* GRADE = Group Reading and Diagnostic Evaluation</v>
      </c>
      <c r="T37" s="370">
        <f>coder1_YH!AN37</f>
        <v>23.59</v>
      </c>
      <c r="U37" s="370">
        <f>coder1_YH!AO37</f>
        <v>8.0500000000000007</v>
      </c>
      <c r="V37" s="370">
        <f>coder1_YH!AP37</f>
        <v>593</v>
      </c>
      <c r="W37" s="370">
        <f>coder1_YH!AQ37</f>
        <v>33.700000000000003</v>
      </c>
      <c r="X37" s="370">
        <f>coder1_YH!AR37</f>
        <v>14.87</v>
      </c>
      <c r="Y37" s="370">
        <f>coder1_YH!AS37</f>
        <v>593</v>
      </c>
      <c r="Z37" s="371">
        <f t="shared" si="2"/>
        <v>23.56</v>
      </c>
      <c r="AA37" s="371">
        <f t="shared" si="3"/>
        <v>8.34</v>
      </c>
      <c r="AB37" s="371">
        <f t="shared" si="4"/>
        <v>535</v>
      </c>
      <c r="AC37" s="371">
        <f t="shared" si="5"/>
        <v>32.299999999999997</v>
      </c>
      <c r="AD37" s="371">
        <f t="shared" si="6"/>
        <v>13.83</v>
      </c>
      <c r="AE37" s="371">
        <f t="shared" si="7"/>
        <v>535</v>
      </c>
    </row>
    <row r="38" spans="1:31" x14ac:dyDescent="0.2">
      <c r="A38">
        <f>coder1_YH!B38</f>
        <v>0</v>
      </c>
      <c r="B38">
        <f>coder1_YH!C38</f>
        <v>38</v>
      </c>
      <c r="C38">
        <f>coder1_YH!D38</f>
        <v>0</v>
      </c>
      <c r="D38" t="str">
        <f>coder1_YH!E38</f>
        <v/>
      </c>
      <c r="E38" t="b">
        <f>coder1_YH!F38</f>
        <v>1</v>
      </c>
      <c r="G38" t="str">
        <f>IF(coder1_YH!G38="",G37, coder1_YH!G38)</f>
        <v>Cantrell et al., 2016</v>
      </c>
      <c r="H38" s="405" t="str">
        <f>clean_mod!I38</f>
        <v>2016</v>
      </c>
      <c r="I38" t="str">
        <f>clean_mod!G38</f>
        <v>109</v>
      </c>
      <c r="J38">
        <f>clean_mod!H38</f>
        <v>109.2</v>
      </c>
      <c r="K38" t="str">
        <f>IF(coder1_YH!P38="",K37, coder1_YH!P38)</f>
        <v>ctl</v>
      </c>
      <c r="L38" s="324" t="str">
        <f>IF(clean_mod!AF38="",L37,clean_mod!AF38)</f>
        <v>109.2-..</v>
      </c>
      <c r="M38" s="324" t="str">
        <f>IF(clean_mod!AG38="",M37,clean_mod!AG38)</f>
        <v>109.2-BAU</v>
      </c>
      <c r="N38" s="372" t="str">
        <f t="shared" si="0"/>
        <v>109-ctl-13</v>
      </c>
      <c r="O38" s="372" t="str">
        <f t="shared" si="1"/>
        <v>109-ctl-13</v>
      </c>
      <c r="P38" s="369">
        <v>13</v>
      </c>
      <c r="Q38" s="369" t="str">
        <f>LEFT(coder1_YH!AK38,1)</f>
        <v>1</v>
      </c>
      <c r="R38" s="369" t="str">
        <f>LEFT(coder1_YH!AL38,1)</f>
        <v>0</v>
      </c>
      <c r="S38" s="369" t="str">
        <f>coder1_YH!AJ38</f>
        <v>* GRADE = Group Reading and Diagnostic Evaluation</v>
      </c>
      <c r="T38" s="370">
        <f>coder1_YH!AN38</f>
        <v>23.56</v>
      </c>
      <c r="U38" s="370">
        <f>coder1_YH!AO38</f>
        <v>8.34</v>
      </c>
      <c r="V38" s="370">
        <f>coder1_YH!AP38</f>
        <v>535</v>
      </c>
      <c r="W38" s="370">
        <f>coder1_YH!AQ38</f>
        <v>32.299999999999997</v>
      </c>
      <c r="X38" s="370">
        <f>coder1_YH!AR38</f>
        <v>13.83</v>
      </c>
      <c r="Y38" s="370">
        <f>coder1_YH!AS38</f>
        <v>535</v>
      </c>
      <c r="Z38" s="371">
        <f t="shared" si="2"/>
        <v>23.56</v>
      </c>
      <c r="AA38" s="371">
        <f t="shared" si="3"/>
        <v>8.34</v>
      </c>
      <c r="AB38" s="371">
        <f t="shared" si="4"/>
        <v>535</v>
      </c>
      <c r="AC38" s="371">
        <f t="shared" si="5"/>
        <v>32.299999999999997</v>
      </c>
      <c r="AD38" s="371">
        <f t="shared" si="6"/>
        <v>13.83</v>
      </c>
      <c r="AE38" s="371">
        <f t="shared" si="7"/>
        <v>535</v>
      </c>
    </row>
    <row r="39" spans="1:31" x14ac:dyDescent="0.2">
      <c r="A39">
        <f>coder1_YH!B39</f>
        <v>0</v>
      </c>
      <c r="B39">
        <f>coder1_YH!C39</f>
        <v>39</v>
      </c>
      <c r="C39" t="b">
        <f>coder1_YH!D39</f>
        <v>1</v>
      </c>
      <c r="D39" t="b">
        <f>coder1_YH!E39</f>
        <v>1</v>
      </c>
      <c r="E39" t="b">
        <f>coder1_YH!F39</f>
        <v>1</v>
      </c>
      <c r="G39" t="str">
        <f>IF(coder1_YH!G39="",G38, coder1_YH!G39)</f>
        <v>Ng et al., 2013</v>
      </c>
      <c r="H39" s="405" t="str">
        <f>clean_mod!I39</f>
        <v>2013</v>
      </c>
      <c r="I39" t="str">
        <f>clean_mod!G39</f>
        <v>110</v>
      </c>
      <c r="J39">
        <f>clean_mod!H39</f>
        <v>110</v>
      </c>
      <c r="K39">
        <f>IF(coder1_YH!P39="",K38, coder1_YH!P39)</f>
        <v>1</v>
      </c>
      <c r="L39" s="324" t="str">
        <f>IF(clean_mod!AF39="",L38,clean_mod!AF39)</f>
        <v xml:space="preserve">110-NVGm </v>
      </c>
      <c r="M39" s="324" t="str">
        <f>IF(clean_mod!AG39="",M38,clean_mod!AG39)</f>
        <v>110-NVG_R</v>
      </c>
      <c r="N39" s="372" t="str">
        <f t="shared" si="0"/>
        <v>110-ctl-14</v>
      </c>
      <c r="O39" s="372" t="str">
        <f t="shared" si="1"/>
        <v>110-1-14</v>
      </c>
      <c r="P39" s="369">
        <v>14</v>
      </c>
      <c r="Q39" s="369" t="str">
        <f>LEFT(coder1_YH!AK39,1)</f>
        <v>1</v>
      </c>
      <c r="R39" s="369" t="str">
        <f>LEFT(coder1_YH!AL39,1)</f>
        <v>0</v>
      </c>
      <c r="S39" s="369" t="str">
        <f>coder1_YH!AJ39</f>
        <v>NAPLAN Reading  test (National Assessment Program of Literacy and Numeracy)</v>
      </c>
      <c r="T39" s="370">
        <f>coder1_YH!AN39</f>
        <v>21</v>
      </c>
      <c r="U39" s="370">
        <f>coder1_YH!AO39</f>
        <v>3.35</v>
      </c>
      <c r="V39" s="370">
        <f>coder1_YH!AP39</f>
        <v>25.333333333333332</v>
      </c>
      <c r="W39" s="370">
        <f>coder1_YH!AQ39</f>
        <v>24.54</v>
      </c>
      <c r="X39" s="370">
        <f>coder1_YH!AR39</f>
        <v>2.98</v>
      </c>
      <c r="Y39" s="370">
        <f>coder1_YH!AS39</f>
        <v>25.333333333333332</v>
      </c>
      <c r="Z39" s="371">
        <f t="shared" si="2"/>
        <v>18.05</v>
      </c>
      <c r="AA39" s="371">
        <f t="shared" si="3"/>
        <v>4.9400000000000004</v>
      </c>
      <c r="AB39" s="371">
        <f t="shared" si="4"/>
        <v>25.333333333333332</v>
      </c>
      <c r="AC39" s="371">
        <f t="shared" si="5"/>
        <v>17.8</v>
      </c>
      <c r="AD39" s="371">
        <f t="shared" si="6"/>
        <v>4.93</v>
      </c>
      <c r="AE39" s="371">
        <f t="shared" si="7"/>
        <v>25.333333333333332</v>
      </c>
    </row>
    <row r="40" spans="1:31" x14ac:dyDescent="0.2">
      <c r="A40">
        <f>coder1_YH!B40</f>
        <v>0</v>
      </c>
      <c r="B40">
        <f>coder1_YH!C40</f>
        <v>40</v>
      </c>
      <c r="C40">
        <f>coder1_YH!D40</f>
        <v>0</v>
      </c>
      <c r="D40" t="str">
        <f>coder1_YH!E40</f>
        <v/>
      </c>
      <c r="E40" t="str">
        <f>coder1_YH!F40</f>
        <v/>
      </c>
      <c r="G40" t="str">
        <f>IF(coder1_YH!G40="",G39, coder1_YH!G40)</f>
        <v>Ng et al., 2013</v>
      </c>
      <c r="H40" s="405" t="str">
        <f>clean_mod!I40</f>
        <v>2013</v>
      </c>
      <c r="I40" t="str">
        <f>clean_mod!G40</f>
        <v>110</v>
      </c>
      <c r="J40">
        <f>clean_mod!H40</f>
        <v>110</v>
      </c>
      <c r="K40">
        <f>IF(coder1_YH!P40="",K39, coder1_YH!P40)</f>
        <v>1</v>
      </c>
      <c r="L40" s="324" t="str">
        <f>IF(clean_mod!AF40="",L39,clean_mod!AF40)</f>
        <v xml:space="preserve">110-NVGm </v>
      </c>
      <c r="M40" s="324" t="str">
        <f>IF(clean_mod!AG40="",M39,clean_mod!AG40)</f>
        <v>110-NVG_R</v>
      </c>
      <c r="N40" s="372" t="str">
        <f t="shared" si="0"/>
        <v>110-ctl-15</v>
      </c>
      <c r="O40" s="372" t="str">
        <f t="shared" si="1"/>
        <v>110-1-15</v>
      </c>
      <c r="P40" s="369">
        <v>15</v>
      </c>
      <c r="Q40" s="369" t="str">
        <f>LEFT(coder1_YH!AK40,1)</f>
        <v>0</v>
      </c>
      <c r="R40" s="369" t="str">
        <f>LEFT(coder1_YH!AL40,1)</f>
        <v>0</v>
      </c>
      <c r="S40" s="369" t="str">
        <f>coder1_YH!AJ40</f>
        <v>Reading  comprehension  test</v>
      </c>
      <c r="T40" s="370">
        <f>coder1_YH!AN40</f>
        <v>34.67</v>
      </c>
      <c r="U40" s="370">
        <f>coder1_YH!AO40</f>
        <v>24.15</v>
      </c>
      <c r="V40" s="370">
        <f>coder1_YH!AP40</f>
        <v>25.333333333333332</v>
      </c>
      <c r="W40" s="370">
        <f>coder1_YH!AQ40</f>
        <v>66.63</v>
      </c>
      <c r="X40" s="370">
        <f>coder1_YH!AR40</f>
        <v>30.28</v>
      </c>
      <c r="Y40" s="370">
        <f>coder1_YH!AS40</f>
        <v>25.333333333333332</v>
      </c>
      <c r="Z40" s="371">
        <f t="shared" si="2"/>
        <v>30.81</v>
      </c>
      <c r="AA40" s="371">
        <f t="shared" si="3"/>
        <v>28.05</v>
      </c>
      <c r="AB40" s="371">
        <f t="shared" si="4"/>
        <v>25.333333333333332</v>
      </c>
      <c r="AC40" s="371">
        <f t="shared" si="5"/>
        <v>45.08</v>
      </c>
      <c r="AD40" s="371">
        <f t="shared" si="6"/>
        <v>35.479999999999997</v>
      </c>
      <c r="AE40" s="371">
        <f t="shared" si="7"/>
        <v>25.333333333333332</v>
      </c>
    </row>
    <row r="41" spans="1:31" x14ac:dyDescent="0.2">
      <c r="A41">
        <f>coder1_YH!B41</f>
        <v>0</v>
      </c>
      <c r="B41">
        <f>coder1_YH!C41</f>
        <v>41</v>
      </c>
      <c r="C41">
        <f>coder1_YH!D41</f>
        <v>0</v>
      </c>
      <c r="D41" t="str">
        <f>coder1_YH!E41</f>
        <v/>
      </c>
      <c r="E41" t="b">
        <f>coder1_YH!F41</f>
        <v>1</v>
      </c>
      <c r="G41" t="str">
        <f>IF(coder1_YH!G41="",G40, coder1_YH!G41)</f>
        <v>Ng et al., 2013</v>
      </c>
      <c r="H41" s="405" t="str">
        <f>clean_mod!I41</f>
        <v>2013</v>
      </c>
      <c r="I41" t="str">
        <f>clean_mod!G41</f>
        <v>110</v>
      </c>
      <c r="J41">
        <f>clean_mod!H41</f>
        <v>110</v>
      </c>
      <c r="K41">
        <f>IF(coder1_YH!P41="",K40, coder1_YH!P41)</f>
        <v>2</v>
      </c>
      <c r="L41" s="324" t="str">
        <f>IF(clean_mod!AF41="",L40,clean_mod!AF41)</f>
        <v xml:space="preserve">110-.m </v>
      </c>
      <c r="M41" s="324" t="str">
        <f>IF(clean_mod!AG41="",M40,clean_mod!AG41)</f>
        <v>110-R</v>
      </c>
      <c r="N41" s="372" t="str">
        <f t="shared" si="0"/>
        <v>110-ctl-14</v>
      </c>
      <c r="O41" s="372" t="str">
        <f t="shared" si="1"/>
        <v>110-2-14</v>
      </c>
      <c r="P41" s="369">
        <v>14</v>
      </c>
      <c r="Q41" s="369" t="str">
        <f>LEFT(coder1_YH!AK41,1)</f>
        <v>1</v>
      </c>
      <c r="R41" s="369" t="str">
        <f>LEFT(coder1_YH!AL41,1)</f>
        <v>0</v>
      </c>
      <c r="S41" s="369" t="str">
        <f>coder1_YH!AJ41</f>
        <v>NAPLAN Reading  test (National Assessment Program of Literacy and Numeracy)</v>
      </c>
      <c r="T41" s="370">
        <f>coder1_YH!AN41</f>
        <v>17.13</v>
      </c>
      <c r="U41" s="370">
        <f>coder1_YH!AO41</f>
        <v>7.93</v>
      </c>
      <c r="V41" s="370">
        <f>coder1_YH!AP41</f>
        <v>25.333333333333332</v>
      </c>
      <c r="W41" s="370">
        <f>coder1_YH!AQ41</f>
        <v>21.65</v>
      </c>
      <c r="X41" s="370">
        <f>coder1_YH!AR41</f>
        <v>6.14</v>
      </c>
      <c r="Y41" s="370">
        <f>coder1_YH!AS41</f>
        <v>25.333333333333332</v>
      </c>
      <c r="Z41" s="371">
        <f t="shared" si="2"/>
        <v>18.05</v>
      </c>
      <c r="AA41" s="371">
        <f t="shared" si="3"/>
        <v>4.9400000000000004</v>
      </c>
      <c r="AB41" s="371">
        <f t="shared" si="4"/>
        <v>25.333333333333332</v>
      </c>
      <c r="AC41" s="371">
        <f t="shared" si="5"/>
        <v>17.8</v>
      </c>
      <c r="AD41" s="371">
        <f t="shared" si="6"/>
        <v>4.93</v>
      </c>
      <c r="AE41" s="371">
        <f t="shared" si="7"/>
        <v>25.333333333333332</v>
      </c>
    </row>
    <row r="42" spans="1:31" x14ac:dyDescent="0.2">
      <c r="A42">
        <f>coder1_YH!B42</f>
        <v>0</v>
      </c>
      <c r="B42">
        <f>coder1_YH!C42</f>
        <v>42</v>
      </c>
      <c r="C42">
        <f>coder1_YH!D42</f>
        <v>0</v>
      </c>
      <c r="D42" t="str">
        <f>coder1_YH!E42</f>
        <v/>
      </c>
      <c r="E42" t="str">
        <f>coder1_YH!F42</f>
        <v/>
      </c>
      <c r="G42" t="str">
        <f>IF(coder1_YH!G42="",G41, coder1_YH!G42)</f>
        <v>Ng et al., 2013</v>
      </c>
      <c r="H42" s="405" t="str">
        <f>clean_mod!I42</f>
        <v>2013</v>
      </c>
      <c r="I42" t="str">
        <f>clean_mod!G42</f>
        <v>110</v>
      </c>
      <c r="J42">
        <f>clean_mod!H42</f>
        <v>110</v>
      </c>
      <c r="K42">
        <f>IF(coder1_YH!P42="",K41, coder1_YH!P42)</f>
        <v>2</v>
      </c>
      <c r="L42" s="324" t="str">
        <f>IF(clean_mod!AF42="",L41,clean_mod!AF42)</f>
        <v xml:space="preserve">110-.m </v>
      </c>
      <c r="M42" s="324" t="str">
        <f>IF(clean_mod!AG42="",M41,clean_mod!AG42)</f>
        <v>110-R</v>
      </c>
      <c r="N42" s="372" t="str">
        <f t="shared" si="0"/>
        <v>110-ctl-15</v>
      </c>
      <c r="O42" s="372" t="str">
        <f t="shared" si="1"/>
        <v>110-2-15</v>
      </c>
      <c r="P42" s="369">
        <v>15</v>
      </c>
      <c r="Q42" s="369" t="str">
        <f>LEFT(coder1_YH!AK42,1)</f>
        <v>0</v>
      </c>
      <c r="R42" s="369" t="str">
        <f>LEFT(coder1_YH!AL42,1)</f>
        <v>0</v>
      </c>
      <c r="S42" s="369" t="str">
        <f>coder1_YH!AJ42</f>
        <v>Reading  comprehension  test</v>
      </c>
      <c r="T42" s="370">
        <f>coder1_YH!AN42</f>
        <v>13.84</v>
      </c>
      <c r="U42" s="370">
        <f>coder1_YH!AO42</f>
        <v>13.17</v>
      </c>
      <c r="V42" s="370">
        <f>coder1_YH!AP42</f>
        <v>25.333333333333332</v>
      </c>
      <c r="W42" s="370">
        <f>coder1_YH!AQ42</f>
        <v>30.32</v>
      </c>
      <c r="X42" s="370">
        <f>coder1_YH!AR42</f>
        <v>22.26</v>
      </c>
      <c r="Y42" s="370">
        <f>coder1_YH!AS42</f>
        <v>25.333333333333332</v>
      </c>
      <c r="Z42" s="371">
        <f t="shared" si="2"/>
        <v>30.81</v>
      </c>
      <c r="AA42" s="371">
        <f t="shared" si="3"/>
        <v>28.05</v>
      </c>
      <c r="AB42" s="371">
        <f t="shared" si="4"/>
        <v>25.333333333333332</v>
      </c>
      <c r="AC42" s="371">
        <f t="shared" si="5"/>
        <v>45.08</v>
      </c>
      <c r="AD42" s="371">
        <f t="shared" si="6"/>
        <v>35.479999999999997</v>
      </c>
      <c r="AE42" s="371">
        <f t="shared" si="7"/>
        <v>25.333333333333332</v>
      </c>
    </row>
    <row r="43" spans="1:31" x14ac:dyDescent="0.2">
      <c r="A43">
        <f>coder1_YH!B43</f>
        <v>0</v>
      </c>
      <c r="B43">
        <f>coder1_YH!C43</f>
        <v>43</v>
      </c>
      <c r="C43">
        <f>coder1_YH!D43</f>
        <v>0</v>
      </c>
      <c r="D43" t="str">
        <f>coder1_YH!E43</f>
        <v/>
      </c>
      <c r="E43" t="b">
        <f>coder1_YH!F43</f>
        <v>1</v>
      </c>
      <c r="G43" t="str">
        <f>IF(coder1_YH!G43="",G42, coder1_YH!G43)</f>
        <v>Ng et al., 2013</v>
      </c>
      <c r="H43" s="405" t="str">
        <f>clean_mod!I43</f>
        <v>2013</v>
      </c>
      <c r="I43" t="str">
        <f>clean_mod!G43</f>
        <v>110</v>
      </c>
      <c r="J43">
        <f>clean_mod!H43</f>
        <v>110</v>
      </c>
      <c r="K43" t="str">
        <f>IF(coder1_YH!P43="",K42, coder1_YH!P43)</f>
        <v>ctl</v>
      </c>
      <c r="L43" s="324" t="str">
        <f>IF(clean_mod!AF43="",L42,clean_mod!AF43)</f>
        <v>110-..</v>
      </c>
      <c r="M43" s="324" t="str">
        <f>IF(clean_mod!AG43="",M42,clean_mod!AG43)</f>
        <v>110-BAU</v>
      </c>
      <c r="N43" s="372" t="str">
        <f t="shared" si="0"/>
        <v>110-ctl-14</v>
      </c>
      <c r="O43" s="372" t="str">
        <f t="shared" si="1"/>
        <v>110-ctl-14</v>
      </c>
      <c r="P43" s="369">
        <v>14</v>
      </c>
      <c r="Q43" s="369" t="str">
        <f>LEFT(coder1_YH!AK43,1)</f>
        <v>1</v>
      </c>
      <c r="R43" s="369" t="str">
        <f>LEFT(coder1_YH!AL43,1)</f>
        <v>0</v>
      </c>
      <c r="S43" s="369" t="str">
        <f>coder1_YH!AJ43</f>
        <v>NAPLAN Reading  test (National Assessment Program of Literacy and Numeracy)</v>
      </c>
      <c r="T43" s="370">
        <f>coder1_YH!AN43</f>
        <v>18.05</v>
      </c>
      <c r="U43" s="370">
        <f>coder1_YH!AO43</f>
        <v>4.9400000000000004</v>
      </c>
      <c r="V43" s="370">
        <f>coder1_YH!AP43</f>
        <v>25.333333333333332</v>
      </c>
      <c r="W43" s="370">
        <f>coder1_YH!AQ43</f>
        <v>17.8</v>
      </c>
      <c r="X43" s="370">
        <f>coder1_YH!AR43</f>
        <v>4.93</v>
      </c>
      <c r="Y43" s="370">
        <f>coder1_YH!AS43</f>
        <v>25.333333333333332</v>
      </c>
      <c r="Z43" s="371">
        <f t="shared" si="2"/>
        <v>18.05</v>
      </c>
      <c r="AA43" s="371">
        <f t="shared" si="3"/>
        <v>4.9400000000000004</v>
      </c>
      <c r="AB43" s="371">
        <f t="shared" si="4"/>
        <v>25.333333333333332</v>
      </c>
      <c r="AC43" s="371">
        <f t="shared" si="5"/>
        <v>17.8</v>
      </c>
      <c r="AD43" s="371">
        <f t="shared" si="6"/>
        <v>4.93</v>
      </c>
      <c r="AE43" s="371">
        <f t="shared" si="7"/>
        <v>25.333333333333332</v>
      </c>
    </row>
    <row r="44" spans="1:31" x14ac:dyDescent="0.2">
      <c r="A44">
        <f>coder1_YH!B44</f>
        <v>0</v>
      </c>
      <c r="B44">
        <f>coder1_YH!C44</f>
        <v>44</v>
      </c>
      <c r="C44">
        <f>coder1_YH!D44</f>
        <v>0</v>
      </c>
      <c r="D44" t="str">
        <f>coder1_YH!E44</f>
        <v/>
      </c>
      <c r="E44" t="str">
        <f>coder1_YH!F44</f>
        <v/>
      </c>
      <c r="G44" t="str">
        <f>IF(coder1_YH!G44="",G43, coder1_YH!G44)</f>
        <v>Ng et al., 2013</v>
      </c>
      <c r="H44" s="405" t="str">
        <f>clean_mod!I44</f>
        <v>2013</v>
      </c>
      <c r="I44" t="str">
        <f>clean_mod!G44</f>
        <v>110</v>
      </c>
      <c r="J44">
        <f>clean_mod!H44</f>
        <v>110</v>
      </c>
      <c r="K44" t="str">
        <f>IF(coder1_YH!P44="",K43, coder1_YH!P44)</f>
        <v>ctl</v>
      </c>
      <c r="L44" s="324" t="str">
        <f>IF(clean_mod!AF44="",L43,clean_mod!AF44)</f>
        <v>110-..</v>
      </c>
      <c r="M44" s="324" t="str">
        <f>IF(clean_mod!AG44="",M43,clean_mod!AG44)</f>
        <v>110-BAU</v>
      </c>
      <c r="N44" s="372" t="str">
        <f t="shared" si="0"/>
        <v>110-ctl-15</v>
      </c>
      <c r="O44" s="372" t="str">
        <f t="shared" si="1"/>
        <v>110-ctl-15</v>
      </c>
      <c r="P44" s="369">
        <v>15</v>
      </c>
      <c r="Q44" s="369" t="str">
        <f>LEFT(coder1_YH!AK44,1)</f>
        <v>0</v>
      </c>
      <c r="R44" s="369" t="str">
        <f>LEFT(coder1_YH!AL44,1)</f>
        <v>0</v>
      </c>
      <c r="S44" s="369" t="str">
        <f>coder1_YH!AJ44</f>
        <v>Reading  comprehension  test</v>
      </c>
      <c r="T44" s="370">
        <f>coder1_YH!AN44</f>
        <v>30.81</v>
      </c>
      <c r="U44" s="370">
        <f>coder1_YH!AO44</f>
        <v>28.05</v>
      </c>
      <c r="V44" s="370">
        <f>coder1_YH!AP44</f>
        <v>25.333333333333332</v>
      </c>
      <c r="W44" s="370">
        <f>coder1_YH!AQ44</f>
        <v>45.08</v>
      </c>
      <c r="X44" s="370">
        <f>coder1_YH!AR44</f>
        <v>35.479999999999997</v>
      </c>
      <c r="Y44" s="370">
        <f>coder1_YH!AS44</f>
        <v>25.333333333333332</v>
      </c>
      <c r="Z44" s="371">
        <f t="shared" si="2"/>
        <v>30.81</v>
      </c>
      <c r="AA44" s="371">
        <f t="shared" si="3"/>
        <v>28.05</v>
      </c>
      <c r="AB44" s="371">
        <f t="shared" si="4"/>
        <v>25.333333333333332</v>
      </c>
      <c r="AC44" s="371">
        <f t="shared" si="5"/>
        <v>45.08</v>
      </c>
      <c r="AD44" s="371">
        <f t="shared" si="6"/>
        <v>35.479999999999997</v>
      </c>
      <c r="AE44" s="371">
        <f t="shared" si="7"/>
        <v>25.333333333333332</v>
      </c>
    </row>
    <row r="45" spans="1:31" x14ac:dyDescent="0.2">
      <c r="A45">
        <f>coder1_YH!B45</f>
        <v>0</v>
      </c>
      <c r="B45">
        <f>coder1_YH!C45</f>
        <v>45</v>
      </c>
      <c r="C45" t="b">
        <f>coder1_YH!D45</f>
        <v>1</v>
      </c>
      <c r="D45" t="b">
        <f>coder1_YH!E45</f>
        <v>1</v>
      </c>
      <c r="E45" t="b">
        <f>coder1_YH!F45</f>
        <v>1</v>
      </c>
      <c r="G45" t="str">
        <f>IF(coder1_YH!G45="",G44, coder1_YH!G45)</f>
        <v>Alhabahba et al., 2016</v>
      </c>
      <c r="H45" s="405" t="str">
        <f>clean_mod!I45</f>
        <v>2016</v>
      </c>
      <c r="I45" t="str">
        <f>clean_mod!G45</f>
        <v>111</v>
      </c>
      <c r="J45">
        <f>clean_mod!H45</f>
        <v>111</v>
      </c>
      <c r="K45">
        <f>IF(coder1_YH!P45="",K44, coder1_YH!P45)</f>
        <v>1</v>
      </c>
      <c r="L45" s="324" t="str">
        <f>IF(clean_mod!AF45="",L44,clean_mod!AF45)</f>
        <v xml:space="preserve">111-Nm </v>
      </c>
      <c r="M45" s="324" t="str">
        <f>IF(clean_mod!AG45="",M44,clean_mod!AG45)</f>
        <v>111-N_R</v>
      </c>
      <c r="N45" s="372" t="str">
        <f t="shared" si="0"/>
        <v>111-ctl-16</v>
      </c>
      <c r="O45" s="372" t="str">
        <f t="shared" si="1"/>
        <v>111-1-16</v>
      </c>
      <c r="P45" s="369">
        <v>16</v>
      </c>
      <c r="Q45" s="369" t="str">
        <f>LEFT(coder1_YH!AK45,1)</f>
        <v>0</v>
      </c>
      <c r="R45" s="369" t="str">
        <f>LEFT(coder1_YH!AL45,1)</f>
        <v>0</v>
      </c>
      <c r="S45" s="369" t="str">
        <f>coder1_YH!AJ45</f>
        <v>Post RC test</v>
      </c>
      <c r="T45" s="370" t="str">
        <f>coder1_YH!AN45</f>
        <v>NA</v>
      </c>
      <c r="U45" s="370" t="str">
        <f>coder1_YH!AO45</f>
        <v>NA</v>
      </c>
      <c r="V45" s="370" t="str">
        <f>coder1_YH!AP45</f>
        <v>NA</v>
      </c>
      <c r="W45" s="370">
        <f>coder1_YH!AQ45</f>
        <v>82.22</v>
      </c>
      <c r="X45" s="370">
        <f>coder1_YH!AR45</f>
        <v>18.12</v>
      </c>
      <c r="Y45" s="370">
        <f>coder1_YH!AS45</f>
        <v>32</v>
      </c>
      <c r="Z45" s="371" t="str">
        <f t="shared" si="2"/>
        <v>NA</v>
      </c>
      <c r="AA45" s="371" t="str">
        <f t="shared" si="3"/>
        <v>NA</v>
      </c>
      <c r="AB45" s="371" t="str">
        <f t="shared" si="4"/>
        <v>NA</v>
      </c>
      <c r="AC45" s="371">
        <f t="shared" si="5"/>
        <v>47.18</v>
      </c>
      <c r="AD45" s="371">
        <f t="shared" si="6"/>
        <v>23.85</v>
      </c>
      <c r="AE45" s="371">
        <f t="shared" si="7"/>
        <v>34</v>
      </c>
    </row>
    <row r="46" spans="1:31" x14ac:dyDescent="0.2">
      <c r="A46">
        <f>coder1_YH!B46</f>
        <v>0</v>
      </c>
      <c r="B46">
        <f>coder1_YH!C46</f>
        <v>46</v>
      </c>
      <c r="C46">
        <f>coder1_YH!D46</f>
        <v>0</v>
      </c>
      <c r="D46" t="str">
        <f>coder1_YH!E46</f>
        <v/>
      </c>
      <c r="E46" t="b">
        <f>coder1_YH!F46</f>
        <v>1</v>
      </c>
      <c r="G46" t="str">
        <f>IF(coder1_YH!G46="",G45, coder1_YH!G46)</f>
        <v>Alhabahba et al., 2016</v>
      </c>
      <c r="H46" s="405" t="str">
        <f>clean_mod!I46</f>
        <v>2016</v>
      </c>
      <c r="I46" t="str">
        <f>clean_mod!G46</f>
        <v>111</v>
      </c>
      <c r="J46">
        <f>clean_mod!H46</f>
        <v>111</v>
      </c>
      <c r="K46" t="str">
        <f>IF(coder1_YH!P46="",K45, coder1_YH!P46)</f>
        <v>ctl</v>
      </c>
      <c r="L46" s="324" t="str">
        <f>IF(clean_mod!AF46="",L45,clean_mod!AF46)</f>
        <v>111-..</v>
      </c>
      <c r="M46" s="324" t="str">
        <f>IF(clean_mod!AG46="",M45,clean_mod!AG46)</f>
        <v>111-BAU</v>
      </c>
      <c r="N46" s="372" t="str">
        <f t="shared" si="0"/>
        <v>111-ctl-16</v>
      </c>
      <c r="O46" s="372" t="str">
        <f t="shared" si="1"/>
        <v>111-ctl-16</v>
      </c>
      <c r="P46" s="369">
        <v>16</v>
      </c>
      <c r="Q46" s="369" t="str">
        <f>LEFT(coder1_YH!AK46,1)</f>
        <v>0</v>
      </c>
      <c r="R46" s="369" t="str">
        <f>LEFT(coder1_YH!AL46,1)</f>
        <v>0</v>
      </c>
      <c r="S46" s="369" t="str">
        <f>coder1_YH!AJ46</f>
        <v>Post RC test</v>
      </c>
      <c r="T46" s="370" t="str">
        <f>coder1_YH!AN46</f>
        <v>NA</v>
      </c>
      <c r="U46" s="370" t="str">
        <f>coder1_YH!AO46</f>
        <v>NA</v>
      </c>
      <c r="V46" s="370" t="str">
        <f>coder1_YH!AP46</f>
        <v>NA</v>
      </c>
      <c r="W46" s="370">
        <f>coder1_YH!AQ46</f>
        <v>47.18</v>
      </c>
      <c r="X46" s="370">
        <f>coder1_YH!AR46</f>
        <v>23.85</v>
      </c>
      <c r="Y46" s="370">
        <f>coder1_YH!AS46</f>
        <v>34</v>
      </c>
      <c r="Z46" s="371" t="str">
        <f t="shared" si="2"/>
        <v>NA</v>
      </c>
      <c r="AA46" s="371" t="str">
        <f t="shared" si="3"/>
        <v>NA</v>
      </c>
      <c r="AB46" s="371" t="str">
        <f t="shared" si="4"/>
        <v>NA</v>
      </c>
      <c r="AC46" s="371">
        <f t="shared" si="5"/>
        <v>47.18</v>
      </c>
      <c r="AD46" s="371">
        <f t="shared" si="6"/>
        <v>23.85</v>
      </c>
      <c r="AE46" s="371">
        <f t="shared" si="7"/>
        <v>34</v>
      </c>
    </row>
    <row r="47" spans="1:31" x14ac:dyDescent="0.2">
      <c r="A47">
        <f>coder1_YH!B47</f>
        <v>0</v>
      </c>
      <c r="B47">
        <f>coder1_YH!C47</f>
        <v>47</v>
      </c>
      <c r="C47" t="b">
        <f>coder1_YH!D47</f>
        <v>1</v>
      </c>
      <c r="D47" t="b">
        <f>coder1_YH!E47</f>
        <v>1</v>
      </c>
      <c r="E47" t="b">
        <f>coder1_YH!F47</f>
        <v>1</v>
      </c>
      <c r="G47" t="str">
        <f>IF(coder1_YH!G47="",G46, coder1_YH!G47)</f>
        <v>Aarnoutse &amp; Schellings, 2003</v>
      </c>
      <c r="H47" s="405" t="str">
        <f>clean_mod!I47</f>
        <v>2003</v>
      </c>
      <c r="I47" t="str">
        <f>clean_mod!G47</f>
        <v>112</v>
      </c>
      <c r="J47">
        <f>clean_mod!H47</f>
        <v>112</v>
      </c>
      <c r="K47">
        <f>IF(coder1_YH!P47="",K46, coder1_YH!P47)</f>
        <v>1</v>
      </c>
      <c r="L47" s="324" t="str">
        <f>IF(clean_mod!AF47="",L46,clean_mod!AF47)</f>
        <v xml:space="preserve">112-Nm </v>
      </c>
      <c r="M47" s="324" t="str">
        <f>IF(clean_mod!AG47="",M46,clean_mod!AG47)</f>
        <v>112-N_R</v>
      </c>
      <c r="N47" s="372" t="str">
        <f t="shared" si="0"/>
        <v>112-ctl-17</v>
      </c>
      <c r="O47" s="372" t="str">
        <f t="shared" si="1"/>
        <v>112-1-17</v>
      </c>
      <c r="P47" s="369">
        <v>17</v>
      </c>
      <c r="Q47" s="369" t="str">
        <f>LEFT(coder1_YH!AK47,1)</f>
        <v>1</v>
      </c>
      <c r="R47" s="369" t="str">
        <f>LEFT(coder1_YH!AL47,1)</f>
        <v>0</v>
      </c>
      <c r="S47" s="369" t="str">
        <f>coder1_YH!AJ47</f>
        <v>Reading Comprehension Test</v>
      </c>
      <c r="T47" s="370">
        <f>coder1_YH!AN47</f>
        <v>17.8</v>
      </c>
      <c r="U47" s="370">
        <f>coder1_YH!AO47</f>
        <v>5.58</v>
      </c>
      <c r="V47" s="370">
        <f>coder1_YH!AP47</f>
        <v>155</v>
      </c>
      <c r="W47" s="370">
        <f>coder1_YH!AQ47</f>
        <v>21.47</v>
      </c>
      <c r="X47" s="370">
        <f>coder1_YH!AR47</f>
        <v>5.75</v>
      </c>
      <c r="Y47" s="370">
        <f>coder1_YH!AS47</f>
        <v>155</v>
      </c>
      <c r="Z47" s="371">
        <f t="shared" si="2"/>
        <v>18.18</v>
      </c>
      <c r="AA47" s="371">
        <f t="shared" si="3"/>
        <v>5.88</v>
      </c>
      <c r="AB47" s="371">
        <f t="shared" si="4"/>
        <v>172</v>
      </c>
      <c r="AC47" s="371">
        <f t="shared" si="5"/>
        <v>21.66</v>
      </c>
      <c r="AD47" s="371">
        <f t="shared" si="6"/>
        <v>6.02</v>
      </c>
      <c r="AE47" s="371">
        <f t="shared" si="7"/>
        <v>172</v>
      </c>
    </row>
    <row r="48" spans="1:31" x14ac:dyDescent="0.2">
      <c r="A48">
        <f>coder1_YH!B48</f>
        <v>0</v>
      </c>
      <c r="B48">
        <f>coder1_YH!C48</f>
        <v>48</v>
      </c>
      <c r="C48">
        <f>coder1_YH!D48</f>
        <v>0</v>
      </c>
      <c r="D48" t="str">
        <f>coder1_YH!E48</f>
        <v/>
      </c>
      <c r="E48" t="b">
        <f>coder1_YH!F48</f>
        <v>1</v>
      </c>
      <c r="G48" t="str">
        <f>IF(coder1_YH!G48="",G47, coder1_YH!G48)</f>
        <v>Aarnoutse &amp; Schellings, 2003</v>
      </c>
      <c r="H48" s="405" t="str">
        <f>clean_mod!I48</f>
        <v>2003</v>
      </c>
      <c r="I48" t="str">
        <f>clean_mod!G48</f>
        <v>112</v>
      </c>
      <c r="J48">
        <f>clean_mod!H48</f>
        <v>112</v>
      </c>
      <c r="K48" t="str">
        <f>IF(coder1_YH!P48="",K47, coder1_YH!P48)</f>
        <v>ctl</v>
      </c>
      <c r="L48" s="324" t="str">
        <f>IF(clean_mod!AF48="",L47,clean_mod!AF48)</f>
        <v xml:space="preserve">112-.m </v>
      </c>
      <c r="M48" s="324" t="str">
        <f>IF(clean_mod!AG48="",M47,clean_mod!AG48)</f>
        <v>112-R</v>
      </c>
      <c r="N48" s="372" t="str">
        <f t="shared" si="0"/>
        <v>112-ctl-17</v>
      </c>
      <c r="O48" s="372" t="str">
        <f t="shared" si="1"/>
        <v>112-ctl-17</v>
      </c>
      <c r="P48" s="369">
        <v>17</v>
      </c>
      <c r="Q48" s="369" t="str">
        <f>LEFT(coder1_YH!AK48,1)</f>
        <v>1</v>
      </c>
      <c r="R48" s="369" t="str">
        <f>LEFT(coder1_YH!AL48,1)</f>
        <v>0</v>
      </c>
      <c r="S48" s="369" t="str">
        <f>coder1_YH!AJ48</f>
        <v>Reading Comprehension Test</v>
      </c>
      <c r="T48" s="370">
        <f>coder1_YH!AN48</f>
        <v>18.18</v>
      </c>
      <c r="U48" s="370">
        <f>coder1_YH!AO48</f>
        <v>5.88</v>
      </c>
      <c r="V48" s="370">
        <f>coder1_YH!AP48</f>
        <v>172</v>
      </c>
      <c r="W48" s="370">
        <f>coder1_YH!AQ48</f>
        <v>21.66</v>
      </c>
      <c r="X48" s="370">
        <f>coder1_YH!AR48</f>
        <v>6.02</v>
      </c>
      <c r="Y48" s="370">
        <f>coder1_YH!AS48</f>
        <v>172</v>
      </c>
      <c r="Z48" s="371">
        <f t="shared" si="2"/>
        <v>18.18</v>
      </c>
      <c r="AA48" s="371">
        <f t="shared" si="3"/>
        <v>5.88</v>
      </c>
      <c r="AB48" s="371">
        <f t="shared" si="4"/>
        <v>172</v>
      </c>
      <c r="AC48" s="371">
        <f t="shared" si="5"/>
        <v>21.66</v>
      </c>
      <c r="AD48" s="371">
        <f t="shared" si="6"/>
        <v>6.02</v>
      </c>
      <c r="AE48" s="371">
        <f t="shared" si="7"/>
        <v>172</v>
      </c>
    </row>
    <row r="49" spans="1:31" x14ac:dyDescent="0.2">
      <c r="A49">
        <f>coder1_YH!B49</f>
        <v>0</v>
      </c>
      <c r="B49">
        <f>coder1_YH!C49</f>
        <v>49</v>
      </c>
      <c r="C49" t="b">
        <f>coder1_YH!D49</f>
        <v>1</v>
      </c>
      <c r="D49" t="b">
        <f>coder1_YH!E49</f>
        <v>1</v>
      </c>
      <c r="E49" t="b">
        <f>coder1_YH!F49</f>
        <v>1</v>
      </c>
      <c r="G49" t="str">
        <f>IF(coder1_YH!G49="",G48, coder1_YH!G49)</f>
        <v>Wigfield et al., 2008</v>
      </c>
      <c r="H49" s="405" t="str">
        <f>clean_mod!I49</f>
        <v>2008</v>
      </c>
      <c r="I49" t="str">
        <f>clean_mod!G49</f>
        <v>113</v>
      </c>
      <c r="J49">
        <f>clean_mod!H49</f>
        <v>113</v>
      </c>
      <c r="K49">
        <f>IF(coder1_YH!P49="",K48, coder1_YH!P49)</f>
        <v>1</v>
      </c>
      <c r="L49" s="324" t="str">
        <f>IF(clean_mod!AF49="",L48,clean_mod!AF49)</f>
        <v xml:space="preserve">113-Nm </v>
      </c>
      <c r="M49" s="324" t="str">
        <f>IF(clean_mod!AG49="",M48,clean_mod!AG49)</f>
        <v>113-N_R</v>
      </c>
      <c r="N49" s="372" t="str">
        <f t="shared" si="0"/>
        <v>113-ctl-18</v>
      </c>
      <c r="O49" s="372" t="str">
        <f t="shared" si="1"/>
        <v>113-1-18</v>
      </c>
      <c r="P49" s="369">
        <v>18</v>
      </c>
      <c r="Q49" s="369" t="str">
        <f>LEFT(coder1_YH!AK49,1)</f>
        <v>1</v>
      </c>
      <c r="R49" s="369" t="str">
        <f>LEFT(coder1_YH!AL49,1)</f>
        <v>0</v>
      </c>
      <c r="S49" s="369" t="str">
        <f>coder1_YH!AJ49</f>
        <v>Gates Comprehension Test (level 4)</v>
      </c>
      <c r="T49" s="370" t="str">
        <f>coder1_YH!AN49</f>
        <v>NA</v>
      </c>
      <c r="U49" s="370" t="str">
        <f>coder1_YH!AO49</f>
        <v>NA</v>
      </c>
      <c r="V49" s="370" t="str">
        <f>coder1_YH!AP49</f>
        <v>NA</v>
      </c>
      <c r="W49" s="370">
        <f>coder1_YH!AQ49</f>
        <v>516.6</v>
      </c>
      <c r="X49" s="370">
        <f>coder1_YH!AR49</f>
        <v>28.39</v>
      </c>
      <c r="Y49" s="370">
        <f>coder1_YH!AS49</f>
        <v>164</v>
      </c>
      <c r="Z49" s="371" t="str">
        <f t="shared" si="2"/>
        <v>NA</v>
      </c>
      <c r="AA49" s="371" t="str">
        <f t="shared" si="3"/>
        <v>NA</v>
      </c>
      <c r="AB49" s="371" t="str">
        <f t="shared" si="4"/>
        <v>NA</v>
      </c>
      <c r="AC49" s="371">
        <f t="shared" si="5"/>
        <v>484</v>
      </c>
      <c r="AD49" s="371">
        <f t="shared" si="6"/>
        <v>8.7200000000000006</v>
      </c>
      <c r="AE49" s="371">
        <f t="shared" si="7"/>
        <v>98.4</v>
      </c>
    </row>
    <row r="50" spans="1:31" x14ac:dyDescent="0.2">
      <c r="A50" t="str">
        <f>coder1_YH!B50</f>
        <v>EX</v>
      </c>
      <c r="B50">
        <f>coder1_YH!C50</f>
        <v>50</v>
      </c>
      <c r="C50">
        <f>coder1_YH!D50</f>
        <v>0</v>
      </c>
      <c r="D50" t="str">
        <f>coder1_YH!E50</f>
        <v/>
      </c>
      <c r="E50" t="str">
        <f>coder1_YH!F50</f>
        <v/>
      </c>
      <c r="G50" t="str">
        <f>IF(coder1_YH!G50="",G49, coder1_YH!G50)</f>
        <v>Wigfield et al., 2008</v>
      </c>
      <c r="H50" s="405" t="str">
        <f>clean_mod!I50</f>
        <v>2008</v>
      </c>
      <c r="I50" t="str">
        <f>clean_mod!G50</f>
        <v>113</v>
      </c>
      <c r="J50">
        <f>clean_mod!H50</f>
        <v>113</v>
      </c>
      <c r="K50">
        <f>IF(coder1_YH!P50="",K49, coder1_YH!P50)</f>
        <v>1</v>
      </c>
      <c r="L50" s="324" t="str">
        <f>IF(clean_mod!AF50="",L49,clean_mod!AF50)</f>
        <v xml:space="preserve">113-Nm </v>
      </c>
      <c r="M50" s="324" t="str">
        <f>IF(clean_mod!AG50="",M49,clean_mod!AG50)</f>
        <v>113-N_R</v>
      </c>
      <c r="N50" s="372" t="str">
        <f t="shared" si="0"/>
        <v>113-ctl-19</v>
      </c>
      <c r="O50" s="372" t="str">
        <f t="shared" si="1"/>
        <v>113-1-19</v>
      </c>
      <c r="P50" s="369">
        <v>19</v>
      </c>
      <c r="Q50" s="369" t="str">
        <f>LEFT(coder1_YH!AK50,1)</f>
        <v>0</v>
      </c>
      <c r="R50" s="369" t="str">
        <f>LEFT(coder1_YH!AL50,1)</f>
        <v>0</v>
      </c>
      <c r="S50" s="369" t="str">
        <f>coder1_YH!AJ50</f>
        <v>Multiple text comprehension</v>
      </c>
      <c r="T50" s="370" t="str">
        <f>coder1_YH!AN50</f>
        <v>NA</v>
      </c>
      <c r="U50" s="370" t="str">
        <f>coder1_YH!AO50</f>
        <v>NA</v>
      </c>
      <c r="V50" s="370" t="str">
        <f>coder1_YH!AP50</f>
        <v>NA</v>
      </c>
      <c r="W50" s="370">
        <f>coder1_YH!AQ50</f>
        <v>4.3</v>
      </c>
      <c r="X50" s="370">
        <f>coder1_YH!AR50</f>
        <v>0.67</v>
      </c>
      <c r="Y50" s="370">
        <f>coder1_YH!AS50</f>
        <v>164</v>
      </c>
      <c r="Z50" s="371" t="str">
        <f t="shared" si="2"/>
        <v>NA</v>
      </c>
      <c r="AA50" s="371" t="str">
        <f t="shared" si="3"/>
        <v>NA</v>
      </c>
      <c r="AB50" s="371" t="str">
        <f t="shared" si="4"/>
        <v>NA</v>
      </c>
      <c r="AC50" s="371">
        <f t="shared" si="5"/>
        <v>2.67</v>
      </c>
      <c r="AD50" s="371">
        <f t="shared" si="6"/>
        <v>0.57999999999999996</v>
      </c>
      <c r="AE50" s="371">
        <f t="shared" si="7"/>
        <v>98.4</v>
      </c>
    </row>
    <row r="51" spans="1:31" x14ac:dyDescent="0.2">
      <c r="A51">
        <f>coder1_YH!B51</f>
        <v>0</v>
      </c>
      <c r="B51">
        <f>coder1_YH!C51</f>
        <v>51</v>
      </c>
      <c r="C51">
        <f>coder1_YH!D51</f>
        <v>0</v>
      </c>
      <c r="D51" t="str">
        <f>coder1_YH!E51</f>
        <v/>
      </c>
      <c r="E51" t="b">
        <f>coder1_YH!F51</f>
        <v>1</v>
      </c>
      <c r="G51" t="str">
        <f>IF(coder1_YH!G51="",G50, coder1_YH!G51)</f>
        <v>Wigfield et al., 2008</v>
      </c>
      <c r="H51" s="405" t="str">
        <f>clean_mod!I51</f>
        <v>2008</v>
      </c>
      <c r="I51" t="str">
        <f>clean_mod!G51</f>
        <v>113</v>
      </c>
      <c r="J51">
        <f>clean_mod!H51</f>
        <v>113</v>
      </c>
      <c r="K51">
        <f>IF(coder1_YH!P51="",K50, coder1_YH!P51)</f>
        <v>2</v>
      </c>
      <c r="L51" s="324" t="str">
        <f>IF(clean_mod!AF51="",L50,clean_mod!AF51)</f>
        <v xml:space="preserve">113-.m </v>
      </c>
      <c r="M51" s="324" t="str">
        <f>IF(clean_mod!AG51="",M50,clean_mod!AG51)</f>
        <v>113-R</v>
      </c>
      <c r="N51" s="372" t="str">
        <f t="shared" si="0"/>
        <v>113-ctl-18</v>
      </c>
      <c r="O51" s="372" t="str">
        <f t="shared" si="1"/>
        <v>113-2-18</v>
      </c>
      <c r="P51" s="369">
        <v>18</v>
      </c>
      <c r="Q51" s="369" t="str">
        <f>LEFT(coder1_YH!AK51,1)</f>
        <v>1</v>
      </c>
      <c r="R51" s="369" t="str">
        <f>LEFT(coder1_YH!AL51,1)</f>
        <v>0</v>
      </c>
      <c r="S51" s="369" t="str">
        <f>coder1_YH!AJ51</f>
        <v>Gates Comprehension Test (level 4)</v>
      </c>
      <c r="T51" s="370" t="str">
        <f>coder1_YH!AN51</f>
        <v>NA</v>
      </c>
      <c r="U51" s="370" t="str">
        <f>coder1_YH!AO51</f>
        <v>NA</v>
      </c>
      <c r="V51" s="370" t="str">
        <f>coder1_YH!AP51</f>
        <v>NA</v>
      </c>
      <c r="W51" s="370">
        <f>coder1_YH!AQ51</f>
        <v>484.86</v>
      </c>
      <c r="X51" s="370">
        <f>coder1_YH!AR51</f>
        <v>16.78</v>
      </c>
      <c r="Y51" s="370">
        <f>coder1_YH!AS51</f>
        <v>229.6</v>
      </c>
      <c r="Z51" s="371" t="str">
        <f t="shared" si="2"/>
        <v>NA</v>
      </c>
      <c r="AA51" s="371" t="str">
        <f t="shared" si="3"/>
        <v>NA</v>
      </c>
      <c r="AB51" s="371" t="str">
        <f t="shared" si="4"/>
        <v>NA</v>
      </c>
      <c r="AC51" s="371">
        <f t="shared" si="5"/>
        <v>484</v>
      </c>
      <c r="AD51" s="371">
        <f t="shared" si="6"/>
        <v>8.7200000000000006</v>
      </c>
      <c r="AE51" s="371">
        <f t="shared" si="7"/>
        <v>98.4</v>
      </c>
    </row>
    <row r="52" spans="1:31" x14ac:dyDescent="0.2">
      <c r="A52">
        <f>coder1_YH!B52</f>
        <v>0</v>
      </c>
      <c r="B52">
        <f>coder1_YH!C52</f>
        <v>52</v>
      </c>
      <c r="C52">
        <f>coder1_YH!D52</f>
        <v>0</v>
      </c>
      <c r="D52" t="str">
        <f>coder1_YH!E52</f>
        <v/>
      </c>
      <c r="E52" t="str">
        <f>coder1_YH!F52</f>
        <v/>
      </c>
      <c r="G52" t="str">
        <f>IF(coder1_YH!G52="",G51, coder1_YH!G52)</f>
        <v>Wigfield et al., 2008</v>
      </c>
      <c r="H52" s="405" t="str">
        <f>clean_mod!I52</f>
        <v>2008</v>
      </c>
      <c r="I52" t="str">
        <f>clean_mod!G52</f>
        <v>113</v>
      </c>
      <c r="J52">
        <f>clean_mod!H52</f>
        <v>113</v>
      </c>
      <c r="K52">
        <f>IF(coder1_YH!P52="",K51, coder1_YH!P52)</f>
        <v>2</v>
      </c>
      <c r="L52" s="324" t="str">
        <f>IF(clean_mod!AF52="",L51,clean_mod!AF52)</f>
        <v xml:space="preserve">113-.m </v>
      </c>
      <c r="M52" s="324" t="str">
        <f>IF(clean_mod!AG52="",M51,clean_mod!AG52)</f>
        <v>113-R</v>
      </c>
      <c r="N52" s="372" t="str">
        <f t="shared" si="0"/>
        <v>113-ctl-19</v>
      </c>
      <c r="O52" s="372" t="str">
        <f t="shared" si="1"/>
        <v>113-2-19</v>
      </c>
      <c r="P52" s="369">
        <v>19</v>
      </c>
      <c r="Q52" s="369" t="str">
        <f>LEFT(coder1_YH!AK52,1)</f>
        <v>0</v>
      </c>
      <c r="R52" s="369" t="str">
        <f>LEFT(coder1_YH!AL52,1)</f>
        <v>0</v>
      </c>
      <c r="S52" s="369" t="str">
        <f>coder1_YH!AJ52</f>
        <v>Multiple text comprehension</v>
      </c>
      <c r="T52" s="370" t="str">
        <f>coder1_YH!AN52</f>
        <v>NA</v>
      </c>
      <c r="U52" s="370" t="str">
        <f>coder1_YH!AO52</f>
        <v>NA</v>
      </c>
      <c r="V52" s="370" t="str">
        <f>coder1_YH!AP52</f>
        <v>NA</v>
      </c>
      <c r="W52" s="370">
        <f>coder1_YH!AQ52</f>
        <v>3</v>
      </c>
      <c r="X52" s="370">
        <f>coder1_YH!AR52</f>
        <v>0</v>
      </c>
      <c r="Y52" s="370">
        <f>coder1_YH!AS52</f>
        <v>229.6</v>
      </c>
      <c r="Z52" s="371" t="str">
        <f t="shared" si="2"/>
        <v>NA</v>
      </c>
      <c r="AA52" s="371" t="str">
        <f t="shared" si="3"/>
        <v>NA</v>
      </c>
      <c r="AB52" s="371" t="str">
        <f t="shared" si="4"/>
        <v>NA</v>
      </c>
      <c r="AC52" s="371">
        <f t="shared" si="5"/>
        <v>2.67</v>
      </c>
      <c r="AD52" s="371">
        <f t="shared" si="6"/>
        <v>0.57999999999999996</v>
      </c>
      <c r="AE52" s="371">
        <f t="shared" si="7"/>
        <v>98.4</v>
      </c>
    </row>
    <row r="53" spans="1:31" x14ac:dyDescent="0.2">
      <c r="A53">
        <f>coder1_YH!B53</f>
        <v>0</v>
      </c>
      <c r="B53">
        <f>coder1_YH!C53</f>
        <v>53</v>
      </c>
      <c r="C53">
        <f>coder1_YH!D53</f>
        <v>0</v>
      </c>
      <c r="D53" t="str">
        <f>coder1_YH!E53</f>
        <v/>
      </c>
      <c r="E53" t="b">
        <f>coder1_YH!F53</f>
        <v>1</v>
      </c>
      <c r="G53" t="str">
        <f>IF(coder1_YH!G53="",G52, coder1_YH!G53)</f>
        <v>Wigfield et al., 2008</v>
      </c>
      <c r="H53" s="405" t="str">
        <f>clean_mod!I53</f>
        <v>2008</v>
      </c>
      <c r="I53" t="str">
        <f>clean_mod!G53</f>
        <v>113</v>
      </c>
      <c r="J53">
        <f>clean_mod!H53</f>
        <v>113</v>
      </c>
      <c r="K53" t="str">
        <f>IF(coder1_YH!P53="",K52, coder1_YH!P53)</f>
        <v>ctl</v>
      </c>
      <c r="L53" s="324" t="str">
        <f>IF(clean_mod!AF53="",L52,clean_mod!AF53)</f>
        <v>113-..</v>
      </c>
      <c r="M53" s="324" t="str">
        <f>IF(clean_mod!AG53="",M52,clean_mod!AG53)</f>
        <v>113-BAU</v>
      </c>
      <c r="N53" s="372" t="str">
        <f t="shared" si="0"/>
        <v>113-ctl-18</v>
      </c>
      <c r="O53" s="372" t="str">
        <f t="shared" si="1"/>
        <v>113-ctl-18</v>
      </c>
      <c r="P53" s="369">
        <v>18</v>
      </c>
      <c r="Q53" s="369" t="str">
        <f>LEFT(coder1_YH!AK53,1)</f>
        <v>1</v>
      </c>
      <c r="R53" s="369" t="str">
        <f>LEFT(coder1_YH!AL53,1)</f>
        <v>0</v>
      </c>
      <c r="S53" s="369" t="str">
        <f>coder1_YH!AJ53</f>
        <v>Gates Comprehension Test (level 4)</v>
      </c>
      <c r="T53" s="370" t="str">
        <f>coder1_YH!AN53</f>
        <v>NA</v>
      </c>
      <c r="U53" s="370" t="str">
        <f>coder1_YH!AO53</f>
        <v>NA</v>
      </c>
      <c r="V53" s="370" t="str">
        <f>coder1_YH!AP53</f>
        <v>NA</v>
      </c>
      <c r="W53" s="370">
        <f>coder1_YH!AQ53</f>
        <v>484</v>
      </c>
      <c r="X53" s="370">
        <f>coder1_YH!AR53</f>
        <v>8.7200000000000006</v>
      </c>
      <c r="Y53" s="370">
        <f>coder1_YH!AS53</f>
        <v>98.4</v>
      </c>
      <c r="Z53" s="371" t="str">
        <f t="shared" si="2"/>
        <v>NA</v>
      </c>
      <c r="AA53" s="371" t="str">
        <f t="shared" si="3"/>
        <v>NA</v>
      </c>
      <c r="AB53" s="371" t="str">
        <f t="shared" si="4"/>
        <v>NA</v>
      </c>
      <c r="AC53" s="371">
        <f t="shared" si="5"/>
        <v>484</v>
      </c>
      <c r="AD53" s="371">
        <f t="shared" si="6"/>
        <v>8.7200000000000006</v>
      </c>
      <c r="AE53" s="371">
        <f t="shared" si="7"/>
        <v>98.4</v>
      </c>
    </row>
    <row r="54" spans="1:31" x14ac:dyDescent="0.2">
      <c r="A54">
        <f>coder1_YH!B54</f>
        <v>0</v>
      </c>
      <c r="B54">
        <f>coder1_YH!C54</f>
        <v>54</v>
      </c>
      <c r="C54">
        <f>coder1_YH!D54</f>
        <v>0</v>
      </c>
      <c r="D54" t="str">
        <f>coder1_YH!E54</f>
        <v/>
      </c>
      <c r="E54" t="str">
        <f>coder1_YH!F54</f>
        <v/>
      </c>
      <c r="G54" t="str">
        <f>IF(coder1_YH!G54="",G53, coder1_YH!G54)</f>
        <v>Wigfield et al., 2008</v>
      </c>
      <c r="H54" s="405" t="str">
        <f>clean_mod!I54</f>
        <v>2008</v>
      </c>
      <c r="I54" t="str">
        <f>clean_mod!G54</f>
        <v>113</v>
      </c>
      <c r="J54">
        <f>clean_mod!H54</f>
        <v>113</v>
      </c>
      <c r="K54" t="str">
        <f>IF(coder1_YH!P54="",K53, coder1_YH!P54)</f>
        <v>ctl</v>
      </c>
      <c r="L54" s="324" t="str">
        <f>IF(clean_mod!AF54="",L53,clean_mod!AF54)</f>
        <v>113-..</v>
      </c>
      <c r="M54" s="324" t="str">
        <f>IF(clean_mod!AG54="",M53,clean_mod!AG54)</f>
        <v>113-BAU</v>
      </c>
      <c r="N54" s="372" t="str">
        <f t="shared" si="0"/>
        <v>113-ctl-19</v>
      </c>
      <c r="O54" s="372" t="str">
        <f t="shared" si="1"/>
        <v>113-ctl-19</v>
      </c>
      <c r="P54" s="369">
        <v>19</v>
      </c>
      <c r="Q54" s="369" t="str">
        <f>LEFT(coder1_YH!AK54,1)</f>
        <v>0</v>
      </c>
      <c r="R54" s="369" t="str">
        <f>LEFT(coder1_YH!AL54,1)</f>
        <v>0</v>
      </c>
      <c r="S54" s="369" t="str">
        <f>coder1_YH!AJ54</f>
        <v>Multiple text comprehension</v>
      </c>
      <c r="T54" s="370" t="str">
        <f>coder1_YH!AN54</f>
        <v>NA</v>
      </c>
      <c r="U54" s="370" t="str">
        <f>coder1_YH!AO54</f>
        <v>NA</v>
      </c>
      <c r="V54" s="370" t="str">
        <f>coder1_YH!AP54</f>
        <v>NA</v>
      </c>
      <c r="W54" s="370">
        <f>coder1_YH!AQ54</f>
        <v>2.67</v>
      </c>
      <c r="X54" s="370">
        <f>coder1_YH!AR54</f>
        <v>0.57999999999999996</v>
      </c>
      <c r="Y54" s="370">
        <f>coder1_YH!AS54</f>
        <v>98.4</v>
      </c>
      <c r="Z54" s="371" t="str">
        <f t="shared" si="2"/>
        <v>NA</v>
      </c>
      <c r="AA54" s="371" t="str">
        <f t="shared" si="3"/>
        <v>NA</v>
      </c>
      <c r="AB54" s="371" t="str">
        <f t="shared" si="4"/>
        <v>NA</v>
      </c>
      <c r="AC54" s="371">
        <f t="shared" si="5"/>
        <v>2.67</v>
      </c>
      <c r="AD54" s="371">
        <f t="shared" si="6"/>
        <v>0.57999999999999996</v>
      </c>
      <c r="AE54" s="371">
        <f t="shared" si="7"/>
        <v>98.4</v>
      </c>
    </row>
    <row r="55" spans="1:31" x14ac:dyDescent="0.2">
      <c r="A55">
        <f>coder1_YH!B55</f>
        <v>0</v>
      </c>
      <c r="B55">
        <f>coder1_YH!C55</f>
        <v>55</v>
      </c>
      <c r="C55" t="b">
        <f>coder1_YH!D55</f>
        <v>1</v>
      </c>
      <c r="D55" t="b">
        <f>coder1_YH!E55</f>
        <v>1</v>
      </c>
      <c r="E55" t="b">
        <f>coder1_YH!F55</f>
        <v>1</v>
      </c>
      <c r="G55" t="str">
        <f>IF(coder1_YH!G55="",G54, coder1_YH!G55)</f>
        <v>Nevo &amp; Vaknin-Nusbaum, 2020</v>
      </c>
      <c r="H55" s="405" t="str">
        <f>clean_mod!I55</f>
        <v>2020</v>
      </c>
      <c r="I55" t="str">
        <f>clean_mod!G55</f>
        <v>114</v>
      </c>
      <c r="J55">
        <f>clean_mod!H55</f>
        <v>114</v>
      </c>
      <c r="K55">
        <f>IF(coder1_YH!P55="",K54, coder1_YH!P55)</f>
        <v>1</v>
      </c>
      <c r="L55" s="324" t="str">
        <f>IF(clean_mod!AF55="",L54,clean_mod!AF55)</f>
        <v>114-Ncm</v>
      </c>
      <c r="M55" s="324" t="str">
        <f>IF(clean_mod!AG55="",M54,clean_mod!AG55)</f>
        <v>114-N_R</v>
      </c>
      <c r="N55" s="372" t="str">
        <f t="shared" si="0"/>
        <v>114-ctl-20</v>
      </c>
      <c r="O55" s="372" t="str">
        <f t="shared" si="1"/>
        <v>114-1-20</v>
      </c>
      <c r="P55" s="369">
        <v>20</v>
      </c>
      <c r="Q55" s="369" t="str">
        <f>LEFT(coder1_YH!AK55,1)</f>
        <v>1</v>
      </c>
      <c r="R55" s="369" t="str">
        <f>LEFT(coder1_YH!AL55,1)</f>
        <v>0</v>
      </c>
      <c r="S55" s="369" t="str">
        <f>coder1_YH!AJ55</f>
        <v>Reading comprehension  Accuracy (from RAMA-the Israeli National Authority for Measurement and Evaluation (2015))</v>
      </c>
      <c r="T55" s="370" t="str">
        <f>coder1_YH!AN55</f>
        <v>NA</v>
      </c>
      <c r="U55" s="370" t="str">
        <f>coder1_YH!AO55</f>
        <v>NA</v>
      </c>
      <c r="V55" s="370" t="str">
        <f>coder1_YH!AP55</f>
        <v>NA</v>
      </c>
      <c r="W55" s="370">
        <f>coder1_YH!AQ55</f>
        <v>84.55</v>
      </c>
      <c r="X55" s="370">
        <f>coder1_YH!AR55</f>
        <v>8.77</v>
      </c>
      <c r="Y55" s="370">
        <f>coder1_YH!AS55</f>
        <v>29</v>
      </c>
      <c r="Z55" s="371" t="str">
        <f t="shared" si="2"/>
        <v>NA</v>
      </c>
      <c r="AA55" s="371" t="str">
        <f t="shared" si="3"/>
        <v>NA</v>
      </c>
      <c r="AB55" s="371" t="str">
        <f t="shared" si="4"/>
        <v>NA</v>
      </c>
      <c r="AC55" s="371">
        <f t="shared" si="5"/>
        <v>60.67</v>
      </c>
      <c r="AD55" s="371">
        <f t="shared" si="6"/>
        <v>22.73</v>
      </c>
      <c r="AE55" s="371">
        <f t="shared" si="7"/>
        <v>29</v>
      </c>
    </row>
    <row r="56" spans="1:31" ht="16" customHeight="1" x14ac:dyDescent="0.2">
      <c r="A56">
        <f>coder1_YH!B56</f>
        <v>0</v>
      </c>
      <c r="B56">
        <f>coder1_YH!C56</f>
        <v>56</v>
      </c>
      <c r="C56">
        <f>coder1_YH!D56</f>
        <v>0</v>
      </c>
      <c r="D56" t="str">
        <f>coder1_YH!E56</f>
        <v/>
      </c>
      <c r="E56" t="b">
        <f>coder1_YH!F56</f>
        <v>1</v>
      </c>
      <c r="G56" t="str">
        <f>IF(coder1_YH!G56="",G55, coder1_YH!G56)</f>
        <v>Nevo &amp; Vaknin-Nusbaum, 2020</v>
      </c>
      <c r="H56" s="405" t="str">
        <f>clean_mod!I56</f>
        <v>2020</v>
      </c>
      <c r="I56" t="str">
        <f>clean_mod!G56</f>
        <v>114</v>
      </c>
      <c r="J56">
        <f>clean_mod!H56</f>
        <v>114</v>
      </c>
      <c r="K56" t="str">
        <f>IF(coder1_YH!P56="",K55, coder1_YH!P56)</f>
        <v>ctl</v>
      </c>
      <c r="L56" s="324" t="str">
        <f>IF(clean_mod!AF56="",L55,clean_mod!AF56)</f>
        <v>114-..</v>
      </c>
      <c r="M56" s="324" t="str">
        <f>IF(clean_mod!AG56="",M55,clean_mod!AG56)</f>
        <v>114-BAU</v>
      </c>
      <c r="N56" s="372" t="str">
        <f t="shared" si="0"/>
        <v>114-ctl-20</v>
      </c>
      <c r="O56" s="372" t="str">
        <f t="shared" si="1"/>
        <v>114-ctl-20</v>
      </c>
      <c r="P56" s="369">
        <v>20</v>
      </c>
      <c r="Q56" s="369" t="str">
        <f>LEFT(coder1_YH!AK56,1)</f>
        <v>1</v>
      </c>
      <c r="R56" s="369" t="str">
        <f>LEFT(coder1_YH!AL56,1)</f>
        <v>0</v>
      </c>
      <c r="S56" s="369" t="str">
        <f>coder1_YH!AJ56</f>
        <v>Reading comprehension  Accuracy (from RAMA-the Israeli National Authority for Measurement and Evaluation (2015))</v>
      </c>
      <c r="T56" s="370" t="str">
        <f>coder1_YH!AN56</f>
        <v>NA</v>
      </c>
      <c r="U56" s="370" t="str">
        <f>coder1_YH!AO56</f>
        <v>NA</v>
      </c>
      <c r="V56" s="370" t="str">
        <f>coder1_YH!AP56</f>
        <v>NA</v>
      </c>
      <c r="W56" s="370">
        <f>coder1_YH!AQ56</f>
        <v>60.67</v>
      </c>
      <c r="X56" s="370">
        <f>coder1_YH!AR56</f>
        <v>22.73</v>
      </c>
      <c r="Y56" s="370">
        <f>coder1_YH!AS56</f>
        <v>29</v>
      </c>
      <c r="Z56" s="371" t="str">
        <f t="shared" si="2"/>
        <v>NA</v>
      </c>
      <c r="AA56" s="371" t="str">
        <f t="shared" si="3"/>
        <v>NA</v>
      </c>
      <c r="AB56" s="371" t="str">
        <f t="shared" si="4"/>
        <v>NA</v>
      </c>
      <c r="AC56" s="371">
        <f t="shared" si="5"/>
        <v>60.67</v>
      </c>
      <c r="AD56" s="371">
        <f t="shared" si="6"/>
        <v>22.73</v>
      </c>
      <c r="AE56" s="371">
        <f t="shared" si="7"/>
        <v>29</v>
      </c>
    </row>
    <row r="57" spans="1:31" x14ac:dyDescent="0.2">
      <c r="A57">
        <f>coder1_YH!B57</f>
        <v>0</v>
      </c>
      <c r="B57">
        <f>coder1_YH!C57</f>
        <v>57</v>
      </c>
      <c r="C57">
        <f>coder1_YH!D57</f>
        <v>0</v>
      </c>
      <c r="D57">
        <f>coder1_YH!E57</f>
        <v>0</v>
      </c>
      <c r="E57">
        <f>coder1_YH!F57</f>
        <v>0</v>
      </c>
      <c r="G57" t="str">
        <f>IF(coder1_YH!G57="",G56, coder1_YH!G57)</f>
        <v>Andreassen &amp; Braten, 2011</v>
      </c>
      <c r="H57" s="405" t="str">
        <f>clean_mod!I57</f>
        <v>2011</v>
      </c>
      <c r="I57" t="str">
        <f>clean_mod!G57</f>
        <v>115</v>
      </c>
      <c r="J57">
        <f>clean_mod!H57</f>
        <v>115</v>
      </c>
      <c r="K57">
        <f>IF(coder1_YH!P57="",K56, coder1_YH!P57)</f>
        <v>1</v>
      </c>
      <c r="L57" s="324" t="str">
        <f>IF(clean_mod!AF57="",L56,clean_mod!AF57)</f>
        <v xml:space="preserve">115-NVm </v>
      </c>
      <c r="M57" s="324" t="str">
        <f>IF(clean_mod!AG57="",M56,clean_mod!AG57)</f>
        <v>115-NV_R</v>
      </c>
      <c r="N57" s="372" t="str">
        <f t="shared" si="0"/>
        <v>115-ctl-21</v>
      </c>
      <c r="O57" s="372" t="str">
        <f t="shared" si="1"/>
        <v>115-1-21</v>
      </c>
      <c r="P57" s="369">
        <v>21</v>
      </c>
      <c r="Q57" s="369" t="str">
        <f>LEFT(coder1_YH!AK57,1)</f>
        <v>1</v>
      </c>
      <c r="R57" s="369" t="str">
        <f>LEFT(coder1_YH!AL57,1)</f>
        <v>0</v>
      </c>
      <c r="S57" s="369" t="str">
        <f>coder1_YH!AJ57</f>
        <v>RC  (SRT) pretest ONLY - Sentence Reading Test</v>
      </c>
      <c r="T57" s="370">
        <f>coder1_YH!AN57</f>
        <v>15.47</v>
      </c>
      <c r="U57" s="370">
        <f>coder1_YH!AO57</f>
        <v>4.43</v>
      </c>
      <c r="V57" s="370">
        <f>coder1_YH!AP57</f>
        <v>103</v>
      </c>
      <c r="W57" s="370" t="str">
        <f>coder1_YH!AQ57</f>
        <v>NA</v>
      </c>
      <c r="X57" s="370" t="str">
        <f>coder1_YH!AR57</f>
        <v>NA</v>
      </c>
      <c r="Y57" s="370">
        <f>coder1_YH!AS57</f>
        <v>89</v>
      </c>
      <c r="Z57" s="371">
        <f t="shared" si="2"/>
        <v>16.46</v>
      </c>
      <c r="AA57" s="371">
        <f t="shared" si="3"/>
        <v>5.28</v>
      </c>
      <c r="AB57" s="371">
        <f t="shared" si="4"/>
        <v>113</v>
      </c>
      <c r="AC57" s="371" t="str">
        <f t="shared" si="5"/>
        <v>NA</v>
      </c>
      <c r="AD57" s="371" t="str">
        <f t="shared" si="6"/>
        <v>NA</v>
      </c>
      <c r="AE57" s="371">
        <f t="shared" si="7"/>
        <v>90</v>
      </c>
    </row>
    <row r="58" spans="1:31" x14ac:dyDescent="0.2">
      <c r="A58">
        <f>coder1_YH!B58</f>
        <v>0</v>
      </c>
      <c r="B58">
        <f>coder1_YH!C58</f>
        <v>58</v>
      </c>
      <c r="C58" t="b">
        <f>coder1_YH!D58</f>
        <v>1</v>
      </c>
      <c r="D58" t="b">
        <f>coder1_YH!E58</f>
        <v>1</v>
      </c>
      <c r="E58" t="b">
        <f>coder1_YH!F58</f>
        <v>1</v>
      </c>
      <c r="G58" t="str">
        <f>IF(coder1_YH!G58="",G57, coder1_YH!G58)</f>
        <v>Andreassen &amp; Braten, 2011</v>
      </c>
      <c r="H58" s="405" t="str">
        <f>clean_mod!I58</f>
        <v>2011</v>
      </c>
      <c r="I58" t="str">
        <f>clean_mod!G58</f>
        <v>115</v>
      </c>
      <c r="J58">
        <f>clean_mod!H58</f>
        <v>115</v>
      </c>
      <c r="K58">
        <f>IF(coder1_YH!P58="",K57, coder1_YH!P58)</f>
        <v>1</v>
      </c>
      <c r="L58" s="324" t="str">
        <f>IF(clean_mod!AF58="",L57,clean_mod!AF58)</f>
        <v xml:space="preserve">115-NVm </v>
      </c>
      <c r="M58" s="324" t="str">
        <f>IF(clean_mod!AG58="",M57,clean_mod!AG58)</f>
        <v>115-NV_R</v>
      </c>
      <c r="N58" s="372" t="str">
        <f t="shared" si="0"/>
        <v>115-ctl-22</v>
      </c>
      <c r="O58" s="372" t="str">
        <f t="shared" si="1"/>
        <v>115-1-22</v>
      </c>
      <c r="P58" s="369">
        <v>22</v>
      </c>
      <c r="Q58" s="369" t="str">
        <f>LEFT(coder1_YH!AK58,1)</f>
        <v>0</v>
      </c>
      <c r="R58" s="369" t="str">
        <f>LEFT(coder1_YH!AL58,1)</f>
        <v>0</v>
      </c>
      <c r="S58" s="369" t="str">
        <f>coder1_YH!AJ58</f>
        <v>RC  (maze)</v>
      </c>
      <c r="T58" s="370" t="str">
        <f>coder1_YH!AN58</f>
        <v>NA</v>
      </c>
      <c r="U58" s="370" t="str">
        <f>coder1_YH!AO58</f>
        <v>NA</v>
      </c>
      <c r="V58" s="370" t="str">
        <f>coder1_YH!AP58</f>
        <v>NA</v>
      </c>
      <c r="W58" s="370">
        <f>coder1_YH!AQ58</f>
        <v>22.04</v>
      </c>
      <c r="X58" s="370">
        <f>coder1_YH!AR58</f>
        <v>7.19</v>
      </c>
      <c r="Y58" s="370">
        <f>coder1_YH!AS58</f>
        <v>89</v>
      </c>
      <c r="Z58" s="371" t="str">
        <f t="shared" si="2"/>
        <v>NA</v>
      </c>
      <c r="AA58" s="371" t="str">
        <f t="shared" si="3"/>
        <v>NA</v>
      </c>
      <c r="AB58" s="371" t="str">
        <f t="shared" si="4"/>
        <v>NA</v>
      </c>
      <c r="AC58" s="371">
        <f t="shared" si="5"/>
        <v>23.21</v>
      </c>
      <c r="AD58" s="371">
        <f t="shared" si="6"/>
        <v>7.33</v>
      </c>
      <c r="AE58" s="371">
        <f t="shared" si="7"/>
        <v>90</v>
      </c>
    </row>
    <row r="59" spans="1:31" x14ac:dyDescent="0.2">
      <c r="A59">
        <f>coder1_YH!B59</f>
        <v>0</v>
      </c>
      <c r="B59">
        <f>coder1_YH!C59</f>
        <v>59</v>
      </c>
      <c r="C59">
        <f>coder1_YH!D59</f>
        <v>0</v>
      </c>
      <c r="D59">
        <f>coder1_YH!E59</f>
        <v>0</v>
      </c>
      <c r="E59">
        <f>coder1_YH!F59</f>
        <v>0</v>
      </c>
      <c r="G59" t="str">
        <f>IF(coder1_YH!G59="",G58, coder1_YH!G59)</f>
        <v>Andreassen &amp; Braten, 2011</v>
      </c>
      <c r="H59" s="405" t="str">
        <f>clean_mod!I59</f>
        <v>2011</v>
      </c>
      <c r="I59" t="str">
        <f>clean_mod!G59</f>
        <v>115</v>
      </c>
      <c r="J59">
        <f>clean_mod!H59</f>
        <v>115</v>
      </c>
      <c r="K59">
        <f>IF(coder1_YH!P59="",K58, coder1_YH!P59)</f>
        <v>1</v>
      </c>
      <c r="L59" s="324" t="str">
        <f>IF(clean_mod!AF59="",L58,clean_mod!AF59)</f>
        <v xml:space="preserve">115-NVm </v>
      </c>
      <c r="M59" s="324" t="str">
        <f>IF(clean_mod!AG59="",M58,clean_mod!AG59)</f>
        <v>115-NV_R</v>
      </c>
      <c r="N59" s="372" t="str">
        <f t="shared" si="0"/>
        <v>115-ctl-23</v>
      </c>
      <c r="O59" s="372" t="str">
        <f t="shared" si="1"/>
        <v>115-1-23</v>
      </c>
      <c r="P59" s="369">
        <v>23</v>
      </c>
      <c r="Q59" s="369" t="str">
        <f>LEFT(coder1_YH!AK59,1)</f>
        <v>1</v>
      </c>
      <c r="R59" s="369" t="str">
        <f>LEFT(coder1_YH!AL59,1)</f>
        <v>0</v>
      </c>
      <c r="S59" s="369" t="str">
        <f>coder1_YH!AJ59</f>
        <v>RC (NLCT)</v>
      </c>
      <c r="T59" s="370" t="str">
        <f>coder1_YH!AN59</f>
        <v>NA</v>
      </c>
      <c r="U59" s="370" t="str">
        <f>coder1_YH!AO59</f>
        <v>NA</v>
      </c>
      <c r="V59" s="370" t="str">
        <f>coder1_YH!AP59</f>
        <v>NA</v>
      </c>
      <c r="W59" s="370">
        <f>coder1_YH!AQ59</f>
        <v>6.01</v>
      </c>
      <c r="X59" s="370">
        <f>coder1_YH!AR59</f>
        <v>2.13</v>
      </c>
      <c r="Y59" s="370">
        <f>coder1_YH!AS59</f>
        <v>89</v>
      </c>
      <c r="Z59" s="371" t="str">
        <f t="shared" si="2"/>
        <v>NA</v>
      </c>
      <c r="AA59" s="371" t="str">
        <f t="shared" si="3"/>
        <v>NA</v>
      </c>
      <c r="AB59" s="371" t="str">
        <f t="shared" si="4"/>
        <v>NA</v>
      </c>
      <c r="AC59" s="371">
        <f t="shared" si="5"/>
        <v>6.25</v>
      </c>
      <c r="AD59" s="371">
        <f t="shared" si="6"/>
        <v>1.98</v>
      </c>
      <c r="AE59" s="371">
        <f t="shared" si="7"/>
        <v>90</v>
      </c>
    </row>
    <row r="60" spans="1:31" x14ac:dyDescent="0.2">
      <c r="A60">
        <f>coder1_YH!B60</f>
        <v>0</v>
      </c>
      <c r="B60">
        <f>coder1_YH!C60</f>
        <v>60</v>
      </c>
      <c r="C60">
        <f>coder1_YH!D60</f>
        <v>0</v>
      </c>
      <c r="D60">
        <f>coder1_YH!E60</f>
        <v>0</v>
      </c>
      <c r="E60">
        <f>coder1_YH!F60</f>
        <v>0</v>
      </c>
      <c r="G60" t="str">
        <f>IF(coder1_YH!G60="",G59, coder1_YH!G60)</f>
        <v>Andreassen &amp; Braten, 2011</v>
      </c>
      <c r="H60" s="405" t="str">
        <f>clean_mod!I60</f>
        <v>2011</v>
      </c>
      <c r="I60" t="str">
        <f>clean_mod!G60</f>
        <v>115</v>
      </c>
      <c r="J60">
        <f>clean_mod!H60</f>
        <v>115</v>
      </c>
      <c r="K60">
        <f>IF(coder1_YH!P60="",K59, coder1_YH!P60)</f>
        <v>1</v>
      </c>
      <c r="L60" s="324" t="str">
        <f>IF(clean_mod!AF60="",L59,clean_mod!AF60)</f>
        <v xml:space="preserve">115-NVm </v>
      </c>
      <c r="M60" s="324" t="str">
        <f>IF(clean_mod!AG60="",M59,clean_mod!AG60)</f>
        <v>115-NV_R</v>
      </c>
      <c r="N60" s="372" t="str">
        <f t="shared" si="0"/>
        <v>115-ctl-24</v>
      </c>
      <c r="O60" s="372" t="str">
        <f t="shared" si="1"/>
        <v>115-1-24</v>
      </c>
      <c r="P60" s="369">
        <v>24</v>
      </c>
      <c r="Q60" s="369" t="str">
        <f>LEFT(coder1_YH!AK60,1)</f>
        <v>0</v>
      </c>
      <c r="R60" s="369" t="str">
        <f>LEFT(coder1_YH!AL60,1)</f>
        <v>0</v>
      </c>
      <c r="S60" s="369" t="str">
        <f>coder1_YH!AJ60</f>
        <v>RC (RGT)</v>
      </c>
      <c r="T60" s="370" t="str">
        <f>coder1_YH!AN60</f>
        <v>NA</v>
      </c>
      <c r="U60" s="370" t="str">
        <f>coder1_YH!AO60</f>
        <v>NA</v>
      </c>
      <c r="V60" s="370" t="str">
        <f>coder1_YH!AP60</f>
        <v>NA</v>
      </c>
      <c r="W60" s="370">
        <f>coder1_YH!AQ60</f>
        <v>6.24</v>
      </c>
      <c r="X60" s="370">
        <f>coder1_YH!AR60</f>
        <v>3.09</v>
      </c>
      <c r="Y60" s="370">
        <f>coder1_YH!AS60</f>
        <v>89</v>
      </c>
      <c r="Z60" s="371" t="str">
        <f t="shared" si="2"/>
        <v>NA</v>
      </c>
      <c r="AA60" s="371" t="str">
        <f t="shared" si="3"/>
        <v>NA</v>
      </c>
      <c r="AB60" s="371" t="str">
        <f t="shared" si="4"/>
        <v>NA</v>
      </c>
      <c r="AC60" s="371">
        <f t="shared" si="5"/>
        <v>5.89</v>
      </c>
      <c r="AD60" s="371">
        <f t="shared" si="6"/>
        <v>2.92</v>
      </c>
      <c r="AE60" s="371">
        <f t="shared" si="7"/>
        <v>90</v>
      </c>
    </row>
    <row r="61" spans="1:31" x14ac:dyDescent="0.2">
      <c r="A61">
        <f>coder1_YH!B61</f>
        <v>0</v>
      </c>
      <c r="B61">
        <f>coder1_YH!C61</f>
        <v>61</v>
      </c>
      <c r="C61">
        <f>coder1_YH!D61</f>
        <v>0</v>
      </c>
      <c r="D61">
        <f>coder1_YH!E61</f>
        <v>0</v>
      </c>
      <c r="E61">
        <f>coder1_YH!F61</f>
        <v>0</v>
      </c>
      <c r="G61" t="str">
        <f>IF(coder1_YH!G61="",G60, coder1_YH!G61)</f>
        <v>Andreassen &amp; Braten, 2011</v>
      </c>
      <c r="H61" s="405" t="str">
        <f>clean_mod!I61</f>
        <v>2011</v>
      </c>
      <c r="I61" t="str">
        <f>clean_mod!G61</f>
        <v>115</v>
      </c>
      <c r="J61">
        <f>clean_mod!H61</f>
        <v>115</v>
      </c>
      <c r="K61" t="str">
        <f>IF(coder1_YH!P61="",K60, coder1_YH!P61)</f>
        <v>ctl</v>
      </c>
      <c r="L61" s="324" t="str">
        <f>IF(clean_mod!AF61="",L60,clean_mod!AF61)</f>
        <v>115-..</v>
      </c>
      <c r="M61" s="324" t="str">
        <f>IF(clean_mod!AG61="",M60,clean_mod!AG61)</f>
        <v>115-BAU</v>
      </c>
      <c r="N61" s="372" t="str">
        <f t="shared" si="0"/>
        <v>115-ctl-21</v>
      </c>
      <c r="O61" s="372" t="str">
        <f t="shared" si="1"/>
        <v>115-ctl-21</v>
      </c>
      <c r="P61" s="369">
        <v>21</v>
      </c>
      <c r="Q61" s="369" t="str">
        <f>LEFT(coder1_YH!AK61,1)</f>
        <v>1</v>
      </c>
      <c r="R61" s="369" t="str">
        <f>LEFT(coder1_YH!AL61,1)</f>
        <v>0</v>
      </c>
      <c r="S61" s="369" t="str">
        <f>coder1_YH!AJ61</f>
        <v>RC  (SRT) pretest ONLY - Sentence Reading Test</v>
      </c>
      <c r="T61" s="370">
        <f>coder1_YH!AN61</f>
        <v>16.46</v>
      </c>
      <c r="U61" s="370">
        <f>coder1_YH!AO61</f>
        <v>5.28</v>
      </c>
      <c r="V61" s="370">
        <f>coder1_YH!AP61</f>
        <v>113</v>
      </c>
      <c r="W61" s="370" t="str">
        <f>coder1_YH!AQ61</f>
        <v>NA</v>
      </c>
      <c r="X61" s="370" t="str">
        <f>coder1_YH!AR61</f>
        <v>NA</v>
      </c>
      <c r="Y61" s="370">
        <f>coder1_YH!AS61</f>
        <v>90</v>
      </c>
      <c r="Z61" s="371">
        <f t="shared" si="2"/>
        <v>16.46</v>
      </c>
      <c r="AA61" s="371">
        <f t="shared" si="3"/>
        <v>5.28</v>
      </c>
      <c r="AB61" s="371">
        <f t="shared" si="4"/>
        <v>113</v>
      </c>
      <c r="AC61" s="371" t="str">
        <f t="shared" si="5"/>
        <v>NA</v>
      </c>
      <c r="AD61" s="371" t="str">
        <f t="shared" si="6"/>
        <v>NA</v>
      </c>
      <c r="AE61" s="371">
        <f t="shared" si="7"/>
        <v>90</v>
      </c>
    </row>
    <row r="62" spans="1:31" x14ac:dyDescent="0.2">
      <c r="A62">
        <f>coder1_YH!B62</f>
        <v>0</v>
      </c>
      <c r="B62">
        <f>coder1_YH!C62</f>
        <v>62</v>
      </c>
      <c r="C62">
        <f>coder1_YH!D62</f>
        <v>0</v>
      </c>
      <c r="D62" t="b">
        <f>coder1_YH!E62</f>
        <v>1</v>
      </c>
      <c r="E62" t="b">
        <f>coder1_YH!F62</f>
        <v>1</v>
      </c>
      <c r="G62" t="str">
        <f>IF(coder1_YH!G62="",G61, coder1_YH!G62)</f>
        <v>Andreassen &amp; Braten, 2011</v>
      </c>
      <c r="H62" s="405" t="str">
        <f>clean_mod!I62</f>
        <v>2011</v>
      </c>
      <c r="I62" t="str">
        <f>clean_mod!G62</f>
        <v>115</v>
      </c>
      <c r="J62">
        <f>clean_mod!H62</f>
        <v>115</v>
      </c>
      <c r="K62" t="str">
        <f>IF(coder1_YH!P62="",K61, coder1_YH!P62)</f>
        <v>ctl</v>
      </c>
      <c r="L62" s="324" t="str">
        <f>IF(clean_mod!AF62="",L61,clean_mod!AF62)</f>
        <v>115-..</v>
      </c>
      <c r="M62" s="324" t="str">
        <f>IF(clean_mod!AG62="",M61,clean_mod!AG62)</f>
        <v>115-BAU</v>
      </c>
      <c r="N62" s="372" t="str">
        <f t="shared" si="0"/>
        <v>115-ctl-22</v>
      </c>
      <c r="O62" s="372" t="str">
        <f t="shared" si="1"/>
        <v>115-ctl-22</v>
      </c>
      <c r="P62" s="369">
        <v>22</v>
      </c>
      <c r="Q62" s="369" t="str">
        <f>LEFT(coder1_YH!AK62,1)</f>
        <v>0</v>
      </c>
      <c r="R62" s="369" t="str">
        <f>LEFT(coder1_YH!AL62,1)</f>
        <v>0</v>
      </c>
      <c r="S62" s="369" t="str">
        <f>coder1_YH!AJ62</f>
        <v>RC  (maze)</v>
      </c>
      <c r="T62" s="370" t="str">
        <f>coder1_YH!AN62</f>
        <v>NA</v>
      </c>
      <c r="U62" s="370" t="str">
        <f>coder1_YH!AO62</f>
        <v>NA</v>
      </c>
      <c r="V62" s="370" t="str">
        <f>coder1_YH!AP62</f>
        <v>NA</v>
      </c>
      <c r="W62" s="370">
        <f>coder1_YH!AQ62</f>
        <v>23.21</v>
      </c>
      <c r="X62" s="370">
        <f>coder1_YH!AR62</f>
        <v>7.33</v>
      </c>
      <c r="Y62" s="370">
        <f>coder1_YH!AS62</f>
        <v>90</v>
      </c>
      <c r="Z62" s="371" t="str">
        <f t="shared" si="2"/>
        <v>NA</v>
      </c>
      <c r="AA62" s="371" t="str">
        <f t="shared" si="3"/>
        <v>NA</v>
      </c>
      <c r="AB62" s="371" t="str">
        <f t="shared" si="4"/>
        <v>NA</v>
      </c>
      <c r="AC62" s="371">
        <f t="shared" si="5"/>
        <v>23.21</v>
      </c>
      <c r="AD62" s="371">
        <f t="shared" si="6"/>
        <v>7.33</v>
      </c>
      <c r="AE62" s="371">
        <f t="shared" si="7"/>
        <v>90</v>
      </c>
    </row>
    <row r="63" spans="1:31" x14ac:dyDescent="0.2">
      <c r="A63">
        <f>coder1_YH!B63</f>
        <v>0</v>
      </c>
      <c r="B63">
        <f>coder1_YH!C63</f>
        <v>63</v>
      </c>
      <c r="C63">
        <f>coder1_YH!D63</f>
        <v>0</v>
      </c>
      <c r="D63">
        <f>coder1_YH!E63</f>
        <v>0</v>
      </c>
      <c r="E63">
        <f>coder1_YH!F63</f>
        <v>0</v>
      </c>
      <c r="G63" t="str">
        <f>IF(coder1_YH!G63="",G62, coder1_YH!G63)</f>
        <v>Andreassen &amp; Braten, 2011</v>
      </c>
      <c r="H63" s="405" t="str">
        <f>clean_mod!I63</f>
        <v>2011</v>
      </c>
      <c r="I63" t="str">
        <f>clean_mod!G63</f>
        <v>115</v>
      </c>
      <c r="J63">
        <f>clean_mod!H63</f>
        <v>115</v>
      </c>
      <c r="K63" t="str">
        <f>IF(coder1_YH!P63="",K62, coder1_YH!P63)</f>
        <v>ctl</v>
      </c>
      <c r="L63" s="324" t="str">
        <f>IF(clean_mod!AF63="",L62,clean_mod!AF63)</f>
        <v>115-..</v>
      </c>
      <c r="M63" s="324" t="str">
        <f>IF(clean_mod!AG63="",M62,clean_mod!AG63)</f>
        <v>115-BAU</v>
      </c>
      <c r="N63" s="372" t="str">
        <f t="shared" si="0"/>
        <v>115-ctl-23</v>
      </c>
      <c r="O63" s="372" t="str">
        <f t="shared" si="1"/>
        <v>115-ctl-23</v>
      </c>
      <c r="P63" s="369">
        <v>23</v>
      </c>
      <c r="Q63" s="369" t="str">
        <f>LEFT(coder1_YH!AK63,1)</f>
        <v>1</v>
      </c>
      <c r="R63" s="369" t="str">
        <f>LEFT(coder1_YH!AL63,1)</f>
        <v>0</v>
      </c>
      <c r="S63" s="369" t="str">
        <f>coder1_YH!AJ63</f>
        <v>RC (NLCT)</v>
      </c>
      <c r="T63" s="370" t="str">
        <f>coder1_YH!AN63</f>
        <v>NA</v>
      </c>
      <c r="U63" s="370" t="str">
        <f>coder1_YH!AO63</f>
        <v>NA</v>
      </c>
      <c r="V63" s="370" t="str">
        <f>coder1_YH!AP63</f>
        <v>NA</v>
      </c>
      <c r="W63" s="370">
        <f>coder1_YH!AQ63</f>
        <v>6.25</v>
      </c>
      <c r="X63" s="370">
        <f>coder1_YH!AR63</f>
        <v>1.98</v>
      </c>
      <c r="Y63" s="370">
        <f>coder1_YH!AS63</f>
        <v>90</v>
      </c>
      <c r="Z63" s="371" t="str">
        <f t="shared" si="2"/>
        <v>NA</v>
      </c>
      <c r="AA63" s="371" t="str">
        <f t="shared" si="3"/>
        <v>NA</v>
      </c>
      <c r="AB63" s="371" t="str">
        <f t="shared" si="4"/>
        <v>NA</v>
      </c>
      <c r="AC63" s="371">
        <f t="shared" si="5"/>
        <v>6.25</v>
      </c>
      <c r="AD63" s="371">
        <f t="shared" si="6"/>
        <v>1.98</v>
      </c>
      <c r="AE63" s="371">
        <f t="shared" si="7"/>
        <v>90</v>
      </c>
    </row>
    <row r="64" spans="1:31" x14ac:dyDescent="0.2">
      <c r="A64">
        <f>coder1_YH!B64</f>
        <v>0</v>
      </c>
      <c r="B64">
        <f>coder1_YH!C64</f>
        <v>64</v>
      </c>
      <c r="C64">
        <f>coder1_YH!D64</f>
        <v>0</v>
      </c>
      <c r="D64">
        <f>coder1_YH!E64</f>
        <v>0</v>
      </c>
      <c r="E64">
        <f>coder1_YH!F64</f>
        <v>0</v>
      </c>
      <c r="G64" t="str">
        <f>IF(coder1_YH!G64="",G63, coder1_YH!G64)</f>
        <v>Andreassen &amp; Braten, 2011</v>
      </c>
      <c r="H64" s="405" t="str">
        <f>clean_mod!I64</f>
        <v>2011</v>
      </c>
      <c r="I64" t="str">
        <f>clean_mod!G64</f>
        <v>115</v>
      </c>
      <c r="J64">
        <f>clean_mod!H64</f>
        <v>115</v>
      </c>
      <c r="K64" t="str">
        <f>IF(coder1_YH!P64="",K63, coder1_YH!P64)</f>
        <v>ctl</v>
      </c>
      <c r="L64" s="324" t="str">
        <f>IF(clean_mod!AF64="",L63,clean_mod!AF64)</f>
        <v>115-..</v>
      </c>
      <c r="M64" s="324" t="str">
        <f>IF(clean_mod!AG64="",M63,clean_mod!AG64)</f>
        <v>115-BAU</v>
      </c>
      <c r="N64" s="372" t="str">
        <f t="shared" si="0"/>
        <v>115-ctl-24</v>
      </c>
      <c r="O64" s="372" t="str">
        <f t="shared" si="1"/>
        <v>115-ctl-24</v>
      </c>
      <c r="P64" s="369">
        <v>24</v>
      </c>
      <c r="Q64" s="369" t="str">
        <f>LEFT(coder1_YH!AK64,1)</f>
        <v>0</v>
      </c>
      <c r="R64" s="369" t="str">
        <f>LEFT(coder1_YH!AL64,1)</f>
        <v>0</v>
      </c>
      <c r="S64" s="369" t="str">
        <f>coder1_YH!AJ64</f>
        <v>RC (RGT)</v>
      </c>
      <c r="T64" s="370" t="str">
        <f>coder1_YH!AN64</f>
        <v>NA</v>
      </c>
      <c r="U64" s="370" t="str">
        <f>coder1_YH!AO64</f>
        <v>NA</v>
      </c>
      <c r="V64" s="370" t="str">
        <f>coder1_YH!AP64</f>
        <v>NA</v>
      </c>
      <c r="W64" s="370">
        <f>coder1_YH!AQ64</f>
        <v>5.89</v>
      </c>
      <c r="X64" s="370">
        <f>coder1_YH!AR64</f>
        <v>2.92</v>
      </c>
      <c r="Y64" s="370">
        <f>coder1_YH!AS64</f>
        <v>90</v>
      </c>
      <c r="Z64" s="371" t="str">
        <f t="shared" si="2"/>
        <v>NA</v>
      </c>
      <c r="AA64" s="371" t="str">
        <f t="shared" si="3"/>
        <v>NA</v>
      </c>
      <c r="AB64" s="371" t="str">
        <f t="shared" si="4"/>
        <v>NA</v>
      </c>
      <c r="AC64" s="371">
        <f t="shared" si="5"/>
        <v>5.89</v>
      </c>
      <c r="AD64" s="371">
        <f t="shared" si="6"/>
        <v>2.92</v>
      </c>
      <c r="AE64" s="371">
        <f t="shared" si="7"/>
        <v>90</v>
      </c>
    </row>
    <row r="65" spans="1:31" x14ac:dyDescent="0.2">
      <c r="A65" t="str">
        <f>coder1_YH!B65</f>
        <v>EX</v>
      </c>
      <c r="B65">
        <f>coder1_YH!C65</f>
        <v>65</v>
      </c>
      <c r="C65" t="b">
        <f>coder1_YH!D65</f>
        <v>1</v>
      </c>
      <c r="D65" t="b">
        <f>coder1_YH!E65</f>
        <v>1</v>
      </c>
      <c r="E65" t="b">
        <f>coder1_YH!F65</f>
        <v>1</v>
      </c>
      <c r="G65" t="str">
        <f>IF(coder1_YH!G65="",G64, coder1_YH!G65)</f>
        <v>Cuevas et al., 2012</v>
      </c>
      <c r="H65" s="405" t="str">
        <f>clean_mod!I65</f>
        <v>2012</v>
      </c>
      <c r="I65" t="str">
        <f>clean_mod!G65</f>
        <v>116</v>
      </c>
      <c r="J65">
        <f>clean_mod!H65</f>
        <v>116</v>
      </c>
      <c r="K65">
        <f>IF(coder1_YH!P65="",K64, coder1_YH!P65)</f>
        <v>1</v>
      </c>
      <c r="L65" s="324" t="str">
        <f>IF(clean_mod!AF65="",L64,clean_mod!AF65)</f>
        <v>116-EXEX</v>
      </c>
      <c r="M65" s="324" t="str">
        <f>IF(clean_mod!AG65="",M64,clean_mod!AG65)</f>
        <v>116-EX_R</v>
      </c>
      <c r="N65" s="372" t="str">
        <f t="shared" si="0"/>
        <v>116-ctl-26</v>
      </c>
      <c r="O65" s="372" t="str">
        <f t="shared" si="1"/>
        <v>116-1-26</v>
      </c>
      <c r="P65" s="369">
        <v>26</v>
      </c>
      <c r="Q65" s="369" t="str">
        <f>LEFT(coder1_YH!AK65,1)</f>
        <v>1</v>
      </c>
      <c r="R65" s="369" t="str">
        <f>LEFT(coder1_YH!AL65,1)</f>
        <v>0</v>
      </c>
      <c r="S65" s="369" t="str">
        <f>coder1_YH!AJ65</f>
        <v>(Table 4) Gates-MacGinitie Reading Test</v>
      </c>
      <c r="T65" s="370" t="str">
        <f>coder1_YH!AN65</f>
        <v>NA</v>
      </c>
      <c r="U65" s="370" t="str">
        <f>coder1_YH!AO65</f>
        <v>NA</v>
      </c>
      <c r="V65" s="370" t="str">
        <f>coder1_YH!AP65</f>
        <v>NA</v>
      </c>
      <c r="W65" s="370">
        <f>coder1_YH!AQ65</f>
        <v>560.97</v>
      </c>
      <c r="X65" s="370">
        <f>coder1_YH!AR65</f>
        <v>20.68</v>
      </c>
      <c r="Y65" s="370">
        <f>coder1_YH!AS65</f>
        <v>38</v>
      </c>
      <c r="Z65" s="371" t="str">
        <f t="shared" si="2"/>
        <v>NA</v>
      </c>
      <c r="AA65" s="371" t="str">
        <f t="shared" si="3"/>
        <v>NA</v>
      </c>
      <c r="AB65" s="371" t="str">
        <f t="shared" si="4"/>
        <v>NA</v>
      </c>
      <c r="AC65" s="371">
        <f t="shared" si="5"/>
        <v>549.12</v>
      </c>
      <c r="AD65" s="371">
        <f t="shared" si="6"/>
        <v>22.19</v>
      </c>
      <c r="AE65" s="371">
        <f t="shared" si="7"/>
        <v>43</v>
      </c>
    </row>
    <row r="66" spans="1:31" x14ac:dyDescent="0.2">
      <c r="A66" t="str">
        <f>coder1_YH!B66</f>
        <v>EX</v>
      </c>
      <c r="B66">
        <f>coder1_YH!C66</f>
        <v>66</v>
      </c>
      <c r="C66">
        <f>coder1_YH!D66</f>
        <v>0</v>
      </c>
      <c r="D66" t="str">
        <f>coder1_YH!E66</f>
        <v/>
      </c>
      <c r="E66" t="str">
        <f>coder1_YH!F66</f>
        <v/>
      </c>
      <c r="G66" t="str">
        <f>IF(coder1_YH!G66="",G65, coder1_YH!G66)</f>
        <v>Cuevas et al., 2012</v>
      </c>
      <c r="H66" s="405" t="str">
        <f>clean_mod!I66</f>
        <v>2012</v>
      </c>
      <c r="I66" t="str">
        <f>clean_mod!G66</f>
        <v>116</v>
      </c>
      <c r="J66">
        <f>clean_mod!H66</f>
        <v>116</v>
      </c>
      <c r="K66">
        <f>IF(coder1_YH!P66="",K65, coder1_YH!P66)</f>
        <v>1</v>
      </c>
      <c r="L66" s="324" t="str">
        <f>IF(clean_mod!AF66="",L65,clean_mod!AF66)</f>
        <v>116-EXEX</v>
      </c>
      <c r="M66" s="324" t="str">
        <f>IF(clean_mod!AG66="",M65,clean_mod!AG66)</f>
        <v>116-EX_R</v>
      </c>
      <c r="N66" s="372" t="str">
        <f t="shared" ref="N66:N129" si="8">I66&amp;"-"&amp;"ctl"&amp;"-"&amp;P66</f>
        <v>116-ctl-27</v>
      </c>
      <c r="O66" s="372" t="str">
        <f t="shared" ref="O66:O129" si="9">I66&amp;"-"&amp;K66&amp;"-"&amp;P66</f>
        <v>116-1-27</v>
      </c>
      <c r="P66" s="369">
        <v>27</v>
      </c>
      <c r="Q66" s="369" t="str">
        <f>LEFT(coder1_YH!AK66,1)</f>
        <v>0</v>
      </c>
      <c r="R66" s="369" t="str">
        <f>LEFT(coder1_YH!AL66,1)</f>
        <v>0</v>
      </c>
      <c r="S66" s="369" t="str">
        <f>coder1_YH!AJ66</f>
        <v>(Table 6) Dr. Heidegger’s Experiment</v>
      </c>
      <c r="T66" s="370" t="str">
        <f>coder1_YH!AN66</f>
        <v>NA</v>
      </c>
      <c r="U66" s="370" t="str">
        <f>coder1_YH!AO66</f>
        <v>NA</v>
      </c>
      <c r="V66" s="370" t="str">
        <f>coder1_YH!AP66</f>
        <v>NA</v>
      </c>
      <c r="W66" s="370">
        <f>coder1_YH!AQ66</f>
        <v>68.39</v>
      </c>
      <c r="X66" s="370">
        <f>coder1_YH!AR66</f>
        <v>13.56</v>
      </c>
      <c r="Y66" s="370">
        <f>coder1_YH!AS66</f>
        <v>31</v>
      </c>
      <c r="Z66" s="371" t="str">
        <f t="shared" ref="Z66:Z129" si="10">VLOOKUP($N66,$O:$Y,6,0)</f>
        <v>NA</v>
      </c>
      <c r="AA66" s="371" t="str">
        <f t="shared" ref="AA66:AA129" si="11">VLOOKUP($N66,$O:$Y,7,0)</f>
        <v>NA</v>
      </c>
      <c r="AB66" s="371" t="str">
        <f t="shared" ref="AB66:AB129" si="12">VLOOKUP($N66,$O:$Y,8,0)</f>
        <v>NA</v>
      </c>
      <c r="AC66" s="371">
        <f t="shared" ref="AC66:AC129" si="13">VLOOKUP($N66,$O:$Y,9,0)</f>
        <v>64.64</v>
      </c>
      <c r="AD66" s="371">
        <f t="shared" ref="AD66:AD129" si="14">VLOOKUP($N66,$O:$Y,10,0)</f>
        <v>17.71</v>
      </c>
      <c r="AE66" s="371">
        <f t="shared" ref="AE66:AE129" si="15">VLOOKUP($N66,$O:$Y,11,0)</f>
        <v>56</v>
      </c>
    </row>
    <row r="67" spans="1:31" x14ac:dyDescent="0.2">
      <c r="A67" t="str">
        <f>coder1_YH!B67</f>
        <v>EX</v>
      </c>
      <c r="B67">
        <f>coder1_YH!C67</f>
        <v>67</v>
      </c>
      <c r="C67">
        <f>coder1_YH!D67</f>
        <v>0</v>
      </c>
      <c r="D67" t="str">
        <f>coder1_YH!E67</f>
        <v/>
      </c>
      <c r="E67" t="str">
        <f>coder1_YH!F67</f>
        <v/>
      </c>
      <c r="G67" t="str">
        <f>IF(coder1_YH!G67="",G66, coder1_YH!G67)</f>
        <v>Cuevas et al., 2012</v>
      </c>
      <c r="H67" s="405" t="str">
        <f>clean_mod!I67</f>
        <v>2012</v>
      </c>
      <c r="I67" t="str">
        <f>clean_mod!G67</f>
        <v>116</v>
      </c>
      <c r="J67">
        <f>clean_mod!H67</f>
        <v>116</v>
      </c>
      <c r="K67">
        <f>IF(coder1_YH!P67="",K66, coder1_YH!P67)</f>
        <v>1</v>
      </c>
      <c r="L67" s="324" t="str">
        <f>IF(clean_mod!AF67="",L66,clean_mod!AF67)</f>
        <v>116-EXEX</v>
      </c>
      <c r="M67" s="324" t="str">
        <f>IF(clean_mod!AG67="",M66,clean_mod!AG67)</f>
        <v>116-EX_R</v>
      </c>
      <c r="N67" s="372" t="str">
        <f t="shared" si="8"/>
        <v>116-ctl-28</v>
      </c>
      <c r="O67" s="372" t="str">
        <f t="shared" si="9"/>
        <v>116-1-28</v>
      </c>
      <c r="P67" s="369">
        <v>28</v>
      </c>
      <c r="Q67" s="369" t="str">
        <f>LEFT(coder1_YH!AK67,1)</f>
        <v>0</v>
      </c>
      <c r="R67" s="369" t="str">
        <f>LEFT(coder1_YH!AL67,1)</f>
        <v>0</v>
      </c>
      <c r="S67" s="369" t="str">
        <f>coder1_YH!AJ67</f>
        <v>(Table 6) Narrative of Frederick Douglass</v>
      </c>
      <c r="T67" s="370" t="str">
        <f>coder1_YH!AN67</f>
        <v>NA</v>
      </c>
      <c r="U67" s="370" t="str">
        <f>coder1_YH!AO67</f>
        <v>NA</v>
      </c>
      <c r="V67" s="370" t="str">
        <f>coder1_YH!AP67</f>
        <v>NA</v>
      </c>
      <c r="W67" s="370">
        <f>coder1_YH!AQ67</f>
        <v>82.1</v>
      </c>
      <c r="X67" s="370">
        <f>coder1_YH!AR67</f>
        <v>13.02</v>
      </c>
      <c r="Y67" s="370">
        <f>coder1_YH!AS67</f>
        <v>31</v>
      </c>
      <c r="Z67" s="371" t="str">
        <f t="shared" si="10"/>
        <v>NA</v>
      </c>
      <c r="AA67" s="371" t="str">
        <f t="shared" si="11"/>
        <v>NA</v>
      </c>
      <c r="AB67" s="371" t="str">
        <f t="shared" si="12"/>
        <v>NA</v>
      </c>
      <c r="AC67" s="371">
        <f t="shared" si="13"/>
        <v>78.13</v>
      </c>
      <c r="AD67" s="371">
        <f t="shared" si="14"/>
        <v>18.43</v>
      </c>
      <c r="AE67" s="371">
        <f t="shared" si="15"/>
        <v>56</v>
      </c>
    </row>
    <row r="68" spans="1:31" x14ac:dyDescent="0.2">
      <c r="A68" t="str">
        <f>coder1_YH!B68</f>
        <v>EX</v>
      </c>
      <c r="B68">
        <f>coder1_YH!C68</f>
        <v>68</v>
      </c>
      <c r="C68">
        <f>coder1_YH!D68</f>
        <v>0</v>
      </c>
      <c r="D68" t="str">
        <f>coder1_YH!E68</f>
        <v/>
      </c>
      <c r="E68" t="str">
        <f>coder1_YH!F68</f>
        <v/>
      </c>
      <c r="G68" t="str">
        <f>IF(coder1_YH!G68="",G67, coder1_YH!G68)</f>
        <v>Cuevas et al., 2012</v>
      </c>
      <c r="H68" s="405" t="str">
        <f>clean_mod!I68</f>
        <v>2012</v>
      </c>
      <c r="I68" t="str">
        <f>clean_mod!G68</f>
        <v>116</v>
      </c>
      <c r="J68">
        <f>clean_mod!H68</f>
        <v>116</v>
      </c>
      <c r="K68">
        <f>IF(coder1_YH!P68="",K67, coder1_YH!P68)</f>
        <v>1</v>
      </c>
      <c r="L68" s="324" t="str">
        <f>IF(clean_mod!AF68="",L67,clean_mod!AF68)</f>
        <v>116-EXEX</v>
      </c>
      <c r="M68" s="324" t="str">
        <f>IF(clean_mod!AG68="",M67,clean_mod!AG68)</f>
        <v>116-EX_R</v>
      </c>
      <c r="N68" s="372" t="str">
        <f t="shared" si="8"/>
        <v>116-ctl-29</v>
      </c>
      <c r="O68" s="372" t="str">
        <f t="shared" si="9"/>
        <v>116-1-29</v>
      </c>
      <c r="P68" s="369">
        <v>29</v>
      </c>
      <c r="Q68" s="369" t="str">
        <f>LEFT(coder1_YH!AK68,1)</f>
        <v>0</v>
      </c>
      <c r="R68" s="369" t="str">
        <f>LEFT(coder1_YH!AL68,1)</f>
        <v>0</v>
      </c>
      <c r="S68" s="369" t="str">
        <f>coder1_YH!AJ68</f>
        <v>(Table 6) A Rose for Emily</v>
      </c>
      <c r="T68" s="370" t="str">
        <f>coder1_YH!AN68</f>
        <v>NA</v>
      </c>
      <c r="U68" s="370" t="str">
        <f>coder1_YH!AO68</f>
        <v>NA</v>
      </c>
      <c r="V68" s="370" t="str">
        <f>coder1_YH!AP68</f>
        <v>NA</v>
      </c>
      <c r="W68" s="370">
        <f>coder1_YH!AQ68</f>
        <v>81.94</v>
      </c>
      <c r="X68" s="370">
        <f>coder1_YH!AR68</f>
        <v>13.58</v>
      </c>
      <c r="Y68" s="370">
        <f>coder1_YH!AS68</f>
        <v>31</v>
      </c>
      <c r="Z68" s="371" t="str">
        <f t="shared" si="10"/>
        <v>NA</v>
      </c>
      <c r="AA68" s="371" t="str">
        <f t="shared" si="11"/>
        <v>NA</v>
      </c>
      <c r="AB68" s="371" t="str">
        <f t="shared" si="12"/>
        <v>NA</v>
      </c>
      <c r="AC68" s="371">
        <f t="shared" si="13"/>
        <v>75.45</v>
      </c>
      <c r="AD68" s="371">
        <f t="shared" si="14"/>
        <v>21.69</v>
      </c>
      <c r="AE68" s="371">
        <f t="shared" si="15"/>
        <v>56</v>
      </c>
    </row>
    <row r="69" spans="1:31" x14ac:dyDescent="0.2">
      <c r="A69" t="str">
        <f>coder1_YH!B69</f>
        <v>EX</v>
      </c>
      <c r="B69">
        <f>coder1_YH!C69</f>
        <v>69</v>
      </c>
      <c r="C69">
        <f>coder1_YH!D69</f>
        <v>0</v>
      </c>
      <c r="D69" t="str">
        <f>coder1_YH!E69</f>
        <v/>
      </c>
      <c r="E69" t="str">
        <f>coder1_YH!F69</f>
        <v/>
      </c>
      <c r="G69" t="str">
        <f>IF(coder1_YH!G69="",G68, coder1_YH!G69)</f>
        <v>Cuevas et al., 2012</v>
      </c>
      <c r="H69" s="405" t="str">
        <f>clean_mod!I69</f>
        <v>2012</v>
      </c>
      <c r="I69" t="str">
        <f>clean_mod!G69</f>
        <v>116</v>
      </c>
      <c r="J69">
        <f>clean_mod!H69</f>
        <v>116</v>
      </c>
      <c r="K69">
        <f>IF(coder1_YH!P69="",K68, coder1_YH!P69)</f>
        <v>1</v>
      </c>
      <c r="L69" s="324" t="str">
        <f>IF(clean_mod!AF69="",L68,clean_mod!AF69)</f>
        <v>116-EXEX</v>
      </c>
      <c r="M69" s="324" t="str">
        <f>IF(clean_mod!AG69="",M68,clean_mod!AG69)</f>
        <v>116-EX_R</v>
      </c>
      <c r="N69" s="372" t="str">
        <f t="shared" si="8"/>
        <v>116-ctl-30</v>
      </c>
      <c r="O69" s="372" t="str">
        <f t="shared" si="9"/>
        <v>116-1-30</v>
      </c>
      <c r="P69" s="369">
        <v>30</v>
      </c>
      <c r="Q69" s="369" t="str">
        <f>LEFT(coder1_YH!AK69,1)</f>
        <v>0</v>
      </c>
      <c r="R69" s="369" t="str">
        <f>LEFT(coder1_YH!AL69,1)</f>
        <v>0</v>
      </c>
      <c r="S69" s="369" t="str">
        <f>coder1_YH!AJ69</f>
        <v>(Table 6) The Jilting of Granny Weatherall</v>
      </c>
      <c r="T69" s="370" t="str">
        <f>coder1_YH!AN69</f>
        <v>NA</v>
      </c>
      <c r="U69" s="370" t="str">
        <f>coder1_YH!AO69</f>
        <v>NA</v>
      </c>
      <c r="V69" s="370" t="str">
        <f>coder1_YH!AP69</f>
        <v>NA</v>
      </c>
      <c r="W69" s="370">
        <f>coder1_YH!AQ69</f>
        <v>66.290000000000006</v>
      </c>
      <c r="X69" s="370">
        <f>coder1_YH!AR69</f>
        <v>15.49</v>
      </c>
      <c r="Y69" s="370">
        <f>coder1_YH!AS69</f>
        <v>31</v>
      </c>
      <c r="Z69" s="371" t="str">
        <f t="shared" si="10"/>
        <v>NA</v>
      </c>
      <c r="AA69" s="371" t="str">
        <f t="shared" si="11"/>
        <v>NA</v>
      </c>
      <c r="AB69" s="371" t="str">
        <f t="shared" si="12"/>
        <v>NA</v>
      </c>
      <c r="AC69" s="371">
        <f t="shared" si="13"/>
        <v>56.88</v>
      </c>
      <c r="AD69" s="371">
        <f t="shared" si="14"/>
        <v>20.170000000000002</v>
      </c>
      <c r="AE69" s="371">
        <f t="shared" si="15"/>
        <v>56</v>
      </c>
    </row>
    <row r="70" spans="1:31" x14ac:dyDescent="0.2">
      <c r="A70" t="str">
        <f>coder1_YH!B70</f>
        <v>EX</v>
      </c>
      <c r="B70">
        <f>coder1_YH!C70</f>
        <v>70</v>
      </c>
      <c r="C70">
        <f>coder1_YH!D70</f>
        <v>0</v>
      </c>
      <c r="D70" t="str">
        <f>coder1_YH!E70</f>
        <v/>
      </c>
      <c r="E70" t="b">
        <f>coder1_YH!F70</f>
        <v>1</v>
      </c>
      <c r="G70" t="str">
        <f>IF(coder1_YH!G70="",G69, coder1_YH!G70)</f>
        <v>Cuevas et al., 2012</v>
      </c>
      <c r="H70" s="405" t="str">
        <f>clean_mod!I70</f>
        <v>2012</v>
      </c>
      <c r="I70" t="str">
        <f>clean_mod!G70</f>
        <v>116</v>
      </c>
      <c r="J70">
        <f>clean_mod!H70</f>
        <v>116</v>
      </c>
      <c r="K70">
        <f>IF(coder1_YH!P70="",K69, coder1_YH!P70)</f>
        <v>2</v>
      </c>
      <c r="L70" s="324" t="str">
        <f>IF(clean_mod!AF70="",L69,clean_mod!AF70)</f>
        <v>116-EXEX</v>
      </c>
      <c r="M70" s="324" t="str">
        <f>IF(clean_mod!AG70="",M69,clean_mod!AG70)</f>
        <v>116-EX_R</v>
      </c>
      <c r="N70" s="372" t="str">
        <f t="shared" si="8"/>
        <v>116-ctl-26</v>
      </c>
      <c r="O70" s="372" t="str">
        <f t="shared" si="9"/>
        <v>116-2-26</v>
      </c>
      <c r="P70" s="369">
        <v>26</v>
      </c>
      <c r="Q70" s="369" t="str">
        <f>LEFT(coder1_YH!AK70,1)</f>
        <v>1</v>
      </c>
      <c r="R70" s="369" t="str">
        <f>LEFT(coder1_YH!AL70,1)</f>
        <v>0</v>
      </c>
      <c r="S70" s="369" t="str">
        <f>coder1_YH!AJ70</f>
        <v>(Table 4) Gates-MacGinitie Reading Test</v>
      </c>
      <c r="T70" s="370" t="str">
        <f>coder1_YH!AN70</f>
        <v>NA</v>
      </c>
      <c r="U70" s="370" t="str">
        <f>coder1_YH!AO70</f>
        <v>NA</v>
      </c>
      <c r="V70" s="370" t="str">
        <f>coder1_YH!AP70</f>
        <v>NA</v>
      </c>
      <c r="W70" s="370">
        <f>coder1_YH!AQ70</f>
        <v>561.75</v>
      </c>
      <c r="X70" s="370">
        <f>coder1_YH!AR70</f>
        <v>19.93</v>
      </c>
      <c r="Y70" s="370">
        <f>coder1_YH!AS70</f>
        <v>24</v>
      </c>
      <c r="Z70" s="371" t="str">
        <f t="shared" si="10"/>
        <v>NA</v>
      </c>
      <c r="AA70" s="371" t="str">
        <f t="shared" si="11"/>
        <v>NA</v>
      </c>
      <c r="AB70" s="371" t="str">
        <f t="shared" si="12"/>
        <v>NA</v>
      </c>
      <c r="AC70" s="371">
        <f t="shared" si="13"/>
        <v>549.12</v>
      </c>
      <c r="AD70" s="371">
        <f t="shared" si="14"/>
        <v>22.19</v>
      </c>
      <c r="AE70" s="371">
        <f t="shared" si="15"/>
        <v>43</v>
      </c>
    </row>
    <row r="71" spans="1:31" x14ac:dyDescent="0.2">
      <c r="A71" t="str">
        <f>coder1_YH!B71</f>
        <v>EX</v>
      </c>
      <c r="B71">
        <f>coder1_YH!C71</f>
        <v>71</v>
      </c>
      <c r="C71">
        <f>coder1_YH!D71</f>
        <v>0</v>
      </c>
      <c r="D71" t="str">
        <f>coder1_YH!E71</f>
        <v/>
      </c>
      <c r="E71" t="str">
        <f>coder1_YH!F71</f>
        <v/>
      </c>
      <c r="G71" t="str">
        <f>IF(coder1_YH!G71="",G70, coder1_YH!G71)</f>
        <v>Cuevas et al., 2012</v>
      </c>
      <c r="H71" s="405" t="str">
        <f>clean_mod!I71</f>
        <v>2012</v>
      </c>
      <c r="I71" t="str">
        <f>clean_mod!G71</f>
        <v>116</v>
      </c>
      <c r="J71">
        <f>clean_mod!H71</f>
        <v>116</v>
      </c>
      <c r="K71">
        <f>IF(coder1_YH!P71="",K70, coder1_YH!P71)</f>
        <v>2</v>
      </c>
      <c r="L71" s="324" t="str">
        <f>IF(clean_mod!AF71="",L70,clean_mod!AF71)</f>
        <v>116-EXEX</v>
      </c>
      <c r="M71" s="324" t="str">
        <f>IF(clean_mod!AG71="",M70,clean_mod!AG71)</f>
        <v>116-EX_R</v>
      </c>
      <c r="N71" s="372" t="str">
        <f t="shared" si="8"/>
        <v>116-ctl-27</v>
      </c>
      <c r="O71" s="372" t="str">
        <f t="shared" si="9"/>
        <v>116-2-27</v>
      </c>
      <c r="P71" s="369">
        <v>27</v>
      </c>
      <c r="Q71" s="369" t="str">
        <f>LEFT(coder1_YH!AK71,1)</f>
        <v>0</v>
      </c>
      <c r="R71" s="369" t="str">
        <f>LEFT(coder1_YH!AL71,1)</f>
        <v>0</v>
      </c>
      <c r="S71" s="369" t="str">
        <f>coder1_YH!AJ71</f>
        <v>(Table 6) Dr. Heidegger’s Experiment</v>
      </c>
      <c r="T71" s="370" t="str">
        <f>coder1_YH!AN71</f>
        <v>NA</v>
      </c>
      <c r="U71" s="370" t="str">
        <f>coder1_YH!AO71</f>
        <v>NA</v>
      </c>
      <c r="V71" s="370" t="str">
        <f>coder1_YH!AP71</f>
        <v>NA</v>
      </c>
      <c r="W71" s="370">
        <f>coder1_YH!AQ71</f>
        <v>79.47</v>
      </c>
      <c r="X71" s="370">
        <f>coder1_YH!AR71</f>
        <v>6.85</v>
      </c>
      <c r="Y71" s="370">
        <f>coder1_YH!AS71</f>
        <v>19</v>
      </c>
      <c r="Z71" s="371" t="str">
        <f t="shared" si="10"/>
        <v>NA</v>
      </c>
      <c r="AA71" s="371" t="str">
        <f t="shared" si="11"/>
        <v>NA</v>
      </c>
      <c r="AB71" s="371" t="str">
        <f t="shared" si="12"/>
        <v>NA</v>
      </c>
      <c r="AC71" s="371">
        <f t="shared" si="13"/>
        <v>64.64</v>
      </c>
      <c r="AD71" s="371">
        <f t="shared" si="14"/>
        <v>17.71</v>
      </c>
      <c r="AE71" s="371">
        <f t="shared" si="15"/>
        <v>56</v>
      </c>
    </row>
    <row r="72" spans="1:31" x14ac:dyDescent="0.2">
      <c r="A72" t="str">
        <f>coder1_YH!B72</f>
        <v>EX</v>
      </c>
      <c r="B72">
        <f>coder1_YH!C72</f>
        <v>72</v>
      </c>
      <c r="C72">
        <f>coder1_YH!D72</f>
        <v>0</v>
      </c>
      <c r="D72" t="str">
        <f>coder1_YH!E72</f>
        <v/>
      </c>
      <c r="E72" t="str">
        <f>coder1_YH!F72</f>
        <v/>
      </c>
      <c r="G72" t="str">
        <f>IF(coder1_YH!G72="",G71, coder1_YH!G72)</f>
        <v>Cuevas et al., 2012</v>
      </c>
      <c r="H72" s="405" t="str">
        <f>clean_mod!I72</f>
        <v>2012</v>
      </c>
      <c r="I72" t="str">
        <f>clean_mod!G72</f>
        <v>116</v>
      </c>
      <c r="J72">
        <f>clean_mod!H72</f>
        <v>116</v>
      </c>
      <c r="K72">
        <f>IF(coder1_YH!P72="",K71, coder1_YH!P72)</f>
        <v>2</v>
      </c>
      <c r="L72" s="324" t="str">
        <f>IF(clean_mod!AF72="",L71,clean_mod!AF72)</f>
        <v>116-EXEX</v>
      </c>
      <c r="M72" s="324" t="str">
        <f>IF(clean_mod!AG72="",M71,clean_mod!AG72)</f>
        <v>116-EX_R</v>
      </c>
      <c r="N72" s="372" t="str">
        <f t="shared" si="8"/>
        <v>116-ctl-28</v>
      </c>
      <c r="O72" s="372" t="str">
        <f t="shared" si="9"/>
        <v>116-2-28</v>
      </c>
      <c r="P72" s="369">
        <v>28</v>
      </c>
      <c r="Q72" s="369" t="str">
        <f>LEFT(coder1_YH!AK72,1)</f>
        <v>0</v>
      </c>
      <c r="R72" s="369" t="str">
        <f>LEFT(coder1_YH!AL72,1)</f>
        <v>0</v>
      </c>
      <c r="S72" s="369" t="str">
        <f>coder1_YH!AJ72</f>
        <v>(Table 6) Narrative of Frederick Douglass</v>
      </c>
      <c r="T72" s="370" t="str">
        <f>coder1_YH!AN72</f>
        <v>NA</v>
      </c>
      <c r="U72" s="370" t="str">
        <f>coder1_YH!AO72</f>
        <v>NA</v>
      </c>
      <c r="V72" s="370" t="str">
        <f>coder1_YH!AP72</f>
        <v>NA</v>
      </c>
      <c r="W72" s="370">
        <f>coder1_YH!AQ72</f>
        <v>82.63</v>
      </c>
      <c r="X72" s="370">
        <f>coder1_YH!AR72</f>
        <v>12.18</v>
      </c>
      <c r="Y72" s="370">
        <f>coder1_YH!AS72</f>
        <v>19</v>
      </c>
      <c r="Z72" s="371" t="str">
        <f t="shared" si="10"/>
        <v>NA</v>
      </c>
      <c r="AA72" s="371" t="str">
        <f t="shared" si="11"/>
        <v>NA</v>
      </c>
      <c r="AB72" s="371" t="str">
        <f t="shared" si="12"/>
        <v>NA</v>
      </c>
      <c r="AC72" s="371">
        <f t="shared" si="13"/>
        <v>78.13</v>
      </c>
      <c r="AD72" s="371">
        <f t="shared" si="14"/>
        <v>18.43</v>
      </c>
      <c r="AE72" s="371">
        <f t="shared" si="15"/>
        <v>56</v>
      </c>
    </row>
    <row r="73" spans="1:31" x14ac:dyDescent="0.2">
      <c r="A73" t="str">
        <f>coder1_YH!B73</f>
        <v>EX</v>
      </c>
      <c r="B73">
        <f>coder1_YH!C73</f>
        <v>73</v>
      </c>
      <c r="C73">
        <f>coder1_YH!D73</f>
        <v>0</v>
      </c>
      <c r="D73" t="str">
        <f>coder1_YH!E73</f>
        <v/>
      </c>
      <c r="E73" t="str">
        <f>coder1_YH!F73</f>
        <v/>
      </c>
      <c r="G73" t="str">
        <f>IF(coder1_YH!G73="",G72, coder1_YH!G73)</f>
        <v>Cuevas et al., 2012</v>
      </c>
      <c r="H73" s="405" t="str">
        <f>clean_mod!I73</f>
        <v>2012</v>
      </c>
      <c r="I73" t="str">
        <f>clean_mod!G73</f>
        <v>116</v>
      </c>
      <c r="J73">
        <f>clean_mod!H73</f>
        <v>116</v>
      </c>
      <c r="K73">
        <f>IF(coder1_YH!P73="",K72, coder1_YH!P73)</f>
        <v>2</v>
      </c>
      <c r="L73" s="324" t="str">
        <f>IF(clean_mod!AF73="",L72,clean_mod!AF73)</f>
        <v>116-EXEX</v>
      </c>
      <c r="M73" s="324" t="str">
        <f>IF(clean_mod!AG73="",M72,clean_mod!AG73)</f>
        <v>116-EX_R</v>
      </c>
      <c r="N73" s="372" t="str">
        <f t="shared" si="8"/>
        <v>116-ctl-29</v>
      </c>
      <c r="O73" s="372" t="str">
        <f t="shared" si="9"/>
        <v>116-2-29</v>
      </c>
      <c r="P73" s="369">
        <v>29</v>
      </c>
      <c r="Q73" s="369" t="str">
        <f>LEFT(coder1_YH!AK73,1)</f>
        <v>0</v>
      </c>
      <c r="R73" s="369" t="str">
        <f>LEFT(coder1_YH!AL73,1)</f>
        <v>0</v>
      </c>
      <c r="S73" s="369" t="str">
        <f>coder1_YH!AJ73</f>
        <v>(Table 6) A Rose for Emily</v>
      </c>
      <c r="T73" s="370" t="str">
        <f>coder1_YH!AN73</f>
        <v>NA</v>
      </c>
      <c r="U73" s="370" t="str">
        <f>coder1_YH!AO73</f>
        <v>NA</v>
      </c>
      <c r="V73" s="370" t="str">
        <f>coder1_YH!AP73</f>
        <v>NA</v>
      </c>
      <c r="W73" s="370">
        <f>coder1_YH!AQ73</f>
        <v>90.53</v>
      </c>
      <c r="X73" s="370">
        <f>coder1_YH!AR73</f>
        <v>10.26</v>
      </c>
      <c r="Y73" s="370">
        <f>coder1_YH!AS73</f>
        <v>19</v>
      </c>
      <c r="Z73" s="371" t="str">
        <f t="shared" si="10"/>
        <v>NA</v>
      </c>
      <c r="AA73" s="371" t="str">
        <f t="shared" si="11"/>
        <v>NA</v>
      </c>
      <c r="AB73" s="371" t="str">
        <f t="shared" si="12"/>
        <v>NA</v>
      </c>
      <c r="AC73" s="371">
        <f t="shared" si="13"/>
        <v>75.45</v>
      </c>
      <c r="AD73" s="371">
        <f t="shared" si="14"/>
        <v>21.69</v>
      </c>
      <c r="AE73" s="371">
        <f t="shared" si="15"/>
        <v>56</v>
      </c>
    </row>
    <row r="74" spans="1:31" x14ac:dyDescent="0.2">
      <c r="A74" t="str">
        <f>coder1_YH!B74</f>
        <v>EX</v>
      </c>
      <c r="B74">
        <f>coder1_YH!C74</f>
        <v>74</v>
      </c>
      <c r="C74">
        <f>coder1_YH!D74</f>
        <v>0</v>
      </c>
      <c r="D74" t="str">
        <f>coder1_YH!E74</f>
        <v/>
      </c>
      <c r="E74" t="str">
        <f>coder1_YH!F74</f>
        <v/>
      </c>
      <c r="G74" t="str">
        <f>IF(coder1_YH!G74="",G73, coder1_YH!G74)</f>
        <v>Cuevas et al., 2012</v>
      </c>
      <c r="H74" s="405" t="str">
        <f>clean_mod!I74</f>
        <v>2012</v>
      </c>
      <c r="I74" t="str">
        <f>clean_mod!G74</f>
        <v>116</v>
      </c>
      <c r="J74">
        <f>clean_mod!H74</f>
        <v>116</v>
      </c>
      <c r="K74">
        <f>IF(coder1_YH!P74="",K73, coder1_YH!P74)</f>
        <v>2</v>
      </c>
      <c r="L74" s="324" t="str">
        <f>IF(clean_mod!AF74="",L73,clean_mod!AF74)</f>
        <v>116-EXEX</v>
      </c>
      <c r="M74" s="324" t="str">
        <f>IF(clean_mod!AG74="",M73,clean_mod!AG74)</f>
        <v>116-EX_R</v>
      </c>
      <c r="N74" s="372" t="str">
        <f t="shared" si="8"/>
        <v>116-ctl-30</v>
      </c>
      <c r="O74" s="372" t="str">
        <f t="shared" si="9"/>
        <v>116-2-30</v>
      </c>
      <c r="P74" s="369">
        <v>30</v>
      </c>
      <c r="Q74" s="369" t="str">
        <f>LEFT(coder1_YH!AK74,1)</f>
        <v>0</v>
      </c>
      <c r="R74" s="369" t="str">
        <f>LEFT(coder1_YH!AL74,1)</f>
        <v>0</v>
      </c>
      <c r="S74" s="369" t="str">
        <f>coder1_YH!AJ74</f>
        <v>(Table 6) The Jilting of Granny Weatherall</v>
      </c>
      <c r="T74" s="370" t="str">
        <f>coder1_YH!AN74</f>
        <v>NA</v>
      </c>
      <c r="U74" s="370" t="str">
        <f>coder1_YH!AO74</f>
        <v>NA</v>
      </c>
      <c r="V74" s="370" t="str">
        <f>coder1_YH!AP74</f>
        <v>NA</v>
      </c>
      <c r="W74" s="370">
        <f>coder1_YH!AQ74</f>
        <v>68.42</v>
      </c>
      <c r="X74" s="370">
        <f>coder1_YH!AR74</f>
        <v>14.63</v>
      </c>
      <c r="Y74" s="370">
        <f>coder1_YH!AS74</f>
        <v>19</v>
      </c>
      <c r="Z74" s="371" t="str">
        <f t="shared" si="10"/>
        <v>NA</v>
      </c>
      <c r="AA74" s="371" t="str">
        <f t="shared" si="11"/>
        <v>NA</v>
      </c>
      <c r="AB74" s="371" t="str">
        <f t="shared" si="12"/>
        <v>NA</v>
      </c>
      <c r="AC74" s="371">
        <f t="shared" si="13"/>
        <v>56.88</v>
      </c>
      <c r="AD74" s="371">
        <f t="shared" si="14"/>
        <v>20.170000000000002</v>
      </c>
      <c r="AE74" s="371">
        <f t="shared" si="15"/>
        <v>56</v>
      </c>
    </row>
    <row r="75" spans="1:31" x14ac:dyDescent="0.2">
      <c r="A75" t="str">
        <f>coder1_YH!B75</f>
        <v>EX</v>
      </c>
      <c r="B75">
        <f>coder1_YH!C75</f>
        <v>75</v>
      </c>
      <c r="C75">
        <f>coder1_YH!D75</f>
        <v>0</v>
      </c>
      <c r="D75" t="str">
        <f>coder1_YH!E75</f>
        <v/>
      </c>
      <c r="E75" t="b">
        <f>coder1_YH!F75</f>
        <v>1</v>
      </c>
      <c r="G75" t="str">
        <f>IF(coder1_YH!G75="",G74, coder1_YH!G75)</f>
        <v>Cuevas et al., 2012</v>
      </c>
      <c r="H75" s="405" t="str">
        <f>clean_mod!I75</f>
        <v>2012</v>
      </c>
      <c r="I75" t="str">
        <f>clean_mod!G75</f>
        <v>116</v>
      </c>
      <c r="J75">
        <f>clean_mod!H75</f>
        <v>116</v>
      </c>
      <c r="K75" t="str">
        <f>IF(coder1_YH!P75="",K74, coder1_YH!P75)</f>
        <v>ctl</v>
      </c>
      <c r="L75" s="324" t="str">
        <f>IF(clean_mod!AF75="",L74,clean_mod!AF75)</f>
        <v>116-EXEX</v>
      </c>
      <c r="M75" s="324" t="str">
        <f>IF(clean_mod!AG75="",M74,clean_mod!AG75)</f>
        <v>116-EX_R</v>
      </c>
      <c r="N75" s="372" t="str">
        <f t="shared" si="8"/>
        <v>116-ctl-26</v>
      </c>
      <c r="O75" s="372" t="str">
        <f t="shared" si="9"/>
        <v>116-ctl-26</v>
      </c>
      <c r="P75" s="369">
        <v>26</v>
      </c>
      <c r="Q75" s="369" t="str">
        <f>LEFT(coder1_YH!AK75,1)</f>
        <v>1</v>
      </c>
      <c r="R75" s="369" t="str">
        <f>LEFT(coder1_YH!AL75,1)</f>
        <v>0</v>
      </c>
      <c r="S75" s="369" t="str">
        <f>coder1_YH!AJ75</f>
        <v>(Table 4) Gates-MacGinitie Reading Test</v>
      </c>
      <c r="T75" s="370" t="str">
        <f>coder1_YH!AN75</f>
        <v>NA</v>
      </c>
      <c r="U75" s="370" t="str">
        <f>coder1_YH!AO75</f>
        <v>NA</v>
      </c>
      <c r="V75" s="370" t="str">
        <f>coder1_YH!AP75</f>
        <v>NA</v>
      </c>
      <c r="W75" s="370">
        <f>coder1_YH!AQ75</f>
        <v>549.12</v>
      </c>
      <c r="X75" s="370">
        <f>coder1_YH!AR75</f>
        <v>22.19</v>
      </c>
      <c r="Y75" s="370">
        <f>coder1_YH!AS75</f>
        <v>43</v>
      </c>
      <c r="Z75" s="371" t="str">
        <f t="shared" si="10"/>
        <v>NA</v>
      </c>
      <c r="AA75" s="371" t="str">
        <f t="shared" si="11"/>
        <v>NA</v>
      </c>
      <c r="AB75" s="371" t="str">
        <f t="shared" si="12"/>
        <v>NA</v>
      </c>
      <c r="AC75" s="371">
        <f t="shared" si="13"/>
        <v>549.12</v>
      </c>
      <c r="AD75" s="371">
        <f t="shared" si="14"/>
        <v>22.19</v>
      </c>
      <c r="AE75" s="371">
        <f t="shared" si="15"/>
        <v>43</v>
      </c>
    </row>
    <row r="76" spans="1:31" x14ac:dyDescent="0.2">
      <c r="A76" t="str">
        <f>coder1_YH!B76</f>
        <v>EX</v>
      </c>
      <c r="B76">
        <f>coder1_YH!C76</f>
        <v>76</v>
      </c>
      <c r="C76">
        <f>coder1_YH!D76</f>
        <v>0</v>
      </c>
      <c r="D76" t="str">
        <f>coder1_YH!E76</f>
        <v/>
      </c>
      <c r="E76" t="str">
        <f>coder1_YH!F76</f>
        <v/>
      </c>
      <c r="G76" t="str">
        <f>IF(coder1_YH!G76="",G75, coder1_YH!G76)</f>
        <v>Cuevas et al., 2012</v>
      </c>
      <c r="H76" s="405" t="str">
        <f>clean_mod!I76</f>
        <v>2012</v>
      </c>
      <c r="I76" t="str">
        <f>clean_mod!G76</f>
        <v>116</v>
      </c>
      <c r="J76">
        <f>clean_mod!H76</f>
        <v>116</v>
      </c>
      <c r="K76" t="str">
        <f>IF(coder1_YH!P76="",K75, coder1_YH!P76)</f>
        <v>ctl</v>
      </c>
      <c r="L76" s="324" t="str">
        <f>IF(clean_mod!AF76="",L75,clean_mod!AF76)</f>
        <v>116-EXEX</v>
      </c>
      <c r="M76" s="324" t="str">
        <f>IF(clean_mod!AG76="",M75,clean_mod!AG76)</f>
        <v>116-EX_R</v>
      </c>
      <c r="N76" s="372" t="str">
        <f t="shared" si="8"/>
        <v>116-ctl-27</v>
      </c>
      <c r="O76" s="372" t="str">
        <f t="shared" si="9"/>
        <v>116-ctl-27</v>
      </c>
      <c r="P76" s="369">
        <v>27</v>
      </c>
      <c r="Q76" s="369" t="str">
        <f>LEFT(coder1_YH!AK76,1)</f>
        <v>0</v>
      </c>
      <c r="R76" s="369" t="str">
        <f>LEFT(coder1_YH!AL76,1)</f>
        <v>0</v>
      </c>
      <c r="S76" s="369" t="str">
        <f>coder1_YH!AJ76</f>
        <v>(Table 6) Dr. Heidegger’s Experiment</v>
      </c>
      <c r="T76" s="370" t="str">
        <f>coder1_YH!AN76</f>
        <v>NA</v>
      </c>
      <c r="U76" s="370" t="str">
        <f>coder1_YH!AO76</f>
        <v>NA</v>
      </c>
      <c r="V76" s="370" t="str">
        <f>coder1_YH!AP76</f>
        <v>NA</v>
      </c>
      <c r="W76" s="370">
        <f>coder1_YH!AQ76</f>
        <v>64.64</v>
      </c>
      <c r="X76" s="370">
        <f>coder1_YH!AR76</f>
        <v>17.71</v>
      </c>
      <c r="Y76" s="370">
        <f>coder1_YH!AS76</f>
        <v>56</v>
      </c>
      <c r="Z76" s="371" t="str">
        <f t="shared" si="10"/>
        <v>NA</v>
      </c>
      <c r="AA76" s="371" t="str">
        <f t="shared" si="11"/>
        <v>NA</v>
      </c>
      <c r="AB76" s="371" t="str">
        <f t="shared" si="12"/>
        <v>NA</v>
      </c>
      <c r="AC76" s="371">
        <f t="shared" si="13"/>
        <v>64.64</v>
      </c>
      <c r="AD76" s="371">
        <f t="shared" si="14"/>
        <v>17.71</v>
      </c>
      <c r="AE76" s="371">
        <f t="shared" si="15"/>
        <v>56</v>
      </c>
    </row>
    <row r="77" spans="1:31" x14ac:dyDescent="0.2">
      <c r="A77" t="str">
        <f>coder1_YH!B77</f>
        <v>EX</v>
      </c>
      <c r="B77">
        <f>coder1_YH!C77</f>
        <v>77</v>
      </c>
      <c r="C77">
        <f>coder1_YH!D77</f>
        <v>0</v>
      </c>
      <c r="D77" t="str">
        <f>coder1_YH!E77</f>
        <v/>
      </c>
      <c r="E77" t="str">
        <f>coder1_YH!F77</f>
        <v/>
      </c>
      <c r="G77" t="str">
        <f>IF(coder1_YH!G77="",G76, coder1_YH!G77)</f>
        <v>Cuevas et al., 2012</v>
      </c>
      <c r="H77" s="405" t="str">
        <f>clean_mod!I77</f>
        <v>2012</v>
      </c>
      <c r="I77" t="str">
        <f>clean_mod!G77</f>
        <v>116</v>
      </c>
      <c r="J77">
        <f>clean_mod!H77</f>
        <v>116</v>
      </c>
      <c r="K77" t="str">
        <f>IF(coder1_YH!P77="",K76, coder1_YH!P77)</f>
        <v>ctl</v>
      </c>
      <c r="L77" s="324" t="str">
        <f>IF(clean_mod!AF77="",L76,clean_mod!AF77)</f>
        <v>116-EXEX</v>
      </c>
      <c r="M77" s="324" t="str">
        <f>IF(clean_mod!AG77="",M76,clean_mod!AG77)</f>
        <v>116-EX_R</v>
      </c>
      <c r="N77" s="372" t="str">
        <f t="shared" si="8"/>
        <v>116-ctl-28</v>
      </c>
      <c r="O77" s="372" t="str">
        <f t="shared" si="9"/>
        <v>116-ctl-28</v>
      </c>
      <c r="P77" s="369">
        <v>28</v>
      </c>
      <c r="Q77" s="369" t="str">
        <f>LEFT(coder1_YH!AK77,1)</f>
        <v>0</v>
      </c>
      <c r="R77" s="369" t="str">
        <f>LEFT(coder1_YH!AL77,1)</f>
        <v>0</v>
      </c>
      <c r="S77" s="369" t="str">
        <f>coder1_YH!AJ77</f>
        <v>(Table 6) Narrative of Frederick Douglass</v>
      </c>
      <c r="T77" s="370" t="str">
        <f>coder1_YH!AN77</f>
        <v>NA</v>
      </c>
      <c r="U77" s="370" t="str">
        <f>coder1_YH!AO77</f>
        <v>NA</v>
      </c>
      <c r="V77" s="370" t="str">
        <f>coder1_YH!AP77</f>
        <v>NA</v>
      </c>
      <c r="W77" s="370">
        <f>coder1_YH!AQ77</f>
        <v>78.13</v>
      </c>
      <c r="X77" s="370">
        <f>coder1_YH!AR77</f>
        <v>18.43</v>
      </c>
      <c r="Y77" s="370">
        <f>coder1_YH!AS77</f>
        <v>56</v>
      </c>
      <c r="Z77" s="371" t="str">
        <f t="shared" si="10"/>
        <v>NA</v>
      </c>
      <c r="AA77" s="371" t="str">
        <f t="shared" si="11"/>
        <v>NA</v>
      </c>
      <c r="AB77" s="371" t="str">
        <f t="shared" si="12"/>
        <v>NA</v>
      </c>
      <c r="AC77" s="371">
        <f t="shared" si="13"/>
        <v>78.13</v>
      </c>
      <c r="AD77" s="371">
        <f t="shared" si="14"/>
        <v>18.43</v>
      </c>
      <c r="AE77" s="371">
        <f t="shared" si="15"/>
        <v>56</v>
      </c>
    </row>
    <row r="78" spans="1:31" x14ac:dyDescent="0.2">
      <c r="A78" t="str">
        <f>coder1_YH!B78</f>
        <v>EX</v>
      </c>
      <c r="B78">
        <f>coder1_YH!C78</f>
        <v>78</v>
      </c>
      <c r="C78">
        <f>coder1_YH!D78</f>
        <v>0</v>
      </c>
      <c r="D78" t="str">
        <f>coder1_YH!E78</f>
        <v/>
      </c>
      <c r="E78" t="str">
        <f>coder1_YH!F78</f>
        <v/>
      </c>
      <c r="G78" t="str">
        <f>IF(coder1_YH!G78="",G77, coder1_YH!G78)</f>
        <v>Cuevas et al., 2012</v>
      </c>
      <c r="H78" s="405" t="str">
        <f>clean_mod!I78</f>
        <v>2012</v>
      </c>
      <c r="I78" t="str">
        <f>clean_mod!G78</f>
        <v>116</v>
      </c>
      <c r="J78">
        <f>clean_mod!H78</f>
        <v>116</v>
      </c>
      <c r="K78" t="str">
        <f>IF(coder1_YH!P78="",K77, coder1_YH!P78)</f>
        <v>ctl</v>
      </c>
      <c r="L78" s="324" t="str">
        <f>IF(clean_mod!AF78="",L77,clean_mod!AF78)</f>
        <v>116-EXEX</v>
      </c>
      <c r="M78" s="324" t="str">
        <f>IF(clean_mod!AG78="",M77,clean_mod!AG78)</f>
        <v>116-EX_R</v>
      </c>
      <c r="N78" s="372" t="str">
        <f t="shared" si="8"/>
        <v>116-ctl-29</v>
      </c>
      <c r="O78" s="372" t="str">
        <f t="shared" si="9"/>
        <v>116-ctl-29</v>
      </c>
      <c r="P78" s="369">
        <v>29</v>
      </c>
      <c r="Q78" s="369" t="str">
        <f>LEFT(coder1_YH!AK78,1)</f>
        <v>0</v>
      </c>
      <c r="R78" s="369" t="str">
        <f>LEFT(coder1_YH!AL78,1)</f>
        <v>0</v>
      </c>
      <c r="S78" s="369" t="str">
        <f>coder1_YH!AJ78</f>
        <v>(Table 6) A Rose for Emily</v>
      </c>
      <c r="T78" s="370" t="str">
        <f>coder1_YH!AN78</f>
        <v>NA</v>
      </c>
      <c r="U78" s="370" t="str">
        <f>coder1_YH!AO78</f>
        <v>NA</v>
      </c>
      <c r="V78" s="370" t="str">
        <f>coder1_YH!AP78</f>
        <v>NA</v>
      </c>
      <c r="W78" s="370">
        <f>coder1_YH!AQ78</f>
        <v>75.45</v>
      </c>
      <c r="X78" s="370">
        <f>coder1_YH!AR78</f>
        <v>21.69</v>
      </c>
      <c r="Y78" s="370">
        <f>coder1_YH!AS78</f>
        <v>56</v>
      </c>
      <c r="Z78" s="371" t="str">
        <f t="shared" si="10"/>
        <v>NA</v>
      </c>
      <c r="AA78" s="371" t="str">
        <f t="shared" si="11"/>
        <v>NA</v>
      </c>
      <c r="AB78" s="371" t="str">
        <f t="shared" si="12"/>
        <v>NA</v>
      </c>
      <c r="AC78" s="371">
        <f t="shared" si="13"/>
        <v>75.45</v>
      </c>
      <c r="AD78" s="371">
        <f t="shared" si="14"/>
        <v>21.69</v>
      </c>
      <c r="AE78" s="371">
        <f t="shared" si="15"/>
        <v>56</v>
      </c>
    </row>
    <row r="79" spans="1:31" x14ac:dyDescent="0.2">
      <c r="A79" t="str">
        <f>coder1_YH!B79</f>
        <v>EX</v>
      </c>
      <c r="B79">
        <f>coder1_YH!C79</f>
        <v>79</v>
      </c>
      <c r="C79">
        <f>coder1_YH!D79</f>
        <v>0</v>
      </c>
      <c r="D79" t="str">
        <f>coder1_YH!E79</f>
        <v/>
      </c>
      <c r="E79" t="str">
        <f>coder1_YH!F79</f>
        <v/>
      </c>
      <c r="G79" t="str">
        <f>IF(coder1_YH!G79="",G78, coder1_YH!G79)</f>
        <v>Cuevas et al., 2012</v>
      </c>
      <c r="H79" s="405" t="str">
        <f>clean_mod!I79</f>
        <v>2012</v>
      </c>
      <c r="I79" t="str">
        <f>clean_mod!G79</f>
        <v>116</v>
      </c>
      <c r="J79">
        <f>clean_mod!H79</f>
        <v>116</v>
      </c>
      <c r="K79" t="str">
        <f>IF(coder1_YH!P79="",K78, coder1_YH!P79)</f>
        <v>ctl</v>
      </c>
      <c r="L79" s="324" t="str">
        <f>IF(clean_mod!AF79="",L78,clean_mod!AF79)</f>
        <v>116-EXEX</v>
      </c>
      <c r="M79" s="324" t="str">
        <f>IF(clean_mod!AG79="",M78,clean_mod!AG79)</f>
        <v>116-EX_R</v>
      </c>
      <c r="N79" s="372" t="str">
        <f t="shared" si="8"/>
        <v>116-ctl-30</v>
      </c>
      <c r="O79" s="372" t="str">
        <f t="shared" si="9"/>
        <v>116-ctl-30</v>
      </c>
      <c r="P79" s="369">
        <v>30</v>
      </c>
      <c r="Q79" s="369" t="str">
        <f>LEFT(coder1_YH!AK79,1)</f>
        <v>0</v>
      </c>
      <c r="R79" s="369" t="str">
        <f>LEFT(coder1_YH!AL79,1)</f>
        <v>0</v>
      </c>
      <c r="S79" s="369" t="str">
        <f>coder1_YH!AJ79</f>
        <v>(Table 6) The Jilting of Granny Weatherall</v>
      </c>
      <c r="T79" s="370" t="str">
        <f>coder1_YH!AN79</f>
        <v>NA</v>
      </c>
      <c r="U79" s="370" t="str">
        <f>coder1_YH!AO79</f>
        <v>NA</v>
      </c>
      <c r="V79" s="370" t="str">
        <f>coder1_YH!AP79</f>
        <v>NA</v>
      </c>
      <c r="W79" s="370">
        <f>coder1_YH!AQ79</f>
        <v>56.88</v>
      </c>
      <c r="X79" s="370">
        <f>coder1_YH!AR79</f>
        <v>20.170000000000002</v>
      </c>
      <c r="Y79" s="370">
        <f>coder1_YH!AS79</f>
        <v>56</v>
      </c>
      <c r="Z79" s="371" t="str">
        <f t="shared" si="10"/>
        <v>NA</v>
      </c>
      <c r="AA79" s="371" t="str">
        <f t="shared" si="11"/>
        <v>NA</v>
      </c>
      <c r="AB79" s="371" t="str">
        <f t="shared" si="12"/>
        <v>NA</v>
      </c>
      <c r="AC79" s="371">
        <f t="shared" si="13"/>
        <v>56.88</v>
      </c>
      <c r="AD79" s="371">
        <f t="shared" si="14"/>
        <v>20.170000000000002</v>
      </c>
      <c r="AE79" s="371">
        <f t="shared" si="15"/>
        <v>56</v>
      </c>
    </row>
    <row r="80" spans="1:31" x14ac:dyDescent="0.2">
      <c r="A80">
        <f>coder1_YH!B80</f>
        <v>0</v>
      </c>
      <c r="B80">
        <f>coder1_YH!C80</f>
        <v>80</v>
      </c>
      <c r="C80" t="b">
        <f>coder1_YH!D80</f>
        <v>1</v>
      </c>
      <c r="D80" t="b">
        <f>coder1_YH!E80</f>
        <v>1</v>
      </c>
      <c r="E80" t="b">
        <f>coder1_YH!F80</f>
        <v>1</v>
      </c>
      <c r="G80" t="str">
        <f>IF(coder1_YH!G80="",G79, coder1_YH!G80)</f>
        <v>Guthrie et al. (S1), 2004</v>
      </c>
      <c r="H80" s="405" t="str">
        <f>clean_mod!I80</f>
        <v>2004</v>
      </c>
      <c r="I80" t="str">
        <f>clean_mod!G80</f>
        <v>117</v>
      </c>
      <c r="J80">
        <f>clean_mod!H80</f>
        <v>117</v>
      </c>
      <c r="K80">
        <f>IF(coder1_YH!P80="",K79, coder1_YH!P80)</f>
        <v>1</v>
      </c>
      <c r="L80" s="324" t="str">
        <f>IF(clean_mod!AF80="",L79,clean_mod!AF80)</f>
        <v xml:space="preserve">117-Nm </v>
      </c>
      <c r="M80" s="324" t="str">
        <f>IF(clean_mod!AG80="",M79,clean_mod!AG80)</f>
        <v>117-N_R</v>
      </c>
      <c r="N80" s="372" t="str">
        <f t="shared" si="8"/>
        <v>117-ctl-31</v>
      </c>
      <c r="O80" s="372" t="str">
        <f t="shared" si="9"/>
        <v>117-1-31</v>
      </c>
      <c r="P80" s="369">
        <v>31</v>
      </c>
      <c r="Q80" s="369" t="str">
        <f>LEFT(coder1_YH!AK80,1)</f>
        <v>0</v>
      </c>
      <c r="R80" s="369" t="str">
        <f>LEFT(coder1_YH!AL80,1)</f>
        <v>0</v>
      </c>
      <c r="S80" s="369" t="str">
        <f>coder1_YH!AJ80</f>
        <v>(T4) Multiple text comprehension</v>
      </c>
      <c r="T80" s="370">
        <f>coder1_YH!AN80</f>
        <v>3.13</v>
      </c>
      <c r="U80" s="370">
        <f>coder1_YH!AO80</f>
        <v>1.1000000000000001</v>
      </c>
      <c r="V80" s="370">
        <f>coder1_YH!AP80</f>
        <v>148</v>
      </c>
      <c r="W80" s="370">
        <f>coder1_YH!AQ80</f>
        <v>3.65</v>
      </c>
      <c r="X80" s="370">
        <f>coder1_YH!AR80</f>
        <v>1.04</v>
      </c>
      <c r="Y80" s="370">
        <f>coder1_YH!AS80</f>
        <v>148</v>
      </c>
      <c r="Z80" s="371">
        <f t="shared" si="10"/>
        <v>2.19</v>
      </c>
      <c r="AA80" s="371">
        <f t="shared" si="11"/>
        <v>0.78</v>
      </c>
      <c r="AB80" s="371">
        <f t="shared" si="12"/>
        <v>213</v>
      </c>
      <c r="AC80" s="371">
        <f t="shared" si="13"/>
        <v>2.87</v>
      </c>
      <c r="AD80" s="371">
        <f t="shared" si="14"/>
        <v>0.51</v>
      </c>
      <c r="AE80" s="371">
        <f t="shared" si="15"/>
        <v>213</v>
      </c>
    </row>
    <row r="81" spans="1:31" x14ac:dyDescent="0.2">
      <c r="A81">
        <f>coder1_YH!B81</f>
        <v>0</v>
      </c>
      <c r="B81">
        <f>coder1_YH!C81</f>
        <v>81</v>
      </c>
      <c r="C81">
        <f>coder1_YH!D81</f>
        <v>0</v>
      </c>
      <c r="D81" t="str">
        <f>coder1_YH!E81</f>
        <v/>
      </c>
      <c r="E81" t="str">
        <f>coder1_YH!F81</f>
        <v/>
      </c>
      <c r="G81" t="str">
        <f>IF(coder1_YH!G81="",G80, coder1_YH!G81)</f>
        <v>Guthrie et al. (S1), 2004</v>
      </c>
      <c r="H81" s="405" t="str">
        <f>clean_mod!I81</f>
        <v>2004</v>
      </c>
      <c r="I81" t="str">
        <f>clean_mod!G81</f>
        <v>117</v>
      </c>
      <c r="J81">
        <f>clean_mod!H81</f>
        <v>117</v>
      </c>
      <c r="K81">
        <f>IF(coder1_YH!P81="",K80, coder1_YH!P81)</f>
        <v>1</v>
      </c>
      <c r="L81" s="324" t="str">
        <f>IF(clean_mod!AF81="",L80,clean_mod!AF81)</f>
        <v xml:space="preserve">117-Nm </v>
      </c>
      <c r="M81" s="324" t="str">
        <f>IF(clean_mod!AG81="",M80,clean_mod!AG81)</f>
        <v>117-N_R</v>
      </c>
      <c r="N81" s="372" t="str">
        <f t="shared" si="8"/>
        <v>117-ctl-32</v>
      </c>
      <c r="O81" s="372" t="str">
        <f t="shared" si="9"/>
        <v>117-1-32</v>
      </c>
      <c r="P81" s="369">
        <v>32</v>
      </c>
      <c r="Q81" s="369" t="str">
        <f>LEFT(coder1_YH!AK81,1)</f>
        <v>0</v>
      </c>
      <c r="R81" s="369" t="str">
        <f>LEFT(coder1_YH!AL81,1)</f>
        <v>0</v>
      </c>
      <c r="S81" s="369" t="str">
        <f>coder1_YH!AJ81</f>
        <v>(T4) Passage comprehension</v>
      </c>
      <c r="T81" s="370">
        <f>coder1_YH!AN81</f>
        <v>0.31</v>
      </c>
      <c r="U81" s="370">
        <f>coder1_YH!AO81</f>
        <v>0.18</v>
      </c>
      <c r="V81" s="370">
        <f>coder1_YH!AP81</f>
        <v>148</v>
      </c>
      <c r="W81" s="370">
        <f>coder1_YH!AQ81</f>
        <v>0.56000000000000005</v>
      </c>
      <c r="X81" s="370">
        <f>coder1_YH!AR81</f>
        <v>0.14000000000000001</v>
      </c>
      <c r="Y81" s="370">
        <f>coder1_YH!AS81</f>
        <v>148</v>
      </c>
      <c r="Z81" s="371">
        <f t="shared" si="10"/>
        <v>0.15</v>
      </c>
      <c r="AA81" s="371">
        <f t="shared" si="11"/>
        <v>0.15</v>
      </c>
      <c r="AB81" s="371">
        <f t="shared" si="12"/>
        <v>213</v>
      </c>
      <c r="AC81" s="371">
        <f t="shared" si="13"/>
        <v>0.31</v>
      </c>
      <c r="AD81" s="371">
        <f t="shared" si="14"/>
        <v>0.16</v>
      </c>
      <c r="AE81" s="371">
        <f t="shared" si="15"/>
        <v>213</v>
      </c>
    </row>
    <row r="82" spans="1:31" x14ac:dyDescent="0.2">
      <c r="A82">
        <f>coder1_YH!B82</f>
        <v>0</v>
      </c>
      <c r="B82">
        <f>coder1_YH!C82</f>
        <v>82</v>
      </c>
      <c r="C82">
        <f>coder1_YH!D82</f>
        <v>0</v>
      </c>
      <c r="D82" t="str">
        <f>coder1_YH!E82</f>
        <v/>
      </c>
      <c r="E82" t="b">
        <f>coder1_YH!F82</f>
        <v>1</v>
      </c>
      <c r="G82" t="str">
        <f>IF(coder1_YH!G82="",G81, coder1_YH!G82)</f>
        <v>Guthrie et al. (S1), 2004</v>
      </c>
      <c r="H82" s="405" t="str">
        <f>clean_mod!I82</f>
        <v>2004</v>
      </c>
      <c r="I82" t="str">
        <f>clean_mod!G82</f>
        <v>117</v>
      </c>
      <c r="J82">
        <f>clean_mod!H82</f>
        <v>117</v>
      </c>
      <c r="K82" t="str">
        <f>IF(coder1_YH!P82="",K81, coder1_YH!P82)</f>
        <v>ctl</v>
      </c>
      <c r="L82" s="324" t="str">
        <f>IF(clean_mod!AF82="",L81,clean_mod!AF82)</f>
        <v xml:space="preserve">117-.m </v>
      </c>
      <c r="M82" s="324" t="str">
        <f>IF(clean_mod!AG82="",M81,clean_mod!AG82)</f>
        <v>117-R</v>
      </c>
      <c r="N82" s="372" t="str">
        <f t="shared" si="8"/>
        <v>117-ctl-31</v>
      </c>
      <c r="O82" s="372" t="str">
        <f t="shared" si="9"/>
        <v>117-ctl-31</v>
      </c>
      <c r="P82" s="369">
        <v>31</v>
      </c>
      <c r="Q82" s="369" t="str">
        <f>LEFT(coder1_YH!AK82,1)</f>
        <v>0</v>
      </c>
      <c r="R82" s="369" t="str">
        <f>LEFT(coder1_YH!AL82,1)</f>
        <v>0</v>
      </c>
      <c r="S82" s="369" t="str">
        <f>coder1_YH!AJ82</f>
        <v>(T4) Multiple text comprehension</v>
      </c>
      <c r="T82" s="370">
        <f>coder1_YH!AN82</f>
        <v>2.19</v>
      </c>
      <c r="U82" s="370">
        <f>coder1_YH!AO82</f>
        <v>0.78</v>
      </c>
      <c r="V82" s="370">
        <f>coder1_YH!AP82</f>
        <v>213</v>
      </c>
      <c r="W82" s="370">
        <f>coder1_YH!AQ82</f>
        <v>2.87</v>
      </c>
      <c r="X82" s="370">
        <f>coder1_YH!AR82</f>
        <v>0.51</v>
      </c>
      <c r="Y82" s="370">
        <f>coder1_YH!AS82</f>
        <v>213</v>
      </c>
      <c r="Z82" s="371">
        <f t="shared" si="10"/>
        <v>2.19</v>
      </c>
      <c r="AA82" s="371">
        <f t="shared" si="11"/>
        <v>0.78</v>
      </c>
      <c r="AB82" s="371">
        <f t="shared" si="12"/>
        <v>213</v>
      </c>
      <c r="AC82" s="371">
        <f t="shared" si="13"/>
        <v>2.87</v>
      </c>
      <c r="AD82" s="371">
        <f t="shared" si="14"/>
        <v>0.51</v>
      </c>
      <c r="AE82" s="371">
        <f t="shared" si="15"/>
        <v>213</v>
      </c>
    </row>
    <row r="83" spans="1:31" x14ac:dyDescent="0.2">
      <c r="A83">
        <f>coder1_YH!B83</f>
        <v>0</v>
      </c>
      <c r="B83">
        <f>coder1_YH!C83</f>
        <v>83</v>
      </c>
      <c r="C83">
        <f>coder1_YH!D83</f>
        <v>0</v>
      </c>
      <c r="D83" t="str">
        <f>coder1_YH!E83</f>
        <v/>
      </c>
      <c r="E83" t="str">
        <f>coder1_YH!F83</f>
        <v/>
      </c>
      <c r="G83" t="str">
        <f>IF(coder1_YH!G83="",G82, coder1_YH!G83)</f>
        <v>Guthrie et al. (S1), 2004</v>
      </c>
      <c r="H83" s="405" t="str">
        <f>clean_mod!I83</f>
        <v>2004</v>
      </c>
      <c r="I83" t="str">
        <f>clean_mod!G83</f>
        <v>117</v>
      </c>
      <c r="J83">
        <f>clean_mod!H83</f>
        <v>117</v>
      </c>
      <c r="K83" t="str">
        <f>IF(coder1_YH!P83="",K82, coder1_YH!P83)</f>
        <v>ctl</v>
      </c>
      <c r="L83" s="324" t="str">
        <f>IF(clean_mod!AF83="",L82,clean_mod!AF83)</f>
        <v xml:space="preserve">117-.m </v>
      </c>
      <c r="M83" s="324" t="str">
        <f>IF(clean_mod!AG83="",M82,clean_mod!AG83)</f>
        <v>117-R</v>
      </c>
      <c r="N83" s="372" t="str">
        <f t="shared" si="8"/>
        <v>117-ctl-32</v>
      </c>
      <c r="O83" s="372" t="str">
        <f t="shared" si="9"/>
        <v>117-ctl-32</v>
      </c>
      <c r="P83" s="369">
        <v>32</v>
      </c>
      <c r="Q83" s="369" t="str">
        <f>LEFT(coder1_YH!AK83,1)</f>
        <v>0</v>
      </c>
      <c r="R83" s="369" t="str">
        <f>LEFT(coder1_YH!AL83,1)</f>
        <v>0</v>
      </c>
      <c r="S83" s="369" t="str">
        <f>coder1_YH!AJ83</f>
        <v>(T4) Passage comprehension</v>
      </c>
      <c r="T83" s="370">
        <f>coder1_YH!AN83</f>
        <v>0.15</v>
      </c>
      <c r="U83" s="370">
        <f>coder1_YH!AO83</f>
        <v>0.15</v>
      </c>
      <c r="V83" s="370">
        <f>coder1_YH!AP83</f>
        <v>213</v>
      </c>
      <c r="W83" s="370">
        <f>coder1_YH!AQ83</f>
        <v>0.31</v>
      </c>
      <c r="X83" s="370">
        <f>coder1_YH!AR83</f>
        <v>0.16</v>
      </c>
      <c r="Y83" s="370">
        <f>coder1_YH!AS83</f>
        <v>213</v>
      </c>
      <c r="Z83" s="371">
        <f t="shared" si="10"/>
        <v>0.15</v>
      </c>
      <c r="AA83" s="371">
        <f t="shared" si="11"/>
        <v>0.15</v>
      </c>
      <c r="AB83" s="371">
        <f t="shared" si="12"/>
        <v>213</v>
      </c>
      <c r="AC83" s="371">
        <f t="shared" si="13"/>
        <v>0.31</v>
      </c>
      <c r="AD83" s="371">
        <f t="shared" si="14"/>
        <v>0.16</v>
      </c>
      <c r="AE83" s="371">
        <f t="shared" si="15"/>
        <v>213</v>
      </c>
    </row>
    <row r="84" spans="1:31" x14ac:dyDescent="0.2">
      <c r="A84">
        <f>coder1_YH!B84</f>
        <v>0</v>
      </c>
      <c r="B84">
        <f>coder1_YH!C84</f>
        <v>84</v>
      </c>
      <c r="C84" t="b">
        <f>coder1_YH!D84</f>
        <v>1</v>
      </c>
      <c r="D84" t="b">
        <f>coder1_YH!E84</f>
        <v>1</v>
      </c>
      <c r="E84" t="b">
        <f>coder1_YH!F84</f>
        <v>1</v>
      </c>
      <c r="G84" t="str">
        <f>IF(coder1_YH!G84="",G83, coder1_YH!G84)</f>
        <v>Guthrie et al. (S2), 2004</v>
      </c>
      <c r="H84" s="405" t="str">
        <f>clean_mod!I84</f>
        <v>2004</v>
      </c>
      <c r="I84" t="str">
        <f>clean_mod!G84</f>
        <v>118</v>
      </c>
      <c r="J84">
        <f>clean_mod!H84</f>
        <v>118</v>
      </c>
      <c r="K84">
        <f>IF(coder1_YH!P84="",K83, coder1_YH!P84)</f>
        <v>1</v>
      </c>
      <c r="L84" s="324" t="str">
        <f>IF(clean_mod!AF84="",L83,clean_mod!AF84)</f>
        <v xml:space="preserve">118-Nm </v>
      </c>
      <c r="M84" s="324" t="str">
        <f>IF(clean_mod!AG84="",M83,clean_mod!AG84)</f>
        <v>118-N_R</v>
      </c>
      <c r="N84" s="372" t="str">
        <f t="shared" si="8"/>
        <v>118-ctl-33</v>
      </c>
      <c r="O84" s="372" t="str">
        <f t="shared" si="9"/>
        <v>118-1-33</v>
      </c>
      <c r="P84" s="369">
        <v>33</v>
      </c>
      <c r="Q84" s="369" t="str">
        <f>LEFT(coder1_YH!AK84,1)</f>
        <v>0</v>
      </c>
      <c r="R84" s="369" t="str">
        <f>LEFT(coder1_YH!AL84,1)</f>
        <v>0</v>
      </c>
      <c r="S84" s="369" t="str">
        <f>coder1_YH!AJ84</f>
        <v>Passage comprehension (Pre/post)</v>
      </c>
      <c r="T84" s="370">
        <f>coder1_YH!AN84</f>
        <v>0.33</v>
      </c>
      <c r="U84" s="370">
        <f>coder1_YH!AO84</f>
        <v>0.11</v>
      </c>
      <c r="V84" s="370">
        <f>coder1_YH!AP84</f>
        <v>191</v>
      </c>
      <c r="W84" s="370">
        <f>coder1_YH!AQ84</f>
        <v>0.46</v>
      </c>
      <c r="X84" s="370">
        <f>coder1_YH!AR84</f>
        <v>9.8000000000000004E-2</v>
      </c>
      <c r="Y84" s="370">
        <f>coder1_YH!AS84</f>
        <v>191</v>
      </c>
      <c r="Z84" s="371">
        <f t="shared" si="10"/>
        <v>0.32</v>
      </c>
      <c r="AA84" s="371">
        <f t="shared" si="11"/>
        <v>4.9000000000000002E-2</v>
      </c>
      <c r="AB84" s="371">
        <f t="shared" si="12"/>
        <v>76</v>
      </c>
      <c r="AC84" s="371">
        <f t="shared" si="13"/>
        <v>0.35</v>
      </c>
      <c r="AD84" s="371">
        <f t="shared" si="14"/>
        <v>0.04</v>
      </c>
      <c r="AE84" s="371">
        <f t="shared" si="15"/>
        <v>76</v>
      </c>
    </row>
    <row r="85" spans="1:31" x14ac:dyDescent="0.2">
      <c r="A85">
        <f>coder1_YH!B85</f>
        <v>0</v>
      </c>
      <c r="B85">
        <f>coder1_YH!C85</f>
        <v>85</v>
      </c>
      <c r="C85">
        <f>coder1_YH!D85</f>
        <v>0</v>
      </c>
      <c r="D85" t="str">
        <f>coder1_YH!E85</f>
        <v/>
      </c>
      <c r="E85" t="str">
        <f>coder1_YH!F85</f>
        <v/>
      </c>
      <c r="G85" t="str">
        <f>IF(coder1_YH!G85="",G84, coder1_YH!G85)</f>
        <v>Guthrie et al. (S2), 2004</v>
      </c>
      <c r="H85" s="405" t="str">
        <f>clean_mod!I85</f>
        <v>2004</v>
      </c>
      <c r="I85" t="str">
        <f>clean_mod!G85</f>
        <v>118</v>
      </c>
      <c r="J85">
        <f>clean_mod!H85</f>
        <v>118</v>
      </c>
      <c r="K85">
        <f>IF(coder1_YH!P85="",K84, coder1_YH!P85)</f>
        <v>1</v>
      </c>
      <c r="L85" s="324" t="str">
        <f>IF(clean_mod!AF85="",L84,clean_mod!AF85)</f>
        <v xml:space="preserve">118-Nm </v>
      </c>
      <c r="M85" s="324" t="str">
        <f>IF(clean_mod!AG85="",M84,clean_mod!AG85)</f>
        <v>118-N_R</v>
      </c>
      <c r="N85" s="372" t="str">
        <f t="shared" si="8"/>
        <v>118-ctl-34</v>
      </c>
      <c r="O85" s="372" t="str">
        <f t="shared" si="9"/>
        <v>118-1-34</v>
      </c>
      <c r="P85" s="369">
        <v>34</v>
      </c>
      <c r="Q85" s="369" t="str">
        <f>LEFT(coder1_YH!AK85,1)</f>
        <v>1</v>
      </c>
      <c r="R85" s="369" t="str">
        <f>LEFT(coder1_YH!AL85,1)</f>
        <v>0</v>
      </c>
      <c r="S85" s="369" t="str">
        <f>coder1_YH!AJ85</f>
        <v>Gates-MacGinitie Reading Comprehension Test</v>
      </c>
      <c r="T85" s="370" t="str">
        <f>coder1_YH!AN85</f>
        <v>NA</v>
      </c>
      <c r="U85" s="370" t="str">
        <f>coder1_YH!AO85</f>
        <v>NA</v>
      </c>
      <c r="V85" s="370" t="str">
        <f>coder1_YH!AP85</f>
        <v>NA</v>
      </c>
      <c r="W85" s="370">
        <f>coder1_YH!AQ85</f>
        <v>498.6</v>
      </c>
      <c r="X85" s="370">
        <f>coder1_YH!AR85</f>
        <v>22.57</v>
      </c>
      <c r="Y85" s="370">
        <f>coder1_YH!AS85</f>
        <v>191</v>
      </c>
      <c r="Z85" s="371" t="str">
        <f t="shared" si="10"/>
        <v>NA</v>
      </c>
      <c r="AA85" s="371" t="str">
        <f t="shared" si="11"/>
        <v>NA</v>
      </c>
      <c r="AB85" s="371" t="str">
        <f t="shared" si="12"/>
        <v>NA</v>
      </c>
      <c r="AC85" s="371">
        <f t="shared" si="13"/>
        <v>483.33</v>
      </c>
      <c r="AD85" s="371">
        <f t="shared" si="14"/>
        <v>11.93</v>
      </c>
      <c r="AE85" s="371">
        <f t="shared" si="15"/>
        <v>76</v>
      </c>
    </row>
    <row r="86" spans="1:31" x14ac:dyDescent="0.2">
      <c r="A86">
        <f>coder1_YH!B86</f>
        <v>0</v>
      </c>
      <c r="B86">
        <f>coder1_YH!C86</f>
        <v>86</v>
      </c>
      <c r="C86">
        <f>coder1_YH!D86</f>
        <v>0</v>
      </c>
      <c r="D86" t="str">
        <f>coder1_YH!E86</f>
        <v/>
      </c>
      <c r="E86" t="b">
        <f>coder1_YH!F86</f>
        <v>1</v>
      </c>
      <c r="G86" t="str">
        <f>IF(coder1_YH!G86="",G85, coder1_YH!G86)</f>
        <v>Guthrie et al. (S2), 2004</v>
      </c>
      <c r="H86" s="405" t="str">
        <f>clean_mod!I86</f>
        <v>2004</v>
      </c>
      <c r="I86" t="str">
        <f>clean_mod!G86</f>
        <v>118</v>
      </c>
      <c r="J86">
        <f>clean_mod!H86</f>
        <v>118</v>
      </c>
      <c r="K86">
        <f>IF(coder1_YH!P86="",K85, coder1_YH!P86)</f>
        <v>2</v>
      </c>
      <c r="L86" s="324" t="str">
        <f>IF(clean_mod!AF86="",L85,clean_mod!AF86)</f>
        <v xml:space="preserve">118-Nm </v>
      </c>
      <c r="M86" s="324" t="str">
        <f>IF(clean_mod!AG86="",M85,clean_mod!AG86)</f>
        <v>118-N_R</v>
      </c>
      <c r="N86" s="372" t="str">
        <f t="shared" si="8"/>
        <v>118-ctl-33</v>
      </c>
      <c r="O86" s="372" t="str">
        <f t="shared" si="9"/>
        <v>118-2-33</v>
      </c>
      <c r="P86" s="369">
        <v>33</v>
      </c>
      <c r="Q86" s="369" t="str">
        <f>LEFT(coder1_YH!AK86,1)</f>
        <v>0</v>
      </c>
      <c r="R86" s="369" t="str">
        <f>LEFT(coder1_YH!AL86,1)</f>
        <v>0</v>
      </c>
      <c r="S86" s="369" t="str">
        <f>coder1_YH!AJ86</f>
        <v>Passage comprehension (Pre/post)</v>
      </c>
      <c r="T86" s="370">
        <f>coder1_YH!AN86</f>
        <v>0.32</v>
      </c>
      <c r="U86" s="370">
        <f>coder1_YH!AO86</f>
        <v>7.3999999999999996E-2</v>
      </c>
      <c r="V86" s="370">
        <f>coder1_YH!AP86</f>
        <v>257</v>
      </c>
      <c r="W86" s="370">
        <f>coder1_YH!AQ86</f>
        <v>0.38</v>
      </c>
      <c r="X86" s="370">
        <f>coder1_YH!AR86</f>
        <v>5.3999999999999999E-2</v>
      </c>
      <c r="Y86" s="370">
        <f>coder1_YH!AS86</f>
        <v>257</v>
      </c>
      <c r="Z86" s="371">
        <f t="shared" si="10"/>
        <v>0.32</v>
      </c>
      <c r="AA86" s="371">
        <f t="shared" si="11"/>
        <v>4.9000000000000002E-2</v>
      </c>
      <c r="AB86" s="371">
        <f t="shared" si="12"/>
        <v>76</v>
      </c>
      <c r="AC86" s="371">
        <f t="shared" si="13"/>
        <v>0.35</v>
      </c>
      <c r="AD86" s="371">
        <f t="shared" si="14"/>
        <v>0.04</v>
      </c>
      <c r="AE86" s="371">
        <f t="shared" si="15"/>
        <v>76</v>
      </c>
    </row>
    <row r="87" spans="1:31" x14ac:dyDescent="0.2">
      <c r="A87">
        <f>coder1_YH!B87</f>
        <v>0</v>
      </c>
      <c r="B87">
        <f>coder1_YH!C87</f>
        <v>87</v>
      </c>
      <c r="C87">
        <f>coder1_YH!D87</f>
        <v>0</v>
      </c>
      <c r="D87" t="str">
        <f>coder1_YH!E87</f>
        <v/>
      </c>
      <c r="E87" t="str">
        <f>coder1_YH!F87</f>
        <v/>
      </c>
      <c r="G87" t="str">
        <f>IF(coder1_YH!G87="",G86, coder1_YH!G87)</f>
        <v>Guthrie et al. (S2), 2004</v>
      </c>
      <c r="H87" s="405" t="str">
        <f>clean_mod!I87</f>
        <v>2004</v>
      </c>
      <c r="I87" t="str">
        <f>clean_mod!G87</f>
        <v>118</v>
      </c>
      <c r="J87">
        <f>clean_mod!H87</f>
        <v>118</v>
      </c>
      <c r="K87">
        <f>IF(coder1_YH!P87="",K86, coder1_YH!P87)</f>
        <v>2</v>
      </c>
      <c r="L87" s="324" t="str">
        <f>IF(clean_mod!AF87="",L86,clean_mod!AF87)</f>
        <v xml:space="preserve">118-Nm </v>
      </c>
      <c r="M87" s="324" t="str">
        <f>IF(clean_mod!AG87="",M86,clean_mod!AG87)</f>
        <v>118-N_R</v>
      </c>
      <c r="N87" s="372" t="str">
        <f t="shared" si="8"/>
        <v>118-ctl-34</v>
      </c>
      <c r="O87" s="372" t="str">
        <f t="shared" si="9"/>
        <v>118-2-34</v>
      </c>
      <c r="P87" s="369">
        <v>34</v>
      </c>
      <c r="Q87" s="369" t="str">
        <f>LEFT(coder1_YH!AK87,1)</f>
        <v>1</v>
      </c>
      <c r="R87" s="369" t="str">
        <f>LEFT(coder1_YH!AL87,1)</f>
        <v>0</v>
      </c>
      <c r="S87" s="369" t="str">
        <f>coder1_YH!AJ87</f>
        <v>Gates-MacGinitie Reading Comprehension Test</v>
      </c>
      <c r="T87" s="370" t="str">
        <f>coder1_YH!AN87</f>
        <v>NA</v>
      </c>
      <c r="U87" s="370" t="str">
        <f>coder1_YH!AO87</f>
        <v>NA</v>
      </c>
      <c r="V87" s="370" t="str">
        <f>coder1_YH!AP87</f>
        <v>NA</v>
      </c>
      <c r="W87" s="370">
        <f>coder1_YH!AQ87</f>
        <v>468.57</v>
      </c>
      <c r="X87" s="370">
        <f>coder1_YH!AR87</f>
        <v>15.85</v>
      </c>
      <c r="Y87" s="370">
        <f>coder1_YH!AS87</f>
        <v>257</v>
      </c>
      <c r="Z87" s="371" t="str">
        <f t="shared" si="10"/>
        <v>NA</v>
      </c>
      <c r="AA87" s="371" t="str">
        <f t="shared" si="11"/>
        <v>NA</v>
      </c>
      <c r="AB87" s="371" t="str">
        <f t="shared" si="12"/>
        <v>NA</v>
      </c>
      <c r="AC87" s="371">
        <f t="shared" si="13"/>
        <v>483.33</v>
      </c>
      <c r="AD87" s="371">
        <f t="shared" si="14"/>
        <v>11.93</v>
      </c>
      <c r="AE87" s="371">
        <f t="shared" si="15"/>
        <v>76</v>
      </c>
    </row>
    <row r="88" spans="1:31" x14ac:dyDescent="0.2">
      <c r="A88">
        <f>coder1_YH!B88</f>
        <v>0</v>
      </c>
      <c r="B88">
        <f>coder1_YH!C88</f>
        <v>88</v>
      </c>
      <c r="C88">
        <f>coder1_YH!D88</f>
        <v>0</v>
      </c>
      <c r="D88" t="str">
        <f>coder1_YH!E88</f>
        <v/>
      </c>
      <c r="E88" t="b">
        <f>coder1_YH!F88</f>
        <v>1</v>
      </c>
      <c r="G88" t="str">
        <f>IF(coder1_YH!G88="",G87, coder1_YH!G88)</f>
        <v>Guthrie et al. (S2), 2004</v>
      </c>
      <c r="H88" s="405" t="str">
        <f>clean_mod!I88</f>
        <v>2004</v>
      </c>
      <c r="I88" t="str">
        <f>clean_mod!G88</f>
        <v>118</v>
      </c>
      <c r="J88">
        <f>clean_mod!H88</f>
        <v>118</v>
      </c>
      <c r="K88" t="str">
        <f>IF(coder1_YH!P88="",K87, coder1_YH!P88)</f>
        <v>ctl</v>
      </c>
      <c r="L88" s="324" t="str">
        <f>IF(clean_mod!AF88="",L87,clean_mod!AF88)</f>
        <v>118-N.</v>
      </c>
      <c r="M88" s="324" t="str">
        <f>IF(clean_mod!AG88="",M87,clean_mod!AG88)</f>
        <v>118-N_BAU</v>
      </c>
      <c r="N88" s="372" t="str">
        <f t="shared" si="8"/>
        <v>118-ctl-33</v>
      </c>
      <c r="O88" s="372" t="str">
        <f t="shared" si="9"/>
        <v>118-ctl-33</v>
      </c>
      <c r="P88" s="369">
        <v>33</v>
      </c>
      <c r="Q88" s="369" t="str">
        <f>LEFT(coder1_YH!AK88,1)</f>
        <v>0</v>
      </c>
      <c r="R88" s="369" t="str">
        <f>LEFT(coder1_YH!AL88,1)</f>
        <v>0</v>
      </c>
      <c r="S88" s="369" t="str">
        <f>coder1_YH!AJ88</f>
        <v>Passage comprehension (Pre/post)</v>
      </c>
      <c r="T88" s="370">
        <f>coder1_YH!AN88</f>
        <v>0.32</v>
      </c>
      <c r="U88" s="370">
        <f>coder1_YH!AO88</f>
        <v>4.9000000000000002E-2</v>
      </c>
      <c r="V88" s="370">
        <f>coder1_YH!AP88</f>
        <v>76</v>
      </c>
      <c r="W88" s="370">
        <f>coder1_YH!AQ88</f>
        <v>0.35</v>
      </c>
      <c r="X88" s="370">
        <f>coder1_YH!AR88</f>
        <v>0.04</v>
      </c>
      <c r="Y88" s="370">
        <f>coder1_YH!AS88</f>
        <v>76</v>
      </c>
      <c r="Z88" s="371">
        <f t="shared" si="10"/>
        <v>0.32</v>
      </c>
      <c r="AA88" s="371">
        <f t="shared" si="11"/>
        <v>4.9000000000000002E-2</v>
      </c>
      <c r="AB88" s="371">
        <f t="shared" si="12"/>
        <v>76</v>
      </c>
      <c r="AC88" s="371">
        <f t="shared" si="13"/>
        <v>0.35</v>
      </c>
      <c r="AD88" s="371">
        <f t="shared" si="14"/>
        <v>0.04</v>
      </c>
      <c r="AE88" s="371">
        <f t="shared" si="15"/>
        <v>76</v>
      </c>
    </row>
    <row r="89" spans="1:31" x14ac:dyDescent="0.2">
      <c r="A89">
        <f>coder1_YH!B89</f>
        <v>0</v>
      </c>
      <c r="B89">
        <f>coder1_YH!C89</f>
        <v>89</v>
      </c>
      <c r="C89">
        <f>coder1_YH!D89</f>
        <v>0</v>
      </c>
      <c r="D89" t="str">
        <f>coder1_YH!E89</f>
        <v/>
      </c>
      <c r="E89" t="str">
        <f>coder1_YH!F89</f>
        <v/>
      </c>
      <c r="G89" t="str">
        <f>IF(coder1_YH!G89="",G88, coder1_YH!G89)</f>
        <v>Guthrie et al. (S2), 2004</v>
      </c>
      <c r="H89" s="405" t="str">
        <f>clean_mod!I89</f>
        <v>2004</v>
      </c>
      <c r="I89" t="str">
        <f>clean_mod!G89</f>
        <v>118</v>
      </c>
      <c r="J89">
        <f>clean_mod!H89</f>
        <v>118</v>
      </c>
      <c r="K89" t="str">
        <f>IF(coder1_YH!P89="",K88, coder1_YH!P89)</f>
        <v>ctl</v>
      </c>
      <c r="L89" s="324" t="str">
        <f>IF(clean_mod!AF89="",L88,clean_mod!AF89)</f>
        <v>118-N.</v>
      </c>
      <c r="M89" s="324" t="str">
        <f>IF(clean_mod!AG89="",M88,clean_mod!AG89)</f>
        <v>118-N_BAU</v>
      </c>
      <c r="N89" s="372" t="str">
        <f t="shared" si="8"/>
        <v>118-ctl-34</v>
      </c>
      <c r="O89" s="372" t="str">
        <f t="shared" si="9"/>
        <v>118-ctl-34</v>
      </c>
      <c r="P89" s="369">
        <v>34</v>
      </c>
      <c r="Q89" s="369" t="str">
        <f>LEFT(coder1_YH!AK89,1)</f>
        <v>1</v>
      </c>
      <c r="R89" s="369" t="str">
        <f>LEFT(coder1_YH!AL89,1)</f>
        <v>0</v>
      </c>
      <c r="S89" s="369" t="str">
        <f>coder1_YH!AJ89</f>
        <v>Gates-MacGinitie Reading Comprehension Test</v>
      </c>
      <c r="T89" s="370" t="str">
        <f>coder1_YH!AN89</f>
        <v>NA</v>
      </c>
      <c r="U89" s="370" t="str">
        <f>coder1_YH!AO89</f>
        <v>NA</v>
      </c>
      <c r="V89" s="370" t="str">
        <f>coder1_YH!AP89</f>
        <v>NA</v>
      </c>
      <c r="W89" s="370">
        <f>coder1_YH!AQ89</f>
        <v>483.33</v>
      </c>
      <c r="X89" s="370">
        <f>coder1_YH!AR89</f>
        <v>11.93</v>
      </c>
      <c r="Y89" s="370">
        <f>coder1_YH!AS89</f>
        <v>76</v>
      </c>
      <c r="Z89" s="371" t="str">
        <f t="shared" si="10"/>
        <v>NA</v>
      </c>
      <c r="AA89" s="371" t="str">
        <f t="shared" si="11"/>
        <v>NA</v>
      </c>
      <c r="AB89" s="371" t="str">
        <f t="shared" si="12"/>
        <v>NA</v>
      </c>
      <c r="AC89" s="371">
        <f t="shared" si="13"/>
        <v>483.33</v>
      </c>
      <c r="AD89" s="371">
        <f t="shared" si="14"/>
        <v>11.93</v>
      </c>
      <c r="AE89" s="371">
        <f t="shared" si="15"/>
        <v>76</v>
      </c>
    </row>
    <row r="90" spans="1:31" x14ac:dyDescent="0.2">
      <c r="A90">
        <f>coder1_YH!B90</f>
        <v>0</v>
      </c>
      <c r="B90">
        <f>coder1_YH!C90</f>
        <v>90</v>
      </c>
      <c r="C90" t="b">
        <f>coder1_YH!D90</f>
        <v>1</v>
      </c>
      <c r="D90" t="b">
        <f>coder1_YH!E90</f>
        <v>1</v>
      </c>
      <c r="E90" t="b">
        <f>coder1_YH!F90</f>
        <v>1</v>
      </c>
      <c r="G90" t="str">
        <f>IF(coder1_YH!G90="",G89, coder1_YH!G90)</f>
        <v>Hautala et al., 2023</v>
      </c>
      <c r="H90" s="405" t="str">
        <f>clean_mod!I90</f>
        <v>2023</v>
      </c>
      <c r="I90" t="str">
        <f>clean_mod!G90</f>
        <v>119</v>
      </c>
      <c r="J90">
        <f>clean_mod!H90</f>
        <v>119</v>
      </c>
      <c r="K90">
        <f>IF(coder1_YH!P90="",K89, coder1_YH!P90)</f>
        <v>1</v>
      </c>
      <c r="L90" s="324" t="str">
        <f>IF(clean_mod!AF90="",L89,clean_mod!AF90)</f>
        <v>119-NGcm</v>
      </c>
      <c r="M90" s="324" t="str">
        <f>IF(clean_mod!AG90="",M89,clean_mod!AG90)</f>
        <v>119-NG_R</v>
      </c>
      <c r="N90" s="372" t="str">
        <f t="shared" si="8"/>
        <v>119-ctl-35</v>
      </c>
      <c r="O90" s="372" t="str">
        <f t="shared" si="9"/>
        <v>119-1-35</v>
      </c>
      <c r="P90" s="369">
        <v>35</v>
      </c>
      <c r="Q90" s="369" t="str">
        <f>LEFT(coder1_YH!AK90,1)</f>
        <v>0</v>
      </c>
      <c r="R90" s="369" t="str">
        <f>LEFT(coder1_YH!AL90,1)</f>
        <v>0</v>
      </c>
      <c r="S90" s="369" t="str">
        <f>coder1_YH!AJ90</f>
        <v>Computerized Reading Comprehension</v>
      </c>
      <c r="T90" s="370">
        <f>coder1_YH!AN90</f>
        <v>0.53</v>
      </c>
      <c r="U90" s="370">
        <f>coder1_YH!AO90</f>
        <v>0.1414213562373095</v>
      </c>
      <c r="V90" s="370">
        <f>coder1_YH!AP90</f>
        <v>50</v>
      </c>
      <c r="W90" s="370">
        <f>coder1_YH!AQ90</f>
        <v>0.56000000000000005</v>
      </c>
      <c r="X90" s="370">
        <f>coder1_YH!AR90</f>
        <v>0.13114877048604001</v>
      </c>
      <c r="Y90" s="370">
        <f>coder1_YH!AS90</f>
        <v>43</v>
      </c>
      <c r="Z90" s="371">
        <f t="shared" si="10"/>
        <v>0.47</v>
      </c>
      <c r="AA90" s="371">
        <f t="shared" si="11"/>
        <v>0.15099668870541499</v>
      </c>
      <c r="AB90" s="371">
        <f t="shared" si="12"/>
        <v>57</v>
      </c>
      <c r="AC90" s="371">
        <f t="shared" si="13"/>
        <v>0.53</v>
      </c>
      <c r="AD90" s="371">
        <f t="shared" si="14"/>
        <v>0.13856406460551018</v>
      </c>
      <c r="AE90" s="371">
        <f t="shared" si="15"/>
        <v>48</v>
      </c>
    </row>
    <row r="91" spans="1:31" x14ac:dyDescent="0.2">
      <c r="A91">
        <f>coder1_YH!B91</f>
        <v>0</v>
      </c>
      <c r="B91">
        <f>coder1_YH!C91</f>
        <v>91</v>
      </c>
      <c r="C91">
        <f>coder1_YH!D91</f>
        <v>0</v>
      </c>
      <c r="D91" t="str">
        <f>coder1_YH!E91</f>
        <v/>
      </c>
      <c r="E91" t="b">
        <f>coder1_YH!F91</f>
        <v>1</v>
      </c>
      <c r="G91" t="str">
        <f>IF(coder1_YH!G91="",G90, coder1_YH!G91)</f>
        <v>Hautala et al., 2023</v>
      </c>
      <c r="H91" s="405" t="str">
        <f>clean_mod!I91</f>
        <v>2023</v>
      </c>
      <c r="I91" t="str">
        <f>clean_mod!G91</f>
        <v>119</v>
      </c>
      <c r="J91">
        <f>clean_mod!H91</f>
        <v>119</v>
      </c>
      <c r="K91">
        <f>IF(coder1_YH!P91="",K90, coder1_YH!P91)</f>
        <v>2</v>
      </c>
      <c r="L91" s="324" t="str">
        <f>IF(clean_mod!AF91="",L90,clean_mod!AF91)</f>
        <v>119-Ncm</v>
      </c>
      <c r="M91" s="324" t="str">
        <f>IF(clean_mod!AG91="",M90,clean_mod!AG91)</f>
        <v>119-N_R</v>
      </c>
      <c r="N91" s="372" t="str">
        <f t="shared" si="8"/>
        <v>119-ctl-35</v>
      </c>
      <c r="O91" s="372" t="str">
        <f t="shared" si="9"/>
        <v>119-2-35</v>
      </c>
      <c r="P91" s="369">
        <v>35</v>
      </c>
      <c r="Q91" s="369" t="str">
        <f>LEFT(coder1_YH!AK91,1)</f>
        <v>0</v>
      </c>
      <c r="R91" s="369" t="str">
        <f>LEFT(coder1_YH!AL91,1)</f>
        <v>0</v>
      </c>
      <c r="S91" s="369" t="str">
        <f>coder1_YH!AJ91</f>
        <v>Computerized Reading Comprehension</v>
      </c>
      <c r="T91" s="370">
        <f>coder1_YH!AN91</f>
        <v>0.51</v>
      </c>
      <c r="U91" s="370">
        <f>coder1_YH!AO91</f>
        <v>0.13856406460551018</v>
      </c>
      <c r="V91" s="370">
        <f>coder1_YH!AP91</f>
        <v>48</v>
      </c>
      <c r="W91" s="370">
        <f>coder1_YH!AQ91</f>
        <v>0.56999999999999995</v>
      </c>
      <c r="X91" s="370">
        <f>coder1_YH!AR91</f>
        <v>0.12328828005937953</v>
      </c>
      <c r="Y91" s="370">
        <f>coder1_YH!AS91</f>
        <v>38</v>
      </c>
      <c r="Z91" s="371">
        <f t="shared" si="10"/>
        <v>0.47</v>
      </c>
      <c r="AA91" s="371">
        <f t="shared" si="11"/>
        <v>0.15099668870541499</v>
      </c>
      <c r="AB91" s="371">
        <f t="shared" si="12"/>
        <v>57</v>
      </c>
      <c r="AC91" s="371">
        <f t="shared" si="13"/>
        <v>0.53</v>
      </c>
      <c r="AD91" s="371">
        <f t="shared" si="14"/>
        <v>0.13856406460551018</v>
      </c>
      <c r="AE91" s="371">
        <f t="shared" si="15"/>
        <v>48</v>
      </c>
    </row>
    <row r="92" spans="1:31" x14ac:dyDescent="0.2">
      <c r="A92">
        <f>coder1_YH!B92</f>
        <v>0</v>
      </c>
      <c r="B92">
        <f>coder1_YH!C92</f>
        <v>92</v>
      </c>
      <c r="C92">
        <f>coder1_YH!D92</f>
        <v>0</v>
      </c>
      <c r="D92" t="str">
        <f>coder1_YH!E92</f>
        <v/>
      </c>
      <c r="E92" t="b">
        <f>coder1_YH!F92</f>
        <v>1</v>
      </c>
      <c r="G92" t="str">
        <f>IF(coder1_YH!G92="",G91, coder1_YH!G92)</f>
        <v>Hautala et al., 2023</v>
      </c>
      <c r="H92" s="405" t="str">
        <f>clean_mod!I92</f>
        <v>2023</v>
      </c>
      <c r="I92" t="str">
        <f>clean_mod!G92</f>
        <v>119</v>
      </c>
      <c r="J92">
        <f>clean_mod!H92</f>
        <v>119</v>
      </c>
      <c r="K92" t="str">
        <f>IF(coder1_YH!P92="",K91, coder1_YH!P92)</f>
        <v>ctl</v>
      </c>
      <c r="L92" s="324" t="str">
        <f>IF(clean_mod!AF92="",L91,clean_mod!AF92)</f>
        <v>119-..</v>
      </c>
      <c r="M92" s="324" t="str">
        <f>IF(clean_mod!AG92="",M91,clean_mod!AG92)</f>
        <v>119-BAU</v>
      </c>
      <c r="N92" s="372" t="str">
        <f t="shared" si="8"/>
        <v>119-ctl-35</v>
      </c>
      <c r="O92" s="372" t="str">
        <f t="shared" si="9"/>
        <v>119-ctl-35</v>
      </c>
      <c r="P92" s="369">
        <v>35</v>
      </c>
      <c r="Q92" s="369" t="str">
        <f>LEFT(coder1_YH!AK92,1)</f>
        <v>0</v>
      </c>
      <c r="R92" s="369" t="str">
        <f>LEFT(coder1_YH!AL92,1)</f>
        <v>0</v>
      </c>
      <c r="S92" s="369" t="str">
        <f>coder1_YH!AJ92</f>
        <v>Computerized Reading Comprehension</v>
      </c>
      <c r="T92" s="370">
        <f>coder1_YH!AN92</f>
        <v>0.47</v>
      </c>
      <c r="U92" s="370">
        <f>coder1_YH!AO92</f>
        <v>0.15099668870541499</v>
      </c>
      <c r="V92" s="370">
        <f>coder1_YH!AP92</f>
        <v>57</v>
      </c>
      <c r="W92" s="370">
        <f>coder1_YH!AQ92</f>
        <v>0.53</v>
      </c>
      <c r="X92" s="370">
        <f>coder1_YH!AR92</f>
        <v>0.13856406460551018</v>
      </c>
      <c r="Y92" s="370">
        <f>coder1_YH!AS92</f>
        <v>48</v>
      </c>
      <c r="Z92" s="371">
        <f t="shared" si="10"/>
        <v>0.47</v>
      </c>
      <c r="AA92" s="371">
        <f t="shared" si="11"/>
        <v>0.15099668870541499</v>
      </c>
      <c r="AB92" s="371">
        <f t="shared" si="12"/>
        <v>57</v>
      </c>
      <c r="AC92" s="371">
        <f t="shared" si="13"/>
        <v>0.53</v>
      </c>
      <c r="AD92" s="371">
        <f t="shared" si="14"/>
        <v>0.13856406460551018</v>
      </c>
      <c r="AE92" s="371">
        <f t="shared" si="15"/>
        <v>48</v>
      </c>
    </row>
    <row r="93" spans="1:31" x14ac:dyDescent="0.2">
      <c r="A93">
        <f>coder1_YH!B93</f>
        <v>0</v>
      </c>
      <c r="B93">
        <f>coder1_YH!C93</f>
        <v>93</v>
      </c>
      <c r="C93" t="b">
        <f>coder1_YH!D93</f>
        <v>1</v>
      </c>
      <c r="D93" t="b">
        <f>coder1_YH!E93</f>
        <v>1</v>
      </c>
      <c r="E93" t="b">
        <f>coder1_YH!F93</f>
        <v>1</v>
      </c>
      <c r="G93" t="str">
        <f>IF(coder1_YH!G93="",G92, coder1_YH!G93)</f>
        <v>Kim et al., 2021</v>
      </c>
      <c r="H93" s="405" t="str">
        <f>clean_mod!I93</f>
        <v>2021</v>
      </c>
      <c r="I93" t="str">
        <f>clean_mod!G93</f>
        <v>120</v>
      </c>
      <c r="J93">
        <f>clean_mod!H93</f>
        <v>120</v>
      </c>
      <c r="K93">
        <f>IF(coder1_YH!P93="",K92, coder1_YH!P93)</f>
        <v>1</v>
      </c>
      <c r="L93" s="324" t="str">
        <f>IF(clean_mod!AF93="",L92,clean_mod!AF93)</f>
        <v xml:space="preserve">120-NGm </v>
      </c>
      <c r="M93" s="324" t="str">
        <f>IF(clean_mod!AG93="",M92,clean_mod!AG93)</f>
        <v>120-NG_R</v>
      </c>
      <c r="N93" s="372" t="str">
        <f t="shared" si="8"/>
        <v>120-ctl-36</v>
      </c>
      <c r="O93" s="372" t="str">
        <f t="shared" si="9"/>
        <v>120-1-36</v>
      </c>
      <c r="P93" s="369">
        <v>36</v>
      </c>
      <c r="Q93" s="369" t="str">
        <f>LEFT(coder1_YH!AK93,1)</f>
        <v>0</v>
      </c>
      <c r="R93" s="369" t="str">
        <f>LEFT(coder1_YH!AL93,1)</f>
        <v>0</v>
      </c>
      <c r="S93" s="369" t="str">
        <f>coder1_YH!AJ93</f>
        <v>MAP RC</v>
      </c>
      <c r="T93" s="370">
        <f>coder1_YH!AN93</f>
        <v>171.92</v>
      </c>
      <c r="U93" s="370">
        <f>coder1_YH!AO93</f>
        <v>15.81</v>
      </c>
      <c r="V93" s="370">
        <f>coder1_YH!AP93</f>
        <v>319</v>
      </c>
      <c r="W93" s="370">
        <f>coder1_YH!AQ93</f>
        <v>176.59</v>
      </c>
      <c r="X93" s="370">
        <f>coder1_YH!AR93</f>
        <v>15.58</v>
      </c>
      <c r="Y93" s="370">
        <f>coder1_YH!AS93</f>
        <v>403</v>
      </c>
      <c r="Z93" s="371">
        <f t="shared" si="10"/>
        <v>173.76</v>
      </c>
      <c r="AA93" s="371">
        <f t="shared" si="11"/>
        <v>15.97</v>
      </c>
      <c r="AB93" s="371">
        <f t="shared" si="12"/>
        <v>165</v>
      </c>
      <c r="AC93" s="371">
        <f t="shared" si="13"/>
        <v>175.88</v>
      </c>
      <c r="AD93" s="371">
        <f t="shared" si="14"/>
        <v>17.13</v>
      </c>
      <c r="AE93" s="371">
        <f t="shared" si="15"/>
        <v>204</v>
      </c>
    </row>
    <row r="94" spans="1:31" x14ac:dyDescent="0.2">
      <c r="A94">
        <f>coder1_YH!B94</f>
        <v>0</v>
      </c>
      <c r="B94">
        <f>coder1_YH!C94</f>
        <v>94</v>
      </c>
      <c r="C94">
        <f>coder1_YH!D94</f>
        <v>0</v>
      </c>
      <c r="D94" t="str">
        <f>coder1_YH!E94</f>
        <v/>
      </c>
      <c r="E94" t="str">
        <f>coder1_YH!F94</f>
        <v/>
      </c>
      <c r="G94" t="str">
        <f>IF(coder1_YH!G94="",G93, coder1_YH!G94)</f>
        <v>Kim et al., 2021</v>
      </c>
      <c r="H94" s="405" t="str">
        <f>clean_mod!I94</f>
        <v>2021</v>
      </c>
      <c r="I94" t="str">
        <f>clean_mod!G94</f>
        <v>120</v>
      </c>
      <c r="J94">
        <f>clean_mod!H94</f>
        <v>120</v>
      </c>
      <c r="K94">
        <f>IF(coder1_YH!P94="",K93, coder1_YH!P94)</f>
        <v>1</v>
      </c>
      <c r="L94" s="324" t="str">
        <f>IF(clean_mod!AF94="",L93,clean_mod!AF94)</f>
        <v xml:space="preserve">120-NGm </v>
      </c>
      <c r="M94" s="324" t="str">
        <f>IF(clean_mod!AG94="",M93,clean_mod!AG94)</f>
        <v>120-NG_R</v>
      </c>
      <c r="N94" s="372" t="str">
        <f t="shared" si="8"/>
        <v>120-ctl-37</v>
      </c>
      <c r="O94" s="372" t="str">
        <f t="shared" si="9"/>
        <v>120-1-37</v>
      </c>
      <c r="P94" s="369">
        <v>37</v>
      </c>
      <c r="Q94" s="369" t="str">
        <f>LEFT(coder1_YH!AK94,1)</f>
        <v>1</v>
      </c>
      <c r="R94" s="369" t="str">
        <f>LEFT(coder1_YH!AL94,1)</f>
        <v>0</v>
      </c>
      <c r="S94" s="369" t="str">
        <f>coder1_YH!AJ94</f>
        <v>*DIBLE (Combined - word reading fluency, oral reading fluency, and retell ability)</v>
      </c>
      <c r="T94" s="370">
        <f>coder1_YH!AN94</f>
        <v>189.37</v>
      </c>
      <c r="U94" s="370">
        <f>coder1_YH!AO94</f>
        <v>101.26</v>
      </c>
      <c r="V94" s="370">
        <f>coder1_YH!AP94</f>
        <v>425</v>
      </c>
      <c r="W94" s="370">
        <f>coder1_YH!AQ94</f>
        <v>188.05</v>
      </c>
      <c r="X94" s="370">
        <f>coder1_YH!AR94</f>
        <v>85.78</v>
      </c>
      <c r="Y94" s="370">
        <f>coder1_YH!AS94</f>
        <v>431</v>
      </c>
      <c r="Z94" s="371">
        <f t="shared" si="10"/>
        <v>191.19</v>
      </c>
      <c r="AA94" s="371">
        <f t="shared" si="11"/>
        <v>112.27</v>
      </c>
      <c r="AB94" s="371">
        <f t="shared" si="12"/>
        <v>212</v>
      </c>
      <c r="AC94" s="371">
        <f t="shared" si="13"/>
        <v>186.26</v>
      </c>
      <c r="AD94" s="371">
        <f t="shared" si="14"/>
        <v>93.54</v>
      </c>
      <c r="AE94" s="371">
        <f t="shared" si="15"/>
        <v>214</v>
      </c>
    </row>
    <row r="95" spans="1:31" x14ac:dyDescent="0.2">
      <c r="A95">
        <f>coder1_YH!B95</f>
        <v>0</v>
      </c>
      <c r="B95">
        <f>coder1_YH!C95</f>
        <v>95</v>
      </c>
      <c r="C95">
        <f>coder1_YH!D95</f>
        <v>0</v>
      </c>
      <c r="D95" t="str">
        <f>coder1_YH!E95</f>
        <v/>
      </c>
      <c r="E95" t="b">
        <f>coder1_YH!F95</f>
        <v>1</v>
      </c>
      <c r="G95" t="str">
        <f>IF(coder1_YH!G95="",G94, coder1_YH!G95)</f>
        <v>Kim et al., 2021</v>
      </c>
      <c r="H95" s="405" t="str">
        <f>clean_mod!I95</f>
        <v>2021</v>
      </c>
      <c r="I95" t="str">
        <f>clean_mod!G95</f>
        <v>120</v>
      </c>
      <c r="J95">
        <f>clean_mod!H95</f>
        <v>120</v>
      </c>
      <c r="K95" t="str">
        <f>IF(coder1_YH!P95="",K94, coder1_YH!P95)</f>
        <v>ctl</v>
      </c>
      <c r="L95" s="324" t="str">
        <f>IF(clean_mod!AF95="",L94,clean_mod!AF95)</f>
        <v>120-..</v>
      </c>
      <c r="M95" s="324" t="str">
        <f>IF(clean_mod!AG95="",M94,clean_mod!AG95)</f>
        <v>120-BAU</v>
      </c>
      <c r="N95" s="372" t="str">
        <f t="shared" si="8"/>
        <v>120-ctl-36</v>
      </c>
      <c r="O95" s="372" t="str">
        <f t="shared" si="9"/>
        <v>120-ctl-36</v>
      </c>
      <c r="P95" s="369">
        <v>36</v>
      </c>
      <c r="Q95" s="369" t="str">
        <f>LEFT(coder1_YH!AK95,1)</f>
        <v>0</v>
      </c>
      <c r="R95" s="369" t="str">
        <f>LEFT(coder1_YH!AL95,1)</f>
        <v>0</v>
      </c>
      <c r="S95" s="369" t="str">
        <f>coder1_YH!AJ95</f>
        <v>MAP RC</v>
      </c>
      <c r="T95" s="370">
        <f>coder1_YH!AN95</f>
        <v>173.76</v>
      </c>
      <c r="U95" s="370">
        <f>coder1_YH!AO95</f>
        <v>15.97</v>
      </c>
      <c r="V95" s="370">
        <f>coder1_YH!AP95</f>
        <v>165</v>
      </c>
      <c r="W95" s="370">
        <f>coder1_YH!AQ95</f>
        <v>175.88</v>
      </c>
      <c r="X95" s="370">
        <f>coder1_YH!AR95</f>
        <v>17.13</v>
      </c>
      <c r="Y95" s="370">
        <f>coder1_YH!AS95</f>
        <v>204</v>
      </c>
      <c r="Z95" s="371">
        <f t="shared" si="10"/>
        <v>173.76</v>
      </c>
      <c r="AA95" s="371">
        <f t="shared" si="11"/>
        <v>15.97</v>
      </c>
      <c r="AB95" s="371">
        <f t="shared" si="12"/>
        <v>165</v>
      </c>
      <c r="AC95" s="371">
        <f t="shared" si="13"/>
        <v>175.88</v>
      </c>
      <c r="AD95" s="371">
        <f t="shared" si="14"/>
        <v>17.13</v>
      </c>
      <c r="AE95" s="371">
        <f t="shared" si="15"/>
        <v>204</v>
      </c>
    </row>
    <row r="96" spans="1:31" x14ac:dyDescent="0.2">
      <c r="A96">
        <f>coder1_YH!B96</f>
        <v>0</v>
      </c>
      <c r="B96">
        <f>coder1_YH!C96</f>
        <v>96</v>
      </c>
      <c r="C96">
        <f>coder1_YH!D96</f>
        <v>0</v>
      </c>
      <c r="D96" t="str">
        <f>coder1_YH!E96</f>
        <v/>
      </c>
      <c r="E96" t="str">
        <f>coder1_YH!F96</f>
        <v/>
      </c>
      <c r="G96" t="str">
        <f>IF(coder1_YH!G96="",G95, coder1_YH!G96)</f>
        <v>Kim et al., 2021</v>
      </c>
      <c r="H96" s="405" t="str">
        <f>clean_mod!I96</f>
        <v>2021</v>
      </c>
      <c r="I96" t="str">
        <f>clean_mod!G96</f>
        <v>120</v>
      </c>
      <c r="J96">
        <f>clean_mod!H96</f>
        <v>120</v>
      </c>
      <c r="K96" t="str">
        <f>IF(coder1_YH!P96="",K95, coder1_YH!P96)</f>
        <v>ctl</v>
      </c>
      <c r="L96" s="324" t="str">
        <f>IF(clean_mod!AF96="",L95,clean_mod!AF96)</f>
        <v>120-..</v>
      </c>
      <c r="M96" s="324" t="str">
        <f>IF(clean_mod!AG96="",M95,clean_mod!AG96)</f>
        <v>120-BAU</v>
      </c>
      <c r="N96" s="372" t="str">
        <f t="shared" si="8"/>
        <v>120-ctl-37</v>
      </c>
      <c r="O96" s="372" t="str">
        <f t="shared" si="9"/>
        <v>120-ctl-37</v>
      </c>
      <c r="P96" s="369">
        <v>37</v>
      </c>
      <c r="Q96" s="369" t="str">
        <f>LEFT(coder1_YH!AK96,1)</f>
        <v>1</v>
      </c>
      <c r="R96" s="369" t="str">
        <f>LEFT(coder1_YH!AL96,1)</f>
        <v>0</v>
      </c>
      <c r="S96" s="369" t="str">
        <f>coder1_YH!AJ96</f>
        <v>*DIBLE (Combined - word reading fluency, oral reading fluency, and retell ability)</v>
      </c>
      <c r="T96" s="370">
        <f>coder1_YH!AN96</f>
        <v>191.19</v>
      </c>
      <c r="U96" s="370">
        <f>coder1_YH!AO96</f>
        <v>112.27</v>
      </c>
      <c r="V96" s="370">
        <f>coder1_YH!AP96</f>
        <v>212</v>
      </c>
      <c r="W96" s="370">
        <f>coder1_YH!AQ96</f>
        <v>186.26</v>
      </c>
      <c r="X96" s="370">
        <f>coder1_YH!AR96</f>
        <v>93.54</v>
      </c>
      <c r="Y96" s="370">
        <f>coder1_YH!AS96</f>
        <v>214</v>
      </c>
      <c r="Z96" s="371">
        <f t="shared" si="10"/>
        <v>191.19</v>
      </c>
      <c r="AA96" s="371">
        <f t="shared" si="11"/>
        <v>112.27</v>
      </c>
      <c r="AB96" s="371">
        <f t="shared" si="12"/>
        <v>212</v>
      </c>
      <c r="AC96" s="371">
        <f t="shared" si="13"/>
        <v>186.26</v>
      </c>
      <c r="AD96" s="371">
        <f t="shared" si="14"/>
        <v>93.54</v>
      </c>
      <c r="AE96" s="371">
        <f t="shared" si="15"/>
        <v>214</v>
      </c>
    </row>
    <row r="97" spans="1:31" x14ac:dyDescent="0.2">
      <c r="A97">
        <f>coder1_YH!B97</f>
        <v>0</v>
      </c>
      <c r="B97">
        <f>coder1_YH!C97</f>
        <v>97</v>
      </c>
      <c r="C97" t="b">
        <f>coder1_YH!D97</f>
        <v>1</v>
      </c>
      <c r="D97" t="b">
        <f>coder1_YH!E97</f>
        <v>1</v>
      </c>
      <c r="E97" t="b">
        <f>coder1_YH!F97</f>
        <v>1</v>
      </c>
      <c r="G97" t="str">
        <f>IF(coder1_YH!G97="",G96, coder1_YH!G97)</f>
        <v>Law, 2011</v>
      </c>
      <c r="H97" s="405" t="str">
        <f>clean_mod!I97</f>
        <v>2011</v>
      </c>
      <c r="I97" t="str">
        <f>clean_mod!G97</f>
        <v>121</v>
      </c>
      <c r="J97">
        <f>clean_mod!H97</f>
        <v>121</v>
      </c>
      <c r="K97">
        <f>IF(coder1_YH!P97="",K96, coder1_YH!P97)</f>
        <v>1</v>
      </c>
      <c r="L97" s="324" t="str">
        <f>IF(clean_mod!AF97="",L96,clean_mod!AF97)</f>
        <v xml:space="preserve">121-NGm </v>
      </c>
      <c r="M97" s="324" t="str">
        <f>IF(clean_mod!AG97="",M96,clean_mod!AG97)</f>
        <v>121-NG_R</v>
      </c>
      <c r="N97" s="372" t="str">
        <f t="shared" si="8"/>
        <v>121-ctl-38</v>
      </c>
      <c r="O97" s="372" t="str">
        <f t="shared" si="9"/>
        <v>121-1-38</v>
      </c>
      <c r="P97" s="369">
        <v>38</v>
      </c>
      <c r="Q97" s="369" t="str">
        <f>LEFT(coder1_YH!AK97,1)</f>
        <v>0</v>
      </c>
      <c r="R97" s="369" t="str">
        <f>LEFT(coder1_YH!AL97,1)</f>
        <v>0</v>
      </c>
      <c r="S97" s="369" t="str">
        <f>coder1_YH!AJ97</f>
        <v>Reading comprehension scores (maximum scores: 36)</v>
      </c>
      <c r="T97" s="370" t="str">
        <f>coder1_YH!AN97</f>
        <v>NA</v>
      </c>
      <c r="U97" s="370" t="str">
        <f>coder1_YH!AO97</f>
        <v>NA</v>
      </c>
      <c r="V97" s="370" t="str">
        <f>coder1_YH!AP97</f>
        <v>NA</v>
      </c>
      <c r="W97" s="370">
        <f>coder1_YH!AQ97</f>
        <v>20.43</v>
      </c>
      <c r="X97" s="370">
        <f>coder1_YH!AR97</f>
        <v>3.04</v>
      </c>
      <c r="Y97" s="370">
        <f>coder1_YH!AS97</f>
        <v>94</v>
      </c>
      <c r="Z97" s="371" t="str">
        <f t="shared" si="10"/>
        <v>NA</v>
      </c>
      <c r="AA97" s="371" t="str">
        <f t="shared" si="11"/>
        <v>NA</v>
      </c>
      <c r="AB97" s="371" t="str">
        <f t="shared" si="12"/>
        <v>NA</v>
      </c>
      <c r="AC97" s="371">
        <f t="shared" si="13"/>
        <v>18.940000000000001</v>
      </c>
      <c r="AD97" s="371">
        <f t="shared" si="14"/>
        <v>3.62</v>
      </c>
      <c r="AE97" s="371">
        <f t="shared" si="15"/>
        <v>86</v>
      </c>
    </row>
    <row r="98" spans="1:31" x14ac:dyDescent="0.2">
      <c r="A98">
        <f>coder1_YH!B98</f>
        <v>0</v>
      </c>
      <c r="B98">
        <f>coder1_YH!C98</f>
        <v>98</v>
      </c>
      <c r="C98">
        <f>coder1_YH!D98</f>
        <v>0</v>
      </c>
      <c r="D98" t="str">
        <f>coder1_YH!E98</f>
        <v/>
      </c>
      <c r="E98" t="b">
        <f>coder1_YH!F98</f>
        <v>1</v>
      </c>
      <c r="G98" t="str">
        <f>IF(coder1_YH!G98="",G97, coder1_YH!G98)</f>
        <v>Law, 2011</v>
      </c>
      <c r="H98" s="405" t="str">
        <f>clean_mod!I98</f>
        <v>2011</v>
      </c>
      <c r="I98" t="str">
        <f>clean_mod!G98</f>
        <v>121</v>
      </c>
      <c r="J98">
        <f>clean_mod!H98</f>
        <v>121</v>
      </c>
      <c r="K98">
        <f>IF(coder1_YH!P98="",K97, coder1_YH!P98)</f>
        <v>2</v>
      </c>
      <c r="L98" s="324" t="str">
        <f>IF(clean_mod!AF98="",L97,clean_mod!AF98)</f>
        <v xml:space="preserve">121-Nm </v>
      </c>
      <c r="M98" s="324" t="str">
        <f>IF(clean_mod!AG98="",M97,clean_mod!AG98)</f>
        <v>121-N_R</v>
      </c>
      <c r="N98" s="372" t="str">
        <f t="shared" si="8"/>
        <v>121-ctl-38</v>
      </c>
      <c r="O98" s="372" t="str">
        <f t="shared" si="9"/>
        <v>121-2-38</v>
      </c>
      <c r="P98" s="369">
        <v>38</v>
      </c>
      <c r="Q98" s="369" t="str">
        <f>LEFT(coder1_YH!AK98,1)</f>
        <v>0</v>
      </c>
      <c r="R98" s="369" t="str">
        <f>LEFT(coder1_YH!AL98,1)</f>
        <v>0</v>
      </c>
      <c r="S98" s="369" t="str">
        <f>coder1_YH!AJ98</f>
        <v>Reading comprehension scores (maximum scores: 36)</v>
      </c>
      <c r="T98" s="370" t="str">
        <f>coder1_YH!AN98</f>
        <v>NA</v>
      </c>
      <c r="U98" s="370" t="str">
        <f>coder1_YH!AO98</f>
        <v>NA</v>
      </c>
      <c r="V98" s="370" t="str">
        <f>coder1_YH!AP98</f>
        <v>NA</v>
      </c>
      <c r="W98" s="370">
        <f>coder1_YH!AQ98</f>
        <v>19.38</v>
      </c>
      <c r="X98" s="370">
        <f>coder1_YH!AR98</f>
        <v>2.8</v>
      </c>
      <c r="Y98" s="370">
        <f>coder1_YH!AS98</f>
        <v>99</v>
      </c>
      <c r="Z98" s="371" t="str">
        <f t="shared" si="10"/>
        <v>NA</v>
      </c>
      <c r="AA98" s="371" t="str">
        <f t="shared" si="11"/>
        <v>NA</v>
      </c>
      <c r="AB98" s="371" t="str">
        <f t="shared" si="12"/>
        <v>NA</v>
      </c>
      <c r="AC98" s="371">
        <f t="shared" si="13"/>
        <v>18.940000000000001</v>
      </c>
      <c r="AD98" s="371">
        <f t="shared" si="14"/>
        <v>3.62</v>
      </c>
      <c r="AE98" s="371">
        <f t="shared" si="15"/>
        <v>86</v>
      </c>
    </row>
    <row r="99" spans="1:31" x14ac:dyDescent="0.2">
      <c r="A99">
        <f>coder1_YH!B99</f>
        <v>0</v>
      </c>
      <c r="B99">
        <f>coder1_YH!C99</f>
        <v>99</v>
      </c>
      <c r="C99">
        <f>coder1_YH!D99</f>
        <v>0</v>
      </c>
      <c r="D99" t="str">
        <f>coder1_YH!E99</f>
        <v/>
      </c>
      <c r="E99" t="b">
        <f>coder1_YH!F99</f>
        <v>1</v>
      </c>
      <c r="G99" t="str">
        <f>IF(coder1_YH!G99="",G98, coder1_YH!G99)</f>
        <v>Law, 2011</v>
      </c>
      <c r="H99" s="405" t="str">
        <f>clean_mod!I99</f>
        <v>2011</v>
      </c>
      <c r="I99" t="str">
        <f>clean_mod!G99</f>
        <v>121</v>
      </c>
      <c r="J99">
        <f>clean_mod!H99</f>
        <v>121</v>
      </c>
      <c r="K99" t="str">
        <f>IF(coder1_YH!P99="",K98, coder1_YH!P99)</f>
        <v>ctl</v>
      </c>
      <c r="L99" s="324" t="str">
        <f>IF(clean_mod!AF99="",L98,clean_mod!AF99)</f>
        <v>121-..</v>
      </c>
      <c r="M99" s="324" t="str">
        <f>IF(clean_mod!AG99="",M98,clean_mod!AG99)</f>
        <v>121-BAU</v>
      </c>
      <c r="N99" s="372" t="str">
        <f t="shared" si="8"/>
        <v>121-ctl-38</v>
      </c>
      <c r="O99" s="372" t="str">
        <f t="shared" si="9"/>
        <v>121-ctl-38</v>
      </c>
      <c r="P99" s="369">
        <v>38</v>
      </c>
      <c r="Q99" s="369" t="str">
        <f>LEFT(coder1_YH!AK99,1)</f>
        <v>0</v>
      </c>
      <c r="R99" s="369" t="str">
        <f>LEFT(coder1_YH!AL99,1)</f>
        <v>0</v>
      </c>
      <c r="S99" s="369" t="str">
        <f>coder1_YH!AJ99</f>
        <v>Reading comprehension scores (maximum scores: 36)</v>
      </c>
      <c r="T99" s="370" t="str">
        <f>coder1_YH!AN99</f>
        <v>NA</v>
      </c>
      <c r="U99" s="370" t="str">
        <f>coder1_YH!AO99</f>
        <v>NA</v>
      </c>
      <c r="V99" s="370" t="str">
        <f>coder1_YH!AP99</f>
        <v>NA</v>
      </c>
      <c r="W99" s="370">
        <f>coder1_YH!AQ99</f>
        <v>18.940000000000001</v>
      </c>
      <c r="X99" s="370">
        <f>coder1_YH!AR99</f>
        <v>3.62</v>
      </c>
      <c r="Y99" s="370">
        <f>coder1_YH!AS99</f>
        <v>86</v>
      </c>
      <c r="Z99" s="371" t="str">
        <f t="shared" si="10"/>
        <v>NA</v>
      </c>
      <c r="AA99" s="371" t="str">
        <f t="shared" si="11"/>
        <v>NA</v>
      </c>
      <c r="AB99" s="371" t="str">
        <f t="shared" si="12"/>
        <v>NA</v>
      </c>
      <c r="AC99" s="371">
        <f t="shared" si="13"/>
        <v>18.940000000000001</v>
      </c>
      <c r="AD99" s="371">
        <f t="shared" si="14"/>
        <v>3.62</v>
      </c>
      <c r="AE99" s="371">
        <f t="shared" si="15"/>
        <v>86</v>
      </c>
    </row>
    <row r="100" spans="1:31" x14ac:dyDescent="0.2">
      <c r="A100" t="str">
        <f>coder1_YH!B100</f>
        <v>EX</v>
      </c>
      <c r="B100">
        <f>coder1_YH!C100</f>
        <v>100</v>
      </c>
      <c r="C100" t="b">
        <f>coder1_YH!D100</f>
        <v>1</v>
      </c>
      <c r="D100" t="b">
        <f>coder1_YH!E100</f>
        <v>1</v>
      </c>
      <c r="E100" t="b">
        <f>coder1_YH!F100</f>
        <v>1</v>
      </c>
      <c r="G100" t="str">
        <f>IF(coder1_YH!G100="",G99, coder1_YH!G100)</f>
        <v>Lee, 2014</v>
      </c>
      <c r="H100" s="405" t="str">
        <f>clean_mod!I100</f>
        <v>2014</v>
      </c>
      <c r="I100" t="str">
        <f>clean_mod!G100</f>
        <v xml:space="preserve">EX </v>
      </c>
      <c r="J100" t="str">
        <f>clean_mod!H100</f>
        <v>EX 122</v>
      </c>
      <c r="K100">
        <f>IF(coder1_YH!P100="",K99, coder1_YH!P100)</f>
        <v>1</v>
      </c>
      <c r="L100" s="324" t="str">
        <f>IF(clean_mod!AF100="",L99,clean_mod!AF100)</f>
        <v>EX 122-..</v>
      </c>
      <c r="M100" s="324" t="str">
        <f>IF(clean_mod!AG100="",M99,clean_mod!AG100)</f>
        <v>EX 122-BAU</v>
      </c>
      <c r="N100" s="372" t="str">
        <f t="shared" si="8"/>
        <v>EX -ctl-39</v>
      </c>
      <c r="O100" s="372" t="str">
        <f t="shared" si="9"/>
        <v>EX -1-39</v>
      </c>
      <c r="P100" s="369">
        <v>39</v>
      </c>
      <c r="Q100" s="369" t="str">
        <f>LEFT(coder1_YH!AK100,1)</f>
        <v>1</v>
      </c>
      <c r="R100" s="369" t="str">
        <f>LEFT(coder1_YH!AL100,1)</f>
        <v>0</v>
      </c>
      <c r="S100" s="369" t="str">
        <f>coder1_YH!AJ100</f>
        <v>Standardized reading skill test.</v>
      </c>
      <c r="T100" s="370">
        <f>coder1_YH!AN100</f>
        <v>64.22</v>
      </c>
      <c r="U100" s="370">
        <f>coder1_YH!AO100</f>
        <v>15.87</v>
      </c>
      <c r="V100" s="370">
        <f>coder1_YH!AP100</f>
        <v>53</v>
      </c>
      <c r="W100" s="370">
        <f>coder1_YH!AQ100</f>
        <v>71.209999999999994</v>
      </c>
      <c r="X100" s="370">
        <f>coder1_YH!AR100</f>
        <v>15.24</v>
      </c>
      <c r="Y100" s="370">
        <f>coder1_YH!AS100</f>
        <v>53</v>
      </c>
      <c r="Z100" s="371">
        <f t="shared" si="10"/>
        <v>64.989999999999995</v>
      </c>
      <c r="AA100" s="371">
        <f t="shared" si="11"/>
        <v>20.05</v>
      </c>
      <c r="AB100" s="371">
        <f t="shared" si="12"/>
        <v>52</v>
      </c>
      <c r="AC100" s="371">
        <f t="shared" si="13"/>
        <v>64.22</v>
      </c>
      <c r="AD100" s="371">
        <f t="shared" si="14"/>
        <v>17.98</v>
      </c>
      <c r="AE100" s="371">
        <f t="shared" si="15"/>
        <v>52</v>
      </c>
    </row>
    <row r="101" spans="1:31" x14ac:dyDescent="0.2">
      <c r="A101" t="str">
        <f>coder1_YH!B101</f>
        <v>EX</v>
      </c>
      <c r="B101">
        <f>coder1_YH!C101</f>
        <v>101</v>
      </c>
      <c r="C101">
        <f>coder1_YH!D101</f>
        <v>0</v>
      </c>
      <c r="D101" t="str">
        <f>coder1_YH!E101</f>
        <v/>
      </c>
      <c r="E101" t="b">
        <f>coder1_YH!F101</f>
        <v>1</v>
      </c>
      <c r="G101" t="str">
        <f>IF(coder1_YH!G101="",G100, coder1_YH!G101)</f>
        <v>Lee, 2014</v>
      </c>
      <c r="H101" s="405" t="str">
        <f>clean_mod!I101</f>
        <v>2014</v>
      </c>
      <c r="I101" t="str">
        <f>clean_mod!G101</f>
        <v xml:space="preserve">EX </v>
      </c>
      <c r="J101" t="str">
        <f>clean_mod!H101</f>
        <v>EX 122</v>
      </c>
      <c r="K101" t="str">
        <f>IF(coder1_YH!P101="",K100, coder1_YH!P101)</f>
        <v>ctl</v>
      </c>
      <c r="L101" s="324" t="str">
        <f>IF(clean_mod!AF101="",L100,clean_mod!AF101)</f>
        <v>EX 122-..</v>
      </c>
      <c r="M101" s="324" t="str">
        <f>IF(clean_mod!AG101="",M100,clean_mod!AG101)</f>
        <v>EX 122-BAU</v>
      </c>
      <c r="N101" s="372" t="str">
        <f t="shared" si="8"/>
        <v>EX -ctl-39</v>
      </c>
      <c r="O101" s="372" t="str">
        <f t="shared" si="9"/>
        <v>EX -ctl-39</v>
      </c>
      <c r="P101" s="369">
        <v>39</v>
      </c>
      <c r="Q101" s="369" t="str">
        <f>LEFT(coder1_YH!AK101,1)</f>
        <v>1</v>
      </c>
      <c r="R101" s="369" t="str">
        <f>LEFT(coder1_YH!AL101,1)</f>
        <v>0</v>
      </c>
      <c r="S101" s="369" t="str">
        <f>coder1_YH!AJ101</f>
        <v>Standardized reading skill test.</v>
      </c>
      <c r="T101" s="370">
        <f>coder1_YH!AN101</f>
        <v>64.989999999999995</v>
      </c>
      <c r="U101" s="370">
        <f>coder1_YH!AO101</f>
        <v>20.05</v>
      </c>
      <c r="V101" s="370">
        <f>coder1_YH!AP101</f>
        <v>52</v>
      </c>
      <c r="W101" s="370">
        <f>coder1_YH!AQ101</f>
        <v>64.22</v>
      </c>
      <c r="X101" s="370">
        <f>coder1_YH!AR101</f>
        <v>17.98</v>
      </c>
      <c r="Y101" s="370">
        <f>coder1_YH!AS101</f>
        <v>52</v>
      </c>
      <c r="Z101" s="371">
        <f t="shared" si="10"/>
        <v>64.989999999999995</v>
      </c>
      <c r="AA101" s="371">
        <f t="shared" si="11"/>
        <v>20.05</v>
      </c>
      <c r="AB101" s="371">
        <f t="shared" si="12"/>
        <v>52</v>
      </c>
      <c r="AC101" s="371">
        <f t="shared" si="13"/>
        <v>64.22</v>
      </c>
      <c r="AD101" s="371">
        <f t="shared" si="14"/>
        <v>17.98</v>
      </c>
      <c r="AE101" s="371">
        <f t="shared" si="15"/>
        <v>52</v>
      </c>
    </row>
    <row r="102" spans="1:31" x14ac:dyDescent="0.2">
      <c r="A102" t="str">
        <f>coder1_YH!B102</f>
        <v>EX</v>
      </c>
      <c r="B102">
        <f>coder1_YH!C102</f>
        <v>102</v>
      </c>
      <c r="C102" t="b">
        <f>coder1_YH!D102</f>
        <v>1</v>
      </c>
      <c r="D102" t="b">
        <f>coder1_YH!E102</f>
        <v>1</v>
      </c>
      <c r="E102" t="b">
        <f>coder1_YH!F102</f>
        <v>1</v>
      </c>
      <c r="G102" t="str">
        <f>IF(coder1_YH!G102="",G101, coder1_YH!G102)</f>
        <v>Taboada Barber et al., 2018</v>
      </c>
      <c r="H102" s="405" t="str">
        <f>clean_mod!I102</f>
        <v>2018</v>
      </c>
      <c r="I102" t="str">
        <f>clean_mod!G102</f>
        <v>123</v>
      </c>
      <c r="J102" t="str">
        <f>clean_mod!H102</f>
        <v>123*</v>
      </c>
      <c r="K102">
        <f>IF(coder1_YH!P102="",K101, coder1_YH!P102)</f>
        <v>1</v>
      </c>
      <c r="L102" s="324" t="str">
        <f>IF(clean_mod!AF102="",L101,clean_mod!AF102)</f>
        <v xml:space="preserve">123*-Nm </v>
      </c>
      <c r="M102" s="324" t="str">
        <f>IF(clean_mod!AG102="",M101,clean_mod!AG102)</f>
        <v>123*-N_R</v>
      </c>
      <c r="N102" s="372" t="str">
        <f t="shared" si="8"/>
        <v>123-ctl-40</v>
      </c>
      <c r="O102" s="372" t="str">
        <f t="shared" si="9"/>
        <v>123-1-40</v>
      </c>
      <c r="P102" s="369">
        <v>40</v>
      </c>
      <c r="Q102" s="369" t="str">
        <f>LEFT(coder1_YH!AK102,1)</f>
        <v>0</v>
      </c>
      <c r="R102" s="369" t="str">
        <f>LEFT(coder1_YH!AL102,1)</f>
        <v>0</v>
      </c>
      <c r="S102" s="369" t="str">
        <f>coder1_YH!AJ102</f>
        <v>History reading comprehension</v>
      </c>
      <c r="T102" s="370">
        <f>coder1_YH!AN102</f>
        <v>12.48</v>
      </c>
      <c r="U102" s="370">
        <f>coder1_YH!AO102</f>
        <v>6.1</v>
      </c>
      <c r="V102" s="370">
        <f>coder1_YH!AP102</f>
        <v>103</v>
      </c>
      <c r="W102" s="370">
        <f>coder1_YH!AQ102</f>
        <v>15.63</v>
      </c>
      <c r="X102" s="370">
        <f>coder1_YH!AR102</f>
        <v>5.35</v>
      </c>
      <c r="Y102" s="370">
        <f>coder1_YH!AS102</f>
        <v>103</v>
      </c>
      <c r="Z102" s="371">
        <f t="shared" si="10"/>
        <v>12.14</v>
      </c>
      <c r="AA102" s="371">
        <f t="shared" si="11"/>
        <v>6.1</v>
      </c>
      <c r="AB102" s="371">
        <f t="shared" si="12"/>
        <v>100</v>
      </c>
      <c r="AC102" s="371">
        <f t="shared" si="13"/>
        <v>14.27</v>
      </c>
      <c r="AD102" s="371">
        <f t="shared" si="14"/>
        <v>5.58</v>
      </c>
      <c r="AE102" s="371">
        <f t="shared" si="15"/>
        <v>100</v>
      </c>
    </row>
    <row r="103" spans="1:31" x14ac:dyDescent="0.2">
      <c r="A103" t="str">
        <f>coder1_YH!B103</f>
        <v>EX</v>
      </c>
      <c r="B103">
        <f>coder1_YH!C103</f>
        <v>103</v>
      </c>
      <c r="C103">
        <f>coder1_YH!D103</f>
        <v>0</v>
      </c>
      <c r="D103" t="str">
        <f>coder1_YH!E103</f>
        <v/>
      </c>
      <c r="E103" t="b">
        <f>coder1_YH!F103</f>
        <v>1</v>
      </c>
      <c r="G103" t="str">
        <f>IF(coder1_YH!G103="",G102, coder1_YH!G103)</f>
        <v>Taboada Barber et al., 2018</v>
      </c>
      <c r="H103" s="405" t="str">
        <f>clean_mod!I103</f>
        <v>2018</v>
      </c>
      <c r="I103" t="str">
        <f>clean_mod!G103</f>
        <v>123</v>
      </c>
      <c r="J103" t="str">
        <f>clean_mod!H103</f>
        <v>123*</v>
      </c>
      <c r="K103" t="str">
        <f>IF(coder1_YH!P103="",K102, coder1_YH!P103)</f>
        <v>ctl</v>
      </c>
      <c r="L103" s="324" t="str">
        <f>IF(clean_mod!AF103="",L102,clean_mod!AF103)</f>
        <v>123*-..</v>
      </c>
      <c r="M103" s="324" t="str">
        <f>IF(clean_mod!AG103="",M102,clean_mod!AG103)</f>
        <v>123*-BAU</v>
      </c>
      <c r="N103" s="372" t="str">
        <f t="shared" si="8"/>
        <v>123-ctl-40</v>
      </c>
      <c r="O103" s="372" t="str">
        <f t="shared" si="9"/>
        <v>123-ctl-40</v>
      </c>
      <c r="P103" s="369">
        <v>40</v>
      </c>
      <c r="Q103" s="369" t="str">
        <f>LEFT(coder1_YH!AK103,1)</f>
        <v>0</v>
      </c>
      <c r="R103" s="369" t="str">
        <f>LEFT(coder1_YH!AL103,1)</f>
        <v>0</v>
      </c>
      <c r="S103" s="369" t="str">
        <f>coder1_YH!AJ103</f>
        <v>History reading comprehension</v>
      </c>
      <c r="T103" s="370">
        <f>coder1_YH!AN103</f>
        <v>12.14</v>
      </c>
      <c r="U103" s="370">
        <f>coder1_YH!AO103</f>
        <v>6.1</v>
      </c>
      <c r="V103" s="370">
        <f>coder1_YH!AP103</f>
        <v>100</v>
      </c>
      <c r="W103" s="370">
        <f>coder1_YH!AQ103</f>
        <v>14.27</v>
      </c>
      <c r="X103" s="370">
        <f>coder1_YH!AR103</f>
        <v>5.58</v>
      </c>
      <c r="Y103" s="370">
        <f>coder1_YH!AS103</f>
        <v>100</v>
      </c>
      <c r="Z103" s="371">
        <f t="shared" si="10"/>
        <v>12.14</v>
      </c>
      <c r="AA103" s="371">
        <f t="shared" si="11"/>
        <v>6.1</v>
      </c>
      <c r="AB103" s="371">
        <f t="shared" si="12"/>
        <v>100</v>
      </c>
      <c r="AC103" s="371">
        <f t="shared" si="13"/>
        <v>14.27</v>
      </c>
      <c r="AD103" s="371">
        <f t="shared" si="14"/>
        <v>5.58</v>
      </c>
      <c r="AE103" s="371">
        <f t="shared" si="15"/>
        <v>100</v>
      </c>
    </row>
    <row r="104" spans="1:31" x14ac:dyDescent="0.2">
      <c r="A104">
        <f>coder1_YH!B104</f>
        <v>0</v>
      </c>
      <c r="B104">
        <f>coder1_YH!C104</f>
        <v>104</v>
      </c>
      <c r="C104" t="b">
        <f>coder1_YH!D104</f>
        <v>1</v>
      </c>
      <c r="D104" t="b">
        <f>coder1_YH!E104</f>
        <v>1</v>
      </c>
      <c r="E104" t="b">
        <f>coder1_YH!F104</f>
        <v>1</v>
      </c>
      <c r="G104" t="str">
        <f>IF(coder1_YH!G104="",G103, coder1_YH!G104)</f>
        <v>Taboada Barber et al., 2018</v>
      </c>
      <c r="H104" s="405" t="str">
        <f>clean_mod!I104</f>
        <v>2018</v>
      </c>
      <c r="I104" t="str">
        <f>clean_mod!G104</f>
        <v>123</v>
      </c>
      <c r="J104">
        <f>clean_mod!H104</f>
        <v>123.1</v>
      </c>
      <c r="K104">
        <f>IF(coder1_YH!P104="",K103, coder1_YH!P104)</f>
        <v>1</v>
      </c>
      <c r="L104" s="324" t="str">
        <f>IF(clean_mod!AF104="",L103,clean_mod!AF104)</f>
        <v xml:space="preserve">123.1-Nm </v>
      </c>
      <c r="M104" s="324" t="str">
        <f>IF(clean_mod!AG104="",M103,clean_mod!AG104)</f>
        <v>123.1-N_R</v>
      </c>
      <c r="N104" s="372" t="str">
        <f t="shared" si="8"/>
        <v>123-ctl-41</v>
      </c>
      <c r="O104" s="372" t="str">
        <f t="shared" si="9"/>
        <v>123-1-41</v>
      </c>
      <c r="P104" s="369">
        <v>41</v>
      </c>
      <c r="Q104" s="369" t="str">
        <f>LEFT(coder1_YH!AK104,1)</f>
        <v>0</v>
      </c>
      <c r="R104" s="369" t="str">
        <f>LEFT(coder1_YH!AL104,1)</f>
        <v>0</v>
      </c>
      <c r="S104" s="369" t="str">
        <f>coder1_YH!AJ104</f>
        <v>History reading comprehension</v>
      </c>
      <c r="T104" s="370">
        <f>coder1_YH!AN104</f>
        <v>10.9</v>
      </c>
      <c r="U104" s="370">
        <f>coder1_YH!AO104</f>
        <v>5.61</v>
      </c>
      <c r="V104" s="370">
        <f>coder1_YH!AP104</f>
        <v>38.11</v>
      </c>
      <c r="W104" s="370">
        <f>coder1_YH!AQ104</f>
        <v>15.04</v>
      </c>
      <c r="X104" s="370">
        <f>coder1_YH!AR104</f>
        <v>5.36</v>
      </c>
      <c r="Y104" s="370">
        <f>coder1_YH!AS104</f>
        <v>38.11</v>
      </c>
      <c r="Z104" s="371">
        <f t="shared" si="10"/>
        <v>11.11</v>
      </c>
      <c r="AA104" s="371">
        <f t="shared" si="11"/>
        <v>5.71</v>
      </c>
      <c r="AB104" s="371">
        <f t="shared" si="12"/>
        <v>37</v>
      </c>
      <c r="AC104" s="371">
        <f t="shared" si="13"/>
        <v>13.52</v>
      </c>
      <c r="AD104" s="371">
        <f t="shared" si="14"/>
        <v>5.63</v>
      </c>
      <c r="AE104" s="371">
        <f t="shared" si="15"/>
        <v>37</v>
      </c>
    </row>
    <row r="105" spans="1:31" x14ac:dyDescent="0.2">
      <c r="A105">
        <f>coder1_YH!B105</f>
        <v>0</v>
      </c>
      <c r="B105">
        <f>coder1_YH!C105</f>
        <v>105</v>
      </c>
      <c r="C105">
        <f>coder1_YH!D105</f>
        <v>0</v>
      </c>
      <c r="D105" t="str">
        <f>coder1_YH!E105</f>
        <v/>
      </c>
      <c r="E105" t="b">
        <f>coder1_YH!F105</f>
        <v>1</v>
      </c>
      <c r="G105" t="str">
        <f>IF(coder1_YH!G105="",G104, coder1_YH!G105)</f>
        <v>Taboada Barber et al., 2018</v>
      </c>
      <c r="H105" s="405" t="str">
        <f>clean_mod!I105</f>
        <v>2018</v>
      </c>
      <c r="I105" t="str">
        <f>clean_mod!G105</f>
        <v>123</v>
      </c>
      <c r="J105">
        <f>clean_mod!H105</f>
        <v>123.1</v>
      </c>
      <c r="K105" t="str">
        <f>IF(coder1_YH!P105="",K104, coder1_YH!P105)</f>
        <v>ctl</v>
      </c>
      <c r="L105" s="324" t="str">
        <f>IF(clean_mod!AF105="",L104,clean_mod!AF105)</f>
        <v>123.1-..</v>
      </c>
      <c r="M105" s="324" t="str">
        <f>IF(clean_mod!AG105="",M104,clean_mod!AG105)</f>
        <v>123.1-BAU</v>
      </c>
      <c r="N105" s="372" t="str">
        <f t="shared" si="8"/>
        <v>123-ctl-41</v>
      </c>
      <c r="O105" s="372" t="str">
        <f t="shared" si="9"/>
        <v>123-ctl-41</v>
      </c>
      <c r="P105" s="369">
        <v>41</v>
      </c>
      <c r="Q105" s="369" t="str">
        <f>LEFT(coder1_YH!AK105,1)</f>
        <v>0</v>
      </c>
      <c r="R105" s="369" t="str">
        <f>LEFT(coder1_YH!AL105,1)</f>
        <v>0</v>
      </c>
      <c r="S105" s="369" t="str">
        <f>coder1_YH!AJ105</f>
        <v>History reading comprehension</v>
      </c>
      <c r="T105" s="370">
        <f>coder1_YH!AN105</f>
        <v>11.11</v>
      </c>
      <c r="U105" s="370">
        <f>coder1_YH!AO105</f>
        <v>5.71</v>
      </c>
      <c r="V105" s="370">
        <f>coder1_YH!AP105</f>
        <v>37</v>
      </c>
      <c r="W105" s="370">
        <f>coder1_YH!AQ105</f>
        <v>13.52</v>
      </c>
      <c r="X105" s="370">
        <f>coder1_YH!AR105</f>
        <v>5.63</v>
      </c>
      <c r="Y105" s="370">
        <f>coder1_YH!AS105</f>
        <v>37</v>
      </c>
      <c r="Z105" s="371">
        <f t="shared" si="10"/>
        <v>11.11</v>
      </c>
      <c r="AA105" s="371">
        <f t="shared" si="11"/>
        <v>5.71</v>
      </c>
      <c r="AB105" s="371">
        <f t="shared" si="12"/>
        <v>37</v>
      </c>
      <c r="AC105" s="371">
        <f t="shared" si="13"/>
        <v>13.52</v>
      </c>
      <c r="AD105" s="371">
        <f t="shared" si="14"/>
        <v>5.63</v>
      </c>
      <c r="AE105" s="371">
        <f t="shared" si="15"/>
        <v>37</v>
      </c>
    </row>
    <row r="106" spans="1:31" x14ac:dyDescent="0.2">
      <c r="A106">
        <f>coder1_YH!B106</f>
        <v>0</v>
      </c>
      <c r="B106">
        <f>coder1_YH!C106</f>
        <v>106</v>
      </c>
      <c r="C106">
        <f>coder1_YH!D106</f>
        <v>0</v>
      </c>
      <c r="D106" t="b">
        <f>coder1_YH!E106</f>
        <v>1</v>
      </c>
      <c r="E106" t="b">
        <f>coder1_YH!F106</f>
        <v>1</v>
      </c>
      <c r="G106" t="str">
        <f>IF(coder1_YH!G106="",G105, coder1_YH!G106)</f>
        <v>Taboada Barber et al., 2018</v>
      </c>
      <c r="H106" s="405" t="str">
        <f>clean_mod!I106</f>
        <v>2018</v>
      </c>
      <c r="I106" t="str">
        <f>clean_mod!G106</f>
        <v>123</v>
      </c>
      <c r="J106">
        <f>clean_mod!H106</f>
        <v>123.2</v>
      </c>
      <c r="K106">
        <f>IF(coder1_YH!P106="",K105, coder1_YH!P106)</f>
        <v>1</v>
      </c>
      <c r="L106" s="324" t="str">
        <f>IF(clean_mod!AF106="",L105,clean_mod!AF106)</f>
        <v xml:space="preserve">123.2-Nm </v>
      </c>
      <c r="M106" s="324" t="str">
        <f>IF(clean_mod!AG106="",M105,clean_mod!AG106)</f>
        <v>123.2-N_R</v>
      </c>
      <c r="N106" s="372" t="str">
        <f t="shared" si="8"/>
        <v>123-ctl-42</v>
      </c>
      <c r="O106" s="372" t="str">
        <f t="shared" si="9"/>
        <v>123-1-42</v>
      </c>
      <c r="P106" s="369">
        <v>42</v>
      </c>
      <c r="Q106" s="369" t="str">
        <f>LEFT(coder1_YH!AK106,1)</f>
        <v>0</v>
      </c>
      <c r="R106" s="369" t="str">
        <f>LEFT(coder1_YH!AL106,1)</f>
        <v>0</v>
      </c>
      <c r="S106" s="369" t="str">
        <f>coder1_YH!AJ106</f>
        <v>History reading comprehension</v>
      </c>
      <c r="T106" s="370">
        <f>coder1_YH!AN106</f>
        <v>13.51</v>
      </c>
      <c r="U106" s="370">
        <f>coder1_YH!AO106</f>
        <v>6.32</v>
      </c>
      <c r="V106" s="370">
        <f>coder1_YH!AP106</f>
        <v>64.89</v>
      </c>
      <c r="W106" s="370">
        <f>coder1_YH!AQ106</f>
        <v>16.41</v>
      </c>
      <c r="X106" s="370">
        <f>coder1_YH!AR106</f>
        <v>5.17</v>
      </c>
      <c r="Y106" s="370">
        <f>coder1_YH!AS106</f>
        <v>64.89</v>
      </c>
      <c r="Z106" s="371">
        <f t="shared" si="10"/>
        <v>12.53</v>
      </c>
      <c r="AA106" s="371">
        <f t="shared" si="11"/>
        <v>6.02</v>
      </c>
      <c r="AB106" s="371">
        <f t="shared" si="12"/>
        <v>63</v>
      </c>
      <c r="AC106" s="371">
        <f t="shared" si="13"/>
        <v>14.61</v>
      </c>
      <c r="AD106" s="371">
        <f t="shared" si="14"/>
        <v>5.6</v>
      </c>
      <c r="AE106" s="371">
        <f t="shared" si="15"/>
        <v>63</v>
      </c>
    </row>
    <row r="107" spans="1:31" x14ac:dyDescent="0.2">
      <c r="A107">
        <f>coder1_YH!B107</f>
        <v>0</v>
      </c>
      <c r="B107">
        <f>coder1_YH!C107</f>
        <v>107</v>
      </c>
      <c r="C107">
        <f>coder1_YH!D107</f>
        <v>0</v>
      </c>
      <c r="D107" t="str">
        <f>coder1_YH!E107</f>
        <v/>
      </c>
      <c r="E107" t="b">
        <f>coder1_YH!F107</f>
        <v>1</v>
      </c>
      <c r="G107" t="str">
        <f>IF(coder1_YH!G107="",G106, coder1_YH!G107)</f>
        <v>Taboada Barber et al., 2018</v>
      </c>
      <c r="H107" s="405" t="str">
        <f>clean_mod!I107</f>
        <v>2018</v>
      </c>
      <c r="I107" t="str">
        <f>clean_mod!G107</f>
        <v>123</v>
      </c>
      <c r="J107">
        <f>clean_mod!H107</f>
        <v>123.2</v>
      </c>
      <c r="K107" t="str">
        <f>IF(coder1_YH!P107="",K106, coder1_YH!P107)</f>
        <v>ctl</v>
      </c>
      <c r="L107" s="324" t="str">
        <f>IF(clean_mod!AF107="",L106,clean_mod!AF107)</f>
        <v>123.2-..</v>
      </c>
      <c r="M107" s="324" t="str">
        <f>IF(clean_mod!AG107="",M106,clean_mod!AG107)</f>
        <v>123.2-BAU</v>
      </c>
      <c r="N107" s="372" t="str">
        <f t="shared" si="8"/>
        <v>123-ctl-42</v>
      </c>
      <c r="O107" s="372" t="str">
        <f t="shared" si="9"/>
        <v>123-ctl-42</v>
      </c>
      <c r="P107" s="369">
        <v>42</v>
      </c>
      <c r="Q107" s="369" t="str">
        <f>LEFT(coder1_YH!AK107,1)</f>
        <v>0</v>
      </c>
      <c r="R107" s="369" t="str">
        <f>LEFT(coder1_YH!AL107,1)</f>
        <v>0</v>
      </c>
      <c r="S107" s="369" t="str">
        <f>coder1_YH!AJ107</f>
        <v>History reading comprehension</v>
      </c>
      <c r="T107" s="370">
        <f>coder1_YH!AN107</f>
        <v>12.53</v>
      </c>
      <c r="U107" s="370">
        <f>coder1_YH!AO107</f>
        <v>6.02</v>
      </c>
      <c r="V107" s="370">
        <f>coder1_YH!AP107</f>
        <v>63</v>
      </c>
      <c r="W107" s="370">
        <f>coder1_YH!AQ107</f>
        <v>14.61</v>
      </c>
      <c r="X107" s="370">
        <f>coder1_YH!AR107</f>
        <v>5.6</v>
      </c>
      <c r="Y107" s="370">
        <f>coder1_YH!AS107</f>
        <v>63</v>
      </c>
      <c r="Z107" s="371">
        <f t="shared" si="10"/>
        <v>12.53</v>
      </c>
      <c r="AA107" s="371">
        <f t="shared" si="11"/>
        <v>6.02</v>
      </c>
      <c r="AB107" s="371">
        <f t="shared" si="12"/>
        <v>63</v>
      </c>
      <c r="AC107" s="371">
        <f t="shared" si="13"/>
        <v>14.61</v>
      </c>
      <c r="AD107" s="371">
        <f t="shared" si="14"/>
        <v>5.6</v>
      </c>
      <c r="AE107" s="371">
        <f t="shared" si="15"/>
        <v>63</v>
      </c>
    </row>
    <row r="108" spans="1:31" x14ac:dyDescent="0.2">
      <c r="A108">
        <f>coder1_YH!B108</f>
        <v>0</v>
      </c>
      <c r="B108">
        <f>coder1_YH!C108</f>
        <v>108</v>
      </c>
      <c r="C108" t="b">
        <f>coder1_YH!D108</f>
        <v>1</v>
      </c>
      <c r="D108" t="b">
        <f>coder1_YH!E108</f>
        <v>1</v>
      </c>
      <c r="E108" t="b">
        <f>coder1_YH!F108</f>
        <v>1</v>
      </c>
      <c r="G108" t="str">
        <f>IF(coder1_YH!G108="",G107, coder1_YH!G108)</f>
        <v>Wu et al., 2021</v>
      </c>
      <c r="H108" s="405" t="str">
        <f>clean_mod!I108</f>
        <v>2021</v>
      </c>
      <c r="I108" t="str">
        <f>clean_mod!G108</f>
        <v>124</v>
      </c>
      <c r="J108">
        <f>clean_mod!H108</f>
        <v>124</v>
      </c>
      <c r="K108">
        <f>IF(coder1_YH!P108="",K107, coder1_YH!P108)</f>
        <v>1</v>
      </c>
      <c r="L108" s="324" t="str">
        <f>IF(clean_mod!AF108="",L107,clean_mod!AF108)</f>
        <v xml:space="preserve">124-Nm </v>
      </c>
      <c r="M108" s="324" t="str">
        <f>IF(clean_mod!AG108="",M107,clean_mod!AG108)</f>
        <v>124-N_R</v>
      </c>
      <c r="N108" s="372" t="str">
        <f t="shared" si="8"/>
        <v>124-ctl-43</v>
      </c>
      <c r="O108" s="372" t="str">
        <f t="shared" si="9"/>
        <v>124-1-43</v>
      </c>
      <c r="P108" s="369">
        <v>43</v>
      </c>
      <c r="Q108" s="369" t="str">
        <f>LEFT(coder1_YH!AK108,1)</f>
        <v>1</v>
      </c>
      <c r="R108" s="369" t="str">
        <f>LEFT(coder1_YH!AL108,1)</f>
        <v>0</v>
      </c>
      <c r="S108" s="369" t="str">
        <f>coder1_YH!AJ108</f>
        <v>parallel reading comprehension tests</v>
      </c>
      <c r="T108" s="370">
        <f>coder1_YH!AN108</f>
        <v>50.3</v>
      </c>
      <c r="U108" s="370">
        <f>coder1_YH!AO108</f>
        <v>9.89</v>
      </c>
      <c r="V108" s="370">
        <f>coder1_YH!AP108</f>
        <v>168</v>
      </c>
      <c r="W108" s="370">
        <f>coder1_YH!AQ108</f>
        <v>55.62</v>
      </c>
      <c r="X108" s="370">
        <f>coder1_YH!AR108</f>
        <v>8.2200000000000006</v>
      </c>
      <c r="Y108" s="370">
        <f>coder1_YH!AS108</f>
        <v>168</v>
      </c>
      <c r="Z108" s="371">
        <f t="shared" si="10"/>
        <v>49.71</v>
      </c>
      <c r="AA108" s="371">
        <f t="shared" si="11"/>
        <v>10.119999999999999</v>
      </c>
      <c r="AB108" s="371">
        <f t="shared" si="12"/>
        <v>174</v>
      </c>
      <c r="AC108" s="371">
        <f t="shared" si="13"/>
        <v>44.57</v>
      </c>
      <c r="AD108" s="371">
        <f t="shared" si="14"/>
        <v>8.4499999999999993</v>
      </c>
      <c r="AE108" s="371">
        <f t="shared" si="15"/>
        <v>174</v>
      </c>
    </row>
    <row r="109" spans="1:31" x14ac:dyDescent="0.2">
      <c r="A109">
        <f>coder1_YH!B109</f>
        <v>0</v>
      </c>
      <c r="B109">
        <f>coder1_YH!C109</f>
        <v>109</v>
      </c>
      <c r="C109">
        <f>coder1_YH!D109</f>
        <v>0</v>
      </c>
      <c r="D109" t="str">
        <f>coder1_YH!E109</f>
        <v/>
      </c>
      <c r="E109" t="b">
        <f>coder1_YH!F109</f>
        <v>1</v>
      </c>
      <c r="G109" t="str">
        <f>IF(coder1_YH!G109="",G108, coder1_YH!G109)</f>
        <v>Wu et al., 2021</v>
      </c>
      <c r="H109" s="405" t="str">
        <f>clean_mod!I109</f>
        <v>2021</v>
      </c>
      <c r="I109" t="str">
        <f>clean_mod!G109</f>
        <v>124</v>
      </c>
      <c r="J109">
        <f>clean_mod!H109</f>
        <v>124</v>
      </c>
      <c r="K109" t="str">
        <f>IF(coder1_YH!P109="",K108, coder1_YH!P109)</f>
        <v>ctl</v>
      </c>
      <c r="L109" s="324" t="str">
        <f>IF(clean_mod!AF109="",L108,clean_mod!AF109)</f>
        <v>124-..</v>
      </c>
      <c r="M109" s="324" t="str">
        <f>IF(clean_mod!AG109="",M108,clean_mod!AG109)</f>
        <v>124-BAU</v>
      </c>
      <c r="N109" s="372" t="str">
        <f t="shared" si="8"/>
        <v>124-ctl-43</v>
      </c>
      <c r="O109" s="372" t="str">
        <f t="shared" si="9"/>
        <v>124-ctl-43</v>
      </c>
      <c r="P109" s="369">
        <v>43</v>
      </c>
      <c r="Q109" s="369" t="str">
        <f>LEFT(coder1_YH!AK109,1)</f>
        <v>1</v>
      </c>
      <c r="R109" s="369" t="str">
        <f>LEFT(coder1_YH!AL109,1)</f>
        <v>0</v>
      </c>
      <c r="S109" s="369" t="str">
        <f>coder1_YH!AJ109</f>
        <v>parallel reading comprehension tests</v>
      </c>
      <c r="T109" s="370">
        <f>coder1_YH!AN109</f>
        <v>49.71</v>
      </c>
      <c r="U109" s="370">
        <f>coder1_YH!AO109</f>
        <v>10.119999999999999</v>
      </c>
      <c r="V109" s="370">
        <f>coder1_YH!AP109</f>
        <v>174</v>
      </c>
      <c r="W109" s="370">
        <f>coder1_YH!AQ109</f>
        <v>44.57</v>
      </c>
      <c r="X109" s="370">
        <f>coder1_YH!AR109</f>
        <v>8.4499999999999993</v>
      </c>
      <c r="Y109" s="370">
        <f>coder1_YH!AS109</f>
        <v>174</v>
      </c>
      <c r="Z109" s="371">
        <f t="shared" si="10"/>
        <v>49.71</v>
      </c>
      <c r="AA109" s="371">
        <f t="shared" si="11"/>
        <v>10.119999999999999</v>
      </c>
      <c r="AB109" s="371">
        <f t="shared" si="12"/>
        <v>174</v>
      </c>
      <c r="AC109" s="371">
        <f t="shared" si="13"/>
        <v>44.57</v>
      </c>
      <c r="AD109" s="371">
        <f t="shared" si="14"/>
        <v>8.4499999999999993</v>
      </c>
      <c r="AE109" s="371">
        <f t="shared" si="15"/>
        <v>174</v>
      </c>
    </row>
    <row r="110" spans="1:31" x14ac:dyDescent="0.2">
      <c r="A110">
        <f>coder1_YH!B110</f>
        <v>0</v>
      </c>
      <c r="B110">
        <f>coder1_YH!C110</f>
        <v>110</v>
      </c>
      <c r="C110" t="b">
        <f>coder1_YH!D110</f>
        <v>1</v>
      </c>
      <c r="D110" t="b">
        <f>coder1_YH!E110</f>
        <v>1</v>
      </c>
      <c r="E110" t="b">
        <f>coder1_YH!F110</f>
        <v>1</v>
      </c>
      <c r="G110" t="str">
        <f>IF(coder1_YH!G110="",G109, coder1_YH!G110)</f>
        <v>Guthrie et al. 1999</v>
      </c>
      <c r="H110" s="405" t="str">
        <f>clean_mod!I110</f>
        <v>1999</v>
      </c>
      <c r="I110" t="str">
        <f>clean_mod!G110</f>
        <v>125</v>
      </c>
      <c r="J110">
        <f>clean_mod!H110</f>
        <v>125.1</v>
      </c>
      <c r="K110">
        <f>IF(coder1_YH!P110="",K109, coder1_YH!P110)</f>
        <v>1</v>
      </c>
      <c r="L110" s="324" t="str">
        <f>IF(clean_mod!AF110="",L109,clean_mod!AF110)</f>
        <v xml:space="preserve">125.1-Nm </v>
      </c>
      <c r="M110" s="324" t="str">
        <f>IF(clean_mod!AG110="",M109,clean_mod!AG110)</f>
        <v>125.1-N_R</v>
      </c>
      <c r="N110" s="372" t="str">
        <f t="shared" si="8"/>
        <v>125-ctl-44</v>
      </c>
      <c r="O110" s="372" t="str">
        <f t="shared" si="9"/>
        <v>125-1-44</v>
      </c>
      <c r="P110" s="369">
        <v>44</v>
      </c>
      <c r="Q110" s="369" t="str">
        <f>LEFT(coder1_YH!AK110,1)</f>
        <v>0</v>
      </c>
      <c r="R110" s="369" t="str">
        <f>LEFT(coder1_YH!AL110,1)</f>
        <v>0</v>
      </c>
      <c r="S110" s="369" t="str">
        <f>coder1_YH!AJ110</f>
        <v>Information Text - Pond/desert</v>
      </c>
      <c r="T110" s="370" t="str">
        <f>coder1_YH!AN110</f>
        <v>NA</v>
      </c>
      <c r="U110" s="370" t="str">
        <f>coder1_YH!AO110</f>
        <v>NA</v>
      </c>
      <c r="V110" s="370" t="str">
        <f>coder1_YH!AP110</f>
        <v>NA</v>
      </c>
      <c r="W110" s="370">
        <f>coder1_YH!AQ110</f>
        <v>6.28</v>
      </c>
      <c r="X110" s="370">
        <f>coder1_YH!AR110</f>
        <v>1.33</v>
      </c>
      <c r="Y110" s="370">
        <f>coder1_YH!AS110</f>
        <v>32</v>
      </c>
      <c r="Z110" s="371" t="str">
        <f t="shared" si="10"/>
        <v>NA</v>
      </c>
      <c r="AA110" s="371" t="str">
        <f t="shared" si="11"/>
        <v>NA</v>
      </c>
      <c r="AB110" s="371" t="str">
        <f t="shared" si="12"/>
        <v>NA</v>
      </c>
      <c r="AC110" s="371">
        <f t="shared" si="13"/>
        <v>5.57</v>
      </c>
      <c r="AD110" s="371">
        <f t="shared" si="14"/>
        <v>1.64</v>
      </c>
      <c r="AE110" s="371">
        <f t="shared" si="15"/>
        <v>28</v>
      </c>
    </row>
    <row r="111" spans="1:31" x14ac:dyDescent="0.2">
      <c r="A111">
        <f>coder1_YH!B111</f>
        <v>0</v>
      </c>
      <c r="B111">
        <f>coder1_YH!C111</f>
        <v>111</v>
      </c>
      <c r="C111">
        <f>coder1_YH!D111</f>
        <v>0</v>
      </c>
      <c r="D111" t="str">
        <f>coder1_YH!E111</f>
        <v/>
      </c>
      <c r="E111" t="str">
        <f>coder1_YH!F111</f>
        <v/>
      </c>
      <c r="G111" t="str">
        <f>IF(coder1_YH!G111="",G110, coder1_YH!G111)</f>
        <v>Guthrie et al. 1999</v>
      </c>
      <c r="H111" s="405" t="str">
        <f>clean_mod!I111</f>
        <v>1999</v>
      </c>
      <c r="I111" t="str">
        <f>clean_mod!G111</f>
        <v>125</v>
      </c>
      <c r="J111">
        <f>clean_mod!H111</f>
        <v>125.1</v>
      </c>
      <c r="K111">
        <f>IF(coder1_YH!P111="",K110, coder1_YH!P111)</f>
        <v>1</v>
      </c>
      <c r="L111" s="324" t="str">
        <f>IF(clean_mod!AF111="",L110,clean_mod!AF111)</f>
        <v xml:space="preserve">125.1-Nm </v>
      </c>
      <c r="M111" s="324" t="str">
        <f>IF(clean_mod!AG111="",M110,clean_mod!AG111)</f>
        <v>125.1-N_R</v>
      </c>
      <c r="N111" s="372" t="str">
        <f t="shared" si="8"/>
        <v>125-ctl-45</v>
      </c>
      <c r="O111" s="372" t="str">
        <f t="shared" si="9"/>
        <v>125-1-45</v>
      </c>
      <c r="P111" s="369">
        <v>45</v>
      </c>
      <c r="Q111" s="369" t="str">
        <f>LEFT(coder1_YH!AK111,1)</f>
        <v>0</v>
      </c>
      <c r="R111" s="369" t="str">
        <f>LEFT(coder1_YH!AL111,1)</f>
        <v>0</v>
      </c>
      <c r="S111" s="369" t="str">
        <f>coder1_YH!AJ111</f>
        <v>Narrative Text - Pond/desert</v>
      </c>
      <c r="T111" s="370" t="str">
        <f>coder1_YH!AN111</f>
        <v>NA</v>
      </c>
      <c r="U111" s="370" t="str">
        <f>coder1_YH!AO111</f>
        <v>NA</v>
      </c>
      <c r="V111" s="370" t="str">
        <f>coder1_YH!AP111</f>
        <v>NA</v>
      </c>
      <c r="W111" s="370">
        <f>coder1_YH!AQ111</f>
        <v>6.03</v>
      </c>
      <c r="X111" s="370">
        <f>coder1_YH!AR111</f>
        <v>1.73</v>
      </c>
      <c r="Y111" s="370">
        <f>coder1_YH!AS111</f>
        <v>32</v>
      </c>
      <c r="Z111" s="371" t="str">
        <f t="shared" si="10"/>
        <v>NA</v>
      </c>
      <c r="AA111" s="371" t="str">
        <f t="shared" si="11"/>
        <v>NA</v>
      </c>
      <c r="AB111" s="371" t="str">
        <f t="shared" si="12"/>
        <v>NA</v>
      </c>
      <c r="AC111" s="371">
        <f t="shared" si="13"/>
        <v>5.59</v>
      </c>
      <c r="AD111" s="371">
        <f t="shared" si="14"/>
        <v>1.64</v>
      </c>
      <c r="AE111" s="371">
        <f t="shared" si="15"/>
        <v>28</v>
      </c>
    </row>
    <row r="112" spans="1:31" x14ac:dyDescent="0.2">
      <c r="A112">
        <f>coder1_YH!B112</f>
        <v>0</v>
      </c>
      <c r="B112">
        <f>coder1_YH!C112</f>
        <v>112</v>
      </c>
      <c r="C112">
        <f>coder1_YH!D112</f>
        <v>0</v>
      </c>
      <c r="D112" t="str">
        <f>coder1_YH!E112</f>
        <v/>
      </c>
      <c r="E112" t="str">
        <f>coder1_YH!F112</f>
        <v/>
      </c>
      <c r="G112" t="str">
        <f>IF(coder1_YH!G112="",G111, coder1_YH!G112)</f>
        <v>Guthrie et al. 1999</v>
      </c>
      <c r="H112" s="405" t="str">
        <f>clean_mod!I112</f>
        <v>1999</v>
      </c>
      <c r="I112" t="str">
        <f>clean_mod!G112</f>
        <v>125</v>
      </c>
      <c r="J112">
        <f>clean_mod!H112</f>
        <v>125.1</v>
      </c>
      <c r="K112">
        <f>IF(coder1_YH!P112="",K111, coder1_YH!P112)</f>
        <v>1</v>
      </c>
      <c r="L112" s="324" t="str">
        <f>IF(clean_mod!AF112="",L111,clean_mod!AF112)</f>
        <v xml:space="preserve">125.1-Nm </v>
      </c>
      <c r="M112" s="324" t="str">
        <f>IF(clean_mod!AG112="",M111,clean_mod!AG112)</f>
        <v>125.1-N_R</v>
      </c>
      <c r="N112" s="372" t="str">
        <f t="shared" si="8"/>
        <v>125-ctl-46</v>
      </c>
      <c r="O112" s="372" t="str">
        <f t="shared" si="9"/>
        <v>125-1-46</v>
      </c>
      <c r="P112" s="369">
        <v>46</v>
      </c>
      <c r="Q112" s="369" t="str">
        <f>LEFT(coder1_YH!AK112,1)</f>
        <v>1</v>
      </c>
      <c r="R112" s="369" t="str">
        <f>LEFT(coder1_YH!AL112,1)</f>
        <v>0</v>
      </c>
      <c r="S112" s="369" t="str">
        <f>coder1_YH!AJ112</f>
        <v>Pretest ONLY. Standardized reading</v>
      </c>
      <c r="T112" s="370">
        <f>coder1_YH!AN112</f>
        <v>47.79</v>
      </c>
      <c r="U112" s="370">
        <f>coder1_YH!AO112</f>
        <v>25.35</v>
      </c>
      <c r="V112" s="370">
        <f>coder1_YH!AP112</f>
        <v>32</v>
      </c>
      <c r="W112" s="370" t="str">
        <f>coder1_YH!AQ112</f>
        <v>NA</v>
      </c>
      <c r="X112" s="370" t="str">
        <f>coder1_YH!AR112</f>
        <v>NA</v>
      </c>
      <c r="Y112" s="370" t="str">
        <f>coder1_YH!AS112</f>
        <v>NA</v>
      </c>
      <c r="Z112" s="371">
        <f t="shared" si="10"/>
        <v>43.32</v>
      </c>
      <c r="AA112" s="371">
        <f t="shared" si="11"/>
        <v>34.25</v>
      </c>
      <c r="AB112" s="371">
        <f t="shared" si="12"/>
        <v>28</v>
      </c>
      <c r="AC112" s="371" t="str">
        <f t="shared" si="13"/>
        <v>NA</v>
      </c>
      <c r="AD112" s="371" t="str">
        <f t="shared" si="14"/>
        <v>NA</v>
      </c>
      <c r="AE112" s="371" t="str">
        <f t="shared" si="15"/>
        <v>NA</v>
      </c>
    </row>
    <row r="113" spans="1:31" x14ac:dyDescent="0.2">
      <c r="A113">
        <f>coder1_YH!B113</f>
        <v>0</v>
      </c>
      <c r="B113">
        <f>coder1_YH!C113</f>
        <v>113</v>
      </c>
      <c r="C113">
        <f>coder1_YH!D113</f>
        <v>0</v>
      </c>
      <c r="D113" t="str">
        <f>coder1_YH!E113</f>
        <v/>
      </c>
      <c r="E113" t="b">
        <f>coder1_YH!F113</f>
        <v>1</v>
      </c>
      <c r="G113" t="str">
        <f>IF(coder1_YH!G113="",G112, coder1_YH!G113)</f>
        <v>Guthrie et al. 1999</v>
      </c>
      <c r="H113" s="405" t="str">
        <f>clean_mod!I113</f>
        <v>1999</v>
      </c>
      <c r="I113" t="str">
        <f>clean_mod!G113</f>
        <v>125</v>
      </c>
      <c r="J113">
        <f>clean_mod!H113</f>
        <v>125.1</v>
      </c>
      <c r="K113" t="str">
        <f>IF(coder1_YH!P113="",K112, coder1_YH!P113)</f>
        <v>ctl</v>
      </c>
      <c r="L113" s="324" t="str">
        <f>IF(clean_mod!AF113="",L112,clean_mod!AF113)</f>
        <v xml:space="preserve">125.1-.m </v>
      </c>
      <c r="M113" s="324" t="str">
        <f>IF(clean_mod!AG113="",M112,clean_mod!AG113)</f>
        <v>125.1-R</v>
      </c>
      <c r="N113" s="372" t="str">
        <f t="shared" si="8"/>
        <v>125-ctl-44</v>
      </c>
      <c r="O113" s="372" t="str">
        <f t="shared" si="9"/>
        <v>125-ctl-44</v>
      </c>
      <c r="P113" s="369">
        <v>44</v>
      </c>
      <c r="Q113" s="369" t="str">
        <f>LEFT(coder1_YH!AK113,1)</f>
        <v>0</v>
      </c>
      <c r="R113" s="369" t="str">
        <f>LEFT(coder1_YH!AL113,1)</f>
        <v>0</v>
      </c>
      <c r="S113" s="369" t="str">
        <f>coder1_YH!AJ113</f>
        <v>Information Text - Pond/desert</v>
      </c>
      <c r="T113" s="370" t="str">
        <f>coder1_YH!AN113</f>
        <v>NA</v>
      </c>
      <c r="U113" s="370" t="str">
        <f>coder1_YH!AO113</f>
        <v>NA</v>
      </c>
      <c r="V113" s="370" t="str">
        <f>coder1_YH!AP113</f>
        <v>NA</v>
      </c>
      <c r="W113" s="370">
        <f>coder1_YH!AQ113</f>
        <v>5.57</v>
      </c>
      <c r="X113" s="370">
        <f>coder1_YH!AR113</f>
        <v>1.64</v>
      </c>
      <c r="Y113" s="370">
        <f>coder1_YH!AS113</f>
        <v>28</v>
      </c>
      <c r="Z113" s="371" t="str">
        <f t="shared" si="10"/>
        <v>NA</v>
      </c>
      <c r="AA113" s="371" t="str">
        <f t="shared" si="11"/>
        <v>NA</v>
      </c>
      <c r="AB113" s="371" t="str">
        <f t="shared" si="12"/>
        <v>NA</v>
      </c>
      <c r="AC113" s="371">
        <f t="shared" si="13"/>
        <v>5.57</v>
      </c>
      <c r="AD113" s="371">
        <f t="shared" si="14"/>
        <v>1.64</v>
      </c>
      <c r="AE113" s="371">
        <f t="shared" si="15"/>
        <v>28</v>
      </c>
    </row>
    <row r="114" spans="1:31" x14ac:dyDescent="0.2">
      <c r="A114">
        <f>coder1_YH!B114</f>
        <v>0</v>
      </c>
      <c r="B114">
        <f>coder1_YH!C114</f>
        <v>114</v>
      </c>
      <c r="C114">
        <f>coder1_YH!D114</f>
        <v>0</v>
      </c>
      <c r="D114" t="str">
        <f>coder1_YH!E114</f>
        <v/>
      </c>
      <c r="E114" t="str">
        <f>coder1_YH!F114</f>
        <v/>
      </c>
      <c r="G114" t="str">
        <f>IF(coder1_YH!G114="",G113, coder1_YH!G114)</f>
        <v>Guthrie et al. 1999</v>
      </c>
      <c r="H114" s="405" t="str">
        <f>clean_mod!I114</f>
        <v>1999</v>
      </c>
      <c r="I114" t="str">
        <f>clean_mod!G114</f>
        <v>125</v>
      </c>
      <c r="J114">
        <f>clean_mod!H114</f>
        <v>125.1</v>
      </c>
      <c r="K114" t="str">
        <f>IF(coder1_YH!P114="",K113, coder1_YH!P114)</f>
        <v>ctl</v>
      </c>
      <c r="L114" s="324" t="str">
        <f>IF(clean_mod!AF114="",L113,clean_mod!AF114)</f>
        <v xml:space="preserve">125.1-.m </v>
      </c>
      <c r="M114" s="324" t="str">
        <f>IF(clean_mod!AG114="",M113,clean_mod!AG114)</f>
        <v>125.1-R</v>
      </c>
      <c r="N114" s="372" t="str">
        <f t="shared" si="8"/>
        <v>125-ctl-45</v>
      </c>
      <c r="O114" s="372" t="str">
        <f t="shared" si="9"/>
        <v>125-ctl-45</v>
      </c>
      <c r="P114" s="369">
        <v>45</v>
      </c>
      <c r="Q114" s="369" t="str">
        <f>LEFT(coder1_YH!AK114,1)</f>
        <v>0</v>
      </c>
      <c r="R114" s="369" t="str">
        <f>LEFT(coder1_YH!AL114,1)</f>
        <v>0</v>
      </c>
      <c r="S114" s="369" t="str">
        <f>coder1_YH!AJ114</f>
        <v>Narrative Text - Pond/desert</v>
      </c>
      <c r="T114" s="370" t="str">
        <f>coder1_YH!AN114</f>
        <v>NA</v>
      </c>
      <c r="U114" s="370" t="str">
        <f>coder1_YH!AO114</f>
        <v>NA</v>
      </c>
      <c r="V114" s="370" t="str">
        <f>coder1_YH!AP114</f>
        <v>NA</v>
      </c>
      <c r="W114" s="370">
        <f>coder1_YH!AQ114</f>
        <v>5.59</v>
      </c>
      <c r="X114" s="370">
        <f>coder1_YH!AR114</f>
        <v>1.64</v>
      </c>
      <c r="Y114" s="370">
        <f>coder1_YH!AS114</f>
        <v>28</v>
      </c>
      <c r="Z114" s="371" t="str">
        <f t="shared" si="10"/>
        <v>NA</v>
      </c>
      <c r="AA114" s="371" t="str">
        <f t="shared" si="11"/>
        <v>NA</v>
      </c>
      <c r="AB114" s="371" t="str">
        <f t="shared" si="12"/>
        <v>NA</v>
      </c>
      <c r="AC114" s="371">
        <f t="shared" si="13"/>
        <v>5.59</v>
      </c>
      <c r="AD114" s="371">
        <f t="shared" si="14"/>
        <v>1.64</v>
      </c>
      <c r="AE114" s="371">
        <f t="shared" si="15"/>
        <v>28</v>
      </c>
    </row>
    <row r="115" spans="1:31" x14ac:dyDescent="0.2">
      <c r="A115">
        <f>coder1_YH!B115</f>
        <v>0</v>
      </c>
      <c r="B115">
        <f>coder1_YH!C115</f>
        <v>115</v>
      </c>
      <c r="C115">
        <f>coder1_YH!D115</f>
        <v>0</v>
      </c>
      <c r="D115" t="str">
        <f>coder1_YH!E115</f>
        <v/>
      </c>
      <c r="E115" t="str">
        <f>coder1_YH!F115</f>
        <v/>
      </c>
      <c r="G115" t="str">
        <f>IF(coder1_YH!G115="",G114, coder1_YH!G115)</f>
        <v>Guthrie et al. 1999</v>
      </c>
      <c r="H115" s="405" t="str">
        <f>clean_mod!I115</f>
        <v>1999</v>
      </c>
      <c r="I115" t="str">
        <f>clean_mod!G115</f>
        <v>125</v>
      </c>
      <c r="J115">
        <f>clean_mod!H115</f>
        <v>125.1</v>
      </c>
      <c r="K115" t="str">
        <f>IF(coder1_YH!P115="",K114, coder1_YH!P115)</f>
        <v>ctl</v>
      </c>
      <c r="L115" s="324" t="str">
        <f>IF(clean_mod!AF115="",L114,clean_mod!AF115)</f>
        <v xml:space="preserve">125.1-.m </v>
      </c>
      <c r="M115" s="324" t="str">
        <f>IF(clean_mod!AG115="",M114,clean_mod!AG115)</f>
        <v>125.1-R</v>
      </c>
      <c r="N115" s="372" t="str">
        <f t="shared" si="8"/>
        <v>125-ctl-46</v>
      </c>
      <c r="O115" s="372" t="str">
        <f t="shared" si="9"/>
        <v>125-ctl-46</v>
      </c>
      <c r="P115" s="369">
        <v>46</v>
      </c>
      <c r="Q115" s="369" t="str">
        <f>LEFT(coder1_YH!AK115,1)</f>
        <v>1</v>
      </c>
      <c r="R115" s="369" t="str">
        <f>LEFT(coder1_YH!AL115,1)</f>
        <v>0</v>
      </c>
      <c r="S115" s="369" t="str">
        <f>coder1_YH!AJ115</f>
        <v>Pretest ONLY. Standardized reading</v>
      </c>
      <c r="T115" s="370">
        <f>coder1_YH!AN115</f>
        <v>43.32</v>
      </c>
      <c r="U115" s="370">
        <f>coder1_YH!AO115</f>
        <v>34.25</v>
      </c>
      <c r="V115" s="370">
        <f>coder1_YH!AP115</f>
        <v>28</v>
      </c>
      <c r="W115" s="370" t="str">
        <f>coder1_YH!AQ115</f>
        <v>NA</v>
      </c>
      <c r="X115" s="370" t="str">
        <f>coder1_YH!AR115</f>
        <v>NA</v>
      </c>
      <c r="Y115" s="370" t="str">
        <f>coder1_YH!AS115</f>
        <v>NA</v>
      </c>
      <c r="Z115" s="371">
        <f t="shared" si="10"/>
        <v>43.32</v>
      </c>
      <c r="AA115" s="371">
        <f t="shared" si="11"/>
        <v>34.25</v>
      </c>
      <c r="AB115" s="371">
        <f t="shared" si="12"/>
        <v>28</v>
      </c>
      <c r="AC115" s="371" t="str">
        <f t="shared" si="13"/>
        <v>NA</v>
      </c>
      <c r="AD115" s="371" t="str">
        <f t="shared" si="14"/>
        <v>NA</v>
      </c>
      <c r="AE115" s="371" t="str">
        <f t="shared" si="15"/>
        <v>NA</v>
      </c>
    </row>
    <row r="116" spans="1:31" x14ac:dyDescent="0.2">
      <c r="A116">
        <f>coder1_YH!B116</f>
        <v>0</v>
      </c>
      <c r="B116">
        <f>coder1_YH!C116</f>
        <v>116</v>
      </c>
      <c r="C116">
        <f>coder1_YH!D116</f>
        <v>0</v>
      </c>
      <c r="D116" t="b">
        <f>coder1_YH!E116</f>
        <v>1</v>
      </c>
      <c r="E116" t="b">
        <f>coder1_YH!F116</f>
        <v>1</v>
      </c>
      <c r="G116" t="str">
        <f>IF(coder1_YH!G116="",G115, coder1_YH!G116)</f>
        <v>Guthrie et al. 1999</v>
      </c>
      <c r="H116" s="405" t="str">
        <f>clean_mod!I116</f>
        <v>1999</v>
      </c>
      <c r="I116" t="str">
        <f>clean_mod!G116</f>
        <v>125</v>
      </c>
      <c r="J116">
        <f>clean_mod!H116</f>
        <v>125.19999999999999</v>
      </c>
      <c r="K116">
        <f>IF(coder1_YH!P116="",K115, coder1_YH!P116)</f>
        <v>1</v>
      </c>
      <c r="L116" s="324" t="str">
        <f>IF(clean_mod!AF116="",L115,clean_mod!AF116)</f>
        <v xml:space="preserve">125.2-Nm </v>
      </c>
      <c r="M116" s="324" t="str">
        <f>IF(clean_mod!AG116="",M115,clean_mod!AG116)</f>
        <v>125.2-N_R</v>
      </c>
      <c r="N116" s="372" t="str">
        <f t="shared" si="8"/>
        <v>125-ctl-47</v>
      </c>
      <c r="O116" s="372" t="str">
        <f t="shared" si="9"/>
        <v>125-1-47</v>
      </c>
      <c r="P116" s="369">
        <v>47</v>
      </c>
      <c r="Q116" s="369" t="str">
        <f>LEFT(coder1_YH!AK116,1)</f>
        <v>0</v>
      </c>
      <c r="R116" s="369" t="str">
        <f>LEFT(coder1_YH!AL116,1)</f>
        <v>0</v>
      </c>
      <c r="S116" s="369" t="str">
        <f>coder1_YH!AJ116</f>
        <v>Information Text - Volcano/river</v>
      </c>
      <c r="T116" s="370" t="str">
        <f>coder1_YH!AN116</f>
        <v>NA</v>
      </c>
      <c r="U116" s="370" t="str">
        <f>coder1_YH!AO116</f>
        <v>NA</v>
      </c>
      <c r="V116" s="370" t="str">
        <f>coder1_YH!AP116</f>
        <v>NA</v>
      </c>
      <c r="W116" s="370">
        <f>coder1_YH!AQ116</f>
        <v>8.09</v>
      </c>
      <c r="X116" s="370">
        <f>coder1_YH!AR116</f>
        <v>1.59</v>
      </c>
      <c r="Y116" s="370">
        <f>coder1_YH!AS116</f>
        <v>33</v>
      </c>
      <c r="Z116" s="371" t="str">
        <f t="shared" si="10"/>
        <v>NA</v>
      </c>
      <c r="AA116" s="371" t="str">
        <f t="shared" si="11"/>
        <v>NA</v>
      </c>
      <c r="AB116" s="371" t="str">
        <f t="shared" si="12"/>
        <v>NA</v>
      </c>
      <c r="AC116" s="371">
        <f t="shared" si="13"/>
        <v>7.88</v>
      </c>
      <c r="AD116" s="371">
        <f t="shared" si="14"/>
        <v>1.72</v>
      </c>
      <c r="AE116" s="371">
        <f t="shared" si="15"/>
        <v>27</v>
      </c>
    </row>
    <row r="117" spans="1:31" x14ac:dyDescent="0.2">
      <c r="A117">
        <f>coder1_YH!B117</f>
        <v>0</v>
      </c>
      <c r="B117">
        <f>coder1_YH!C117</f>
        <v>117</v>
      </c>
      <c r="C117">
        <f>coder1_YH!D117</f>
        <v>0</v>
      </c>
      <c r="D117" t="str">
        <f>coder1_YH!E117</f>
        <v/>
      </c>
      <c r="E117" t="str">
        <f>coder1_YH!F117</f>
        <v/>
      </c>
      <c r="G117" t="str">
        <f>IF(coder1_YH!G117="",G116, coder1_YH!G117)</f>
        <v>Guthrie et al. 1999</v>
      </c>
      <c r="H117" s="405" t="str">
        <f>clean_mod!I117</f>
        <v>1999</v>
      </c>
      <c r="I117" t="str">
        <f>clean_mod!G117</f>
        <v>125</v>
      </c>
      <c r="J117">
        <f>clean_mod!H117</f>
        <v>125.19999999999999</v>
      </c>
      <c r="K117">
        <f>IF(coder1_YH!P117="",K116, coder1_YH!P117)</f>
        <v>1</v>
      </c>
      <c r="L117" s="324" t="str">
        <f>IF(clean_mod!AF117="",L116,clean_mod!AF117)</f>
        <v xml:space="preserve">125.2-Nm </v>
      </c>
      <c r="M117" s="324" t="str">
        <f>IF(clean_mod!AG117="",M116,clean_mod!AG117)</f>
        <v>125.2-N_R</v>
      </c>
      <c r="N117" s="372" t="str">
        <f t="shared" si="8"/>
        <v>125-ctl-48</v>
      </c>
      <c r="O117" s="372" t="str">
        <f t="shared" si="9"/>
        <v>125-1-48</v>
      </c>
      <c r="P117" s="369">
        <v>48</v>
      </c>
      <c r="Q117" s="369" t="str">
        <f>LEFT(coder1_YH!AK117,1)</f>
        <v>0</v>
      </c>
      <c r="R117" s="369" t="str">
        <f>LEFT(coder1_YH!AL117,1)</f>
        <v>0</v>
      </c>
      <c r="S117" s="369" t="str">
        <f>coder1_YH!AJ117</f>
        <v>Narrative Text - Volcano/river</v>
      </c>
      <c r="T117" s="370" t="str">
        <f>coder1_YH!AN117</f>
        <v>NA</v>
      </c>
      <c r="U117" s="370" t="str">
        <f>coder1_YH!AO117</f>
        <v>NA</v>
      </c>
      <c r="V117" s="370" t="str">
        <f>coder1_YH!AP117</f>
        <v>NA</v>
      </c>
      <c r="W117" s="370">
        <f>coder1_YH!AQ117</f>
        <v>4.76</v>
      </c>
      <c r="X117" s="370">
        <f>coder1_YH!AR117</f>
        <v>1.2</v>
      </c>
      <c r="Y117" s="370">
        <f>coder1_YH!AS117</f>
        <v>33</v>
      </c>
      <c r="Z117" s="371" t="str">
        <f t="shared" si="10"/>
        <v>NA</v>
      </c>
      <c r="AA117" s="371" t="str">
        <f t="shared" si="11"/>
        <v>NA</v>
      </c>
      <c r="AB117" s="371" t="str">
        <f t="shared" si="12"/>
        <v>NA</v>
      </c>
      <c r="AC117" s="371">
        <f t="shared" si="13"/>
        <v>4</v>
      </c>
      <c r="AD117" s="371">
        <f t="shared" si="14"/>
        <v>0.87</v>
      </c>
      <c r="AE117" s="371">
        <f t="shared" si="15"/>
        <v>27</v>
      </c>
    </row>
    <row r="118" spans="1:31" x14ac:dyDescent="0.2">
      <c r="A118">
        <f>coder1_YH!B118</f>
        <v>0</v>
      </c>
      <c r="B118">
        <f>coder1_YH!C118</f>
        <v>118</v>
      </c>
      <c r="C118">
        <f>coder1_YH!D118</f>
        <v>0</v>
      </c>
      <c r="D118" t="str">
        <f>coder1_YH!E118</f>
        <v/>
      </c>
      <c r="E118" t="str">
        <f>coder1_YH!F118</f>
        <v/>
      </c>
      <c r="G118" t="str">
        <f>IF(coder1_YH!G118="",G117, coder1_YH!G118)</f>
        <v>Guthrie et al. 1999</v>
      </c>
      <c r="H118" s="405" t="str">
        <f>clean_mod!I118</f>
        <v>1999</v>
      </c>
      <c r="I118" t="str">
        <f>clean_mod!G118</f>
        <v>125</v>
      </c>
      <c r="J118">
        <f>clean_mod!H118</f>
        <v>125.19999999999999</v>
      </c>
      <c r="K118">
        <f>IF(coder1_YH!P118="",K117, coder1_YH!P118)</f>
        <v>1</v>
      </c>
      <c r="L118" s="324" t="str">
        <f>IF(clean_mod!AF118="",L117,clean_mod!AF118)</f>
        <v xml:space="preserve">125.2-Nm </v>
      </c>
      <c r="M118" s="324" t="str">
        <f>IF(clean_mod!AG118="",M117,clean_mod!AG118)</f>
        <v>125.2-N_R</v>
      </c>
      <c r="N118" s="372" t="str">
        <f t="shared" si="8"/>
        <v>125-ctl-49</v>
      </c>
      <c r="O118" s="372" t="str">
        <f t="shared" si="9"/>
        <v>125-1-49</v>
      </c>
      <c r="P118" s="369">
        <v>49</v>
      </c>
      <c r="Q118" s="369" t="str">
        <f>LEFT(coder1_YH!AK118,1)</f>
        <v>1</v>
      </c>
      <c r="R118" s="369" t="str">
        <f>LEFT(coder1_YH!AL118,1)</f>
        <v>0</v>
      </c>
      <c r="S118" s="369" t="str">
        <f>coder1_YH!AJ118</f>
        <v>Pretest ONLY. Standardized reading</v>
      </c>
      <c r="T118" s="370">
        <f>coder1_YH!AN118</f>
        <v>53.35</v>
      </c>
      <c r="U118" s="370">
        <f>coder1_YH!AO118</f>
        <v>30.29</v>
      </c>
      <c r="V118" s="370">
        <f>coder1_YH!AP118</f>
        <v>33</v>
      </c>
      <c r="W118" s="370" t="str">
        <f>coder1_YH!AQ118</f>
        <v>NA</v>
      </c>
      <c r="X118" s="370" t="str">
        <f>coder1_YH!AR118</f>
        <v>NA</v>
      </c>
      <c r="Y118" s="370" t="str">
        <f>coder1_YH!AS118</f>
        <v>NA</v>
      </c>
      <c r="Z118" s="371">
        <f t="shared" si="10"/>
        <v>38.31</v>
      </c>
      <c r="AA118" s="371">
        <f t="shared" si="11"/>
        <v>35.56</v>
      </c>
      <c r="AB118" s="371">
        <f t="shared" si="12"/>
        <v>27</v>
      </c>
      <c r="AC118" s="371" t="str">
        <f t="shared" si="13"/>
        <v>NA</v>
      </c>
      <c r="AD118" s="371" t="str">
        <f t="shared" si="14"/>
        <v>NA</v>
      </c>
      <c r="AE118" s="371" t="str">
        <f t="shared" si="15"/>
        <v>NA</v>
      </c>
    </row>
    <row r="119" spans="1:31" x14ac:dyDescent="0.2">
      <c r="A119">
        <f>coder1_YH!B119</f>
        <v>0</v>
      </c>
      <c r="B119">
        <f>coder1_YH!C119</f>
        <v>119</v>
      </c>
      <c r="C119">
        <f>coder1_YH!D119</f>
        <v>0</v>
      </c>
      <c r="D119" t="str">
        <f>coder1_YH!E119</f>
        <v/>
      </c>
      <c r="E119" t="b">
        <f>coder1_YH!F119</f>
        <v>1</v>
      </c>
      <c r="G119" t="str">
        <f>IF(coder1_YH!G119="",G118, coder1_YH!G119)</f>
        <v>Guthrie et al. 1999</v>
      </c>
      <c r="H119" s="405" t="str">
        <f>clean_mod!I119</f>
        <v>1999</v>
      </c>
      <c r="I119" t="str">
        <f>clean_mod!G119</f>
        <v>125</v>
      </c>
      <c r="J119">
        <f>clean_mod!H119</f>
        <v>125.19999999999999</v>
      </c>
      <c r="K119" t="str">
        <f>IF(coder1_YH!P119="",K118, coder1_YH!P119)</f>
        <v>ctl</v>
      </c>
      <c r="L119" s="324" t="str">
        <f>IF(clean_mod!AF119="",L118,clean_mod!AF119)</f>
        <v xml:space="preserve">125.2-.m </v>
      </c>
      <c r="M119" s="324" t="str">
        <f>IF(clean_mod!AG119="",M118,clean_mod!AG119)</f>
        <v>125.2-R</v>
      </c>
      <c r="N119" s="372" t="str">
        <f t="shared" si="8"/>
        <v>125-ctl-47</v>
      </c>
      <c r="O119" s="372" t="str">
        <f t="shared" si="9"/>
        <v>125-ctl-47</v>
      </c>
      <c r="P119" s="369">
        <v>47</v>
      </c>
      <c r="Q119" s="369" t="str">
        <f>LEFT(coder1_YH!AK119,1)</f>
        <v>0</v>
      </c>
      <c r="R119" s="369" t="str">
        <f>LEFT(coder1_YH!AL119,1)</f>
        <v>0</v>
      </c>
      <c r="S119" s="369" t="str">
        <f>coder1_YH!AJ119</f>
        <v>Information Text - Volcano/river</v>
      </c>
      <c r="T119" s="370" t="str">
        <f>coder1_YH!AN119</f>
        <v>NA</v>
      </c>
      <c r="U119" s="370" t="str">
        <f>coder1_YH!AO119</f>
        <v>NA</v>
      </c>
      <c r="V119" s="370" t="str">
        <f>coder1_YH!AP119</f>
        <v>NA</v>
      </c>
      <c r="W119" s="370">
        <f>coder1_YH!AQ119</f>
        <v>7.88</v>
      </c>
      <c r="X119" s="370">
        <f>coder1_YH!AR119</f>
        <v>1.72</v>
      </c>
      <c r="Y119" s="370">
        <f>coder1_YH!AS119</f>
        <v>27</v>
      </c>
      <c r="Z119" s="371" t="str">
        <f t="shared" si="10"/>
        <v>NA</v>
      </c>
      <c r="AA119" s="371" t="str">
        <f t="shared" si="11"/>
        <v>NA</v>
      </c>
      <c r="AB119" s="371" t="str">
        <f t="shared" si="12"/>
        <v>NA</v>
      </c>
      <c r="AC119" s="371">
        <f t="shared" si="13"/>
        <v>7.88</v>
      </c>
      <c r="AD119" s="371">
        <f t="shared" si="14"/>
        <v>1.72</v>
      </c>
      <c r="AE119" s="371">
        <f t="shared" si="15"/>
        <v>27</v>
      </c>
    </row>
    <row r="120" spans="1:31" x14ac:dyDescent="0.2">
      <c r="A120">
        <f>coder1_YH!B120</f>
        <v>0</v>
      </c>
      <c r="B120">
        <f>coder1_YH!C120</f>
        <v>120</v>
      </c>
      <c r="C120">
        <f>coder1_YH!D120</f>
        <v>0</v>
      </c>
      <c r="D120" t="str">
        <f>coder1_YH!E120</f>
        <v/>
      </c>
      <c r="E120" t="str">
        <f>coder1_YH!F120</f>
        <v/>
      </c>
      <c r="G120" t="str">
        <f>IF(coder1_YH!G120="",G119, coder1_YH!G120)</f>
        <v>Guthrie et al. 1999</v>
      </c>
      <c r="H120" s="405" t="str">
        <f>clean_mod!I120</f>
        <v>1999</v>
      </c>
      <c r="I120" t="str">
        <f>clean_mod!G120</f>
        <v>125</v>
      </c>
      <c r="J120">
        <f>clean_mod!H120</f>
        <v>125.19999999999999</v>
      </c>
      <c r="K120" t="str">
        <f>IF(coder1_YH!P120="",K119, coder1_YH!P120)</f>
        <v>ctl</v>
      </c>
      <c r="L120" s="324" t="str">
        <f>IF(clean_mod!AF120="",L119,clean_mod!AF120)</f>
        <v xml:space="preserve">125.2-.m </v>
      </c>
      <c r="M120" s="324" t="str">
        <f>IF(clean_mod!AG120="",M119,clean_mod!AG120)</f>
        <v>125.2-R</v>
      </c>
      <c r="N120" s="372" t="str">
        <f t="shared" si="8"/>
        <v>125-ctl-48</v>
      </c>
      <c r="O120" s="372" t="str">
        <f t="shared" si="9"/>
        <v>125-ctl-48</v>
      </c>
      <c r="P120" s="369">
        <v>48</v>
      </c>
      <c r="Q120" s="369" t="str">
        <f>LEFT(coder1_YH!AK120,1)</f>
        <v>0</v>
      </c>
      <c r="R120" s="369" t="str">
        <f>LEFT(coder1_YH!AL120,1)</f>
        <v>0</v>
      </c>
      <c r="S120" s="369" t="str">
        <f>coder1_YH!AJ120</f>
        <v>Narrative Text - Volcano/river</v>
      </c>
      <c r="T120" s="370" t="str">
        <f>coder1_YH!AN120</f>
        <v>NA</v>
      </c>
      <c r="U120" s="370" t="str">
        <f>coder1_YH!AO120</f>
        <v>NA</v>
      </c>
      <c r="V120" s="370" t="str">
        <f>coder1_YH!AP120</f>
        <v>NA</v>
      </c>
      <c r="W120" s="370">
        <f>coder1_YH!AQ120</f>
        <v>4</v>
      </c>
      <c r="X120" s="370">
        <f>coder1_YH!AR120</f>
        <v>0.87</v>
      </c>
      <c r="Y120" s="370">
        <f>coder1_YH!AS120</f>
        <v>27</v>
      </c>
      <c r="Z120" s="371" t="str">
        <f t="shared" si="10"/>
        <v>NA</v>
      </c>
      <c r="AA120" s="371" t="str">
        <f t="shared" si="11"/>
        <v>NA</v>
      </c>
      <c r="AB120" s="371" t="str">
        <f t="shared" si="12"/>
        <v>NA</v>
      </c>
      <c r="AC120" s="371">
        <f t="shared" si="13"/>
        <v>4</v>
      </c>
      <c r="AD120" s="371">
        <f t="shared" si="14"/>
        <v>0.87</v>
      </c>
      <c r="AE120" s="371">
        <f t="shared" si="15"/>
        <v>27</v>
      </c>
    </row>
    <row r="121" spans="1:31" x14ac:dyDescent="0.2">
      <c r="A121">
        <f>coder1_YH!B121</f>
        <v>0</v>
      </c>
      <c r="B121">
        <f>coder1_YH!C121</f>
        <v>121</v>
      </c>
      <c r="C121">
        <f>coder1_YH!D121</f>
        <v>0</v>
      </c>
      <c r="D121" t="str">
        <f>coder1_YH!E121</f>
        <v/>
      </c>
      <c r="E121" t="str">
        <f>coder1_YH!F121</f>
        <v/>
      </c>
      <c r="G121" t="str">
        <f>IF(coder1_YH!G121="",G120, coder1_YH!G121)</f>
        <v>Guthrie et al. 1999</v>
      </c>
      <c r="H121" s="405" t="str">
        <f>clean_mod!I121</f>
        <v>1999</v>
      </c>
      <c r="I121" t="str">
        <f>clean_mod!G121</f>
        <v>125</v>
      </c>
      <c r="J121">
        <f>clean_mod!H121</f>
        <v>125.19999999999999</v>
      </c>
      <c r="K121" t="str">
        <f>IF(coder1_YH!P121="",K120, coder1_YH!P121)</f>
        <v>ctl</v>
      </c>
      <c r="L121" s="324" t="str">
        <f>IF(clean_mod!AF121="",L120,clean_mod!AF121)</f>
        <v xml:space="preserve">125.2-.m </v>
      </c>
      <c r="M121" s="324" t="str">
        <f>IF(clean_mod!AG121="",M120,clean_mod!AG121)</f>
        <v>125.2-R</v>
      </c>
      <c r="N121" s="372" t="str">
        <f t="shared" si="8"/>
        <v>125-ctl-49</v>
      </c>
      <c r="O121" s="372" t="str">
        <f t="shared" si="9"/>
        <v>125-ctl-49</v>
      </c>
      <c r="P121" s="369">
        <v>49</v>
      </c>
      <c r="Q121" s="369" t="str">
        <f>LEFT(coder1_YH!AK121,1)</f>
        <v>1</v>
      </c>
      <c r="R121" s="369" t="str">
        <f>LEFT(coder1_YH!AL121,1)</f>
        <v>0</v>
      </c>
      <c r="S121" s="369" t="str">
        <f>coder1_YH!AJ121</f>
        <v>Pretest ONLY. Standardized reading</v>
      </c>
      <c r="T121" s="370">
        <f>coder1_YH!AN121</f>
        <v>38.31</v>
      </c>
      <c r="U121" s="370">
        <f>coder1_YH!AO121</f>
        <v>35.56</v>
      </c>
      <c r="V121" s="370">
        <f>coder1_YH!AP121</f>
        <v>27</v>
      </c>
      <c r="W121" s="370" t="str">
        <f>coder1_YH!AQ121</f>
        <v>NA</v>
      </c>
      <c r="X121" s="370" t="str">
        <f>coder1_YH!AR121</f>
        <v>NA</v>
      </c>
      <c r="Y121" s="370" t="str">
        <f>coder1_YH!AS121</f>
        <v>NA</v>
      </c>
      <c r="Z121" s="371">
        <f t="shared" si="10"/>
        <v>38.31</v>
      </c>
      <c r="AA121" s="371">
        <f t="shared" si="11"/>
        <v>35.56</v>
      </c>
      <c r="AB121" s="371">
        <f t="shared" si="12"/>
        <v>27</v>
      </c>
      <c r="AC121" s="371" t="str">
        <f t="shared" si="13"/>
        <v>NA</v>
      </c>
      <c r="AD121" s="371" t="str">
        <f t="shared" si="14"/>
        <v>NA</v>
      </c>
      <c r="AE121" s="371" t="str">
        <f t="shared" si="15"/>
        <v>NA</v>
      </c>
    </row>
    <row r="122" spans="1:31" x14ac:dyDescent="0.2">
      <c r="A122">
        <f>coder1_YH!B122</f>
        <v>0</v>
      </c>
      <c r="B122">
        <f>coder1_YH!C122</f>
        <v>122</v>
      </c>
      <c r="C122">
        <f>coder1_YH!D122</f>
        <v>0</v>
      </c>
      <c r="D122" t="b">
        <f>coder1_YH!E122</f>
        <v>1</v>
      </c>
      <c r="E122" t="b">
        <f>coder1_YH!F122</f>
        <v>1</v>
      </c>
      <c r="G122" t="str">
        <f>IF(coder1_YH!G122="",G121, coder1_YH!G122)</f>
        <v>Guthrie et al. 1999</v>
      </c>
      <c r="H122" s="405" t="str">
        <f>clean_mod!I122</f>
        <v>1999</v>
      </c>
      <c r="I122" t="str">
        <f>clean_mod!G122</f>
        <v>125</v>
      </c>
      <c r="J122">
        <f>clean_mod!H122</f>
        <v>125.29999999999998</v>
      </c>
      <c r="K122">
        <f>IF(coder1_YH!P122="",K121, coder1_YH!P122)</f>
        <v>1</v>
      </c>
      <c r="L122" s="324" t="str">
        <f>IF(clean_mod!AF122="",L121,clean_mod!AF122)</f>
        <v xml:space="preserve">125.3-Nm </v>
      </c>
      <c r="M122" s="324" t="str">
        <f>IF(clean_mod!AG122="",M121,clean_mod!AG122)</f>
        <v>125.3-N_R</v>
      </c>
      <c r="N122" s="372" t="str">
        <f t="shared" si="8"/>
        <v>125-ctl-50</v>
      </c>
      <c r="O122" s="372" t="str">
        <f t="shared" si="9"/>
        <v>125-1-50</v>
      </c>
      <c r="P122" s="369">
        <v>50</v>
      </c>
      <c r="Q122" s="369" t="str">
        <f>LEFT(coder1_YH!AK122,1)</f>
        <v>0</v>
      </c>
      <c r="R122" s="369" t="str">
        <f>LEFT(coder1_YH!AL122,1)</f>
        <v>0</v>
      </c>
      <c r="S122" s="369" t="str">
        <f>coder1_YH!AJ122</f>
        <v>Information Text - Pond/desert</v>
      </c>
      <c r="T122" s="370" t="str">
        <f>coder1_YH!AN122</f>
        <v>NA</v>
      </c>
      <c r="U122" s="370" t="str">
        <f>coder1_YH!AO122</f>
        <v>NA</v>
      </c>
      <c r="V122" s="370" t="str">
        <f>coder1_YH!AP122</f>
        <v>NA</v>
      </c>
      <c r="W122" s="370">
        <f>coder1_YH!AQ122</f>
        <v>7.92</v>
      </c>
      <c r="X122" s="370">
        <f>coder1_YH!AR122</f>
        <v>1.54</v>
      </c>
      <c r="Y122" s="370">
        <f>coder1_YH!AS122</f>
        <v>23</v>
      </c>
      <c r="Z122" s="371" t="str">
        <f t="shared" si="10"/>
        <v>NA</v>
      </c>
      <c r="AA122" s="371" t="str">
        <f t="shared" si="11"/>
        <v>NA</v>
      </c>
      <c r="AB122" s="371" t="str">
        <f t="shared" si="12"/>
        <v>NA</v>
      </c>
      <c r="AC122" s="371">
        <f t="shared" si="13"/>
        <v>7.35</v>
      </c>
      <c r="AD122" s="371">
        <f t="shared" si="14"/>
        <v>1.54</v>
      </c>
      <c r="AE122" s="371">
        <f t="shared" si="15"/>
        <v>24</v>
      </c>
    </row>
    <row r="123" spans="1:31" x14ac:dyDescent="0.2">
      <c r="A123">
        <f>coder1_YH!B123</f>
        <v>0</v>
      </c>
      <c r="B123">
        <f>coder1_YH!C123</f>
        <v>123</v>
      </c>
      <c r="C123">
        <f>coder1_YH!D123</f>
        <v>0</v>
      </c>
      <c r="D123" t="str">
        <f>coder1_YH!E123</f>
        <v/>
      </c>
      <c r="E123" t="str">
        <f>coder1_YH!F123</f>
        <v/>
      </c>
      <c r="G123" t="str">
        <f>IF(coder1_YH!G123="",G122, coder1_YH!G123)</f>
        <v>Guthrie et al. 1999</v>
      </c>
      <c r="H123" s="405" t="str">
        <f>clean_mod!I123</f>
        <v>1999</v>
      </c>
      <c r="I123" t="str">
        <f>clean_mod!G123</f>
        <v>125</v>
      </c>
      <c r="J123">
        <f>clean_mod!H123</f>
        <v>125.29999999999998</v>
      </c>
      <c r="K123">
        <f>IF(coder1_YH!P123="",K122, coder1_YH!P123)</f>
        <v>1</v>
      </c>
      <c r="L123" s="324" t="str">
        <f>IF(clean_mod!AF123="",L122,clean_mod!AF123)</f>
        <v xml:space="preserve">125.3-Nm </v>
      </c>
      <c r="M123" s="324" t="str">
        <f>IF(clean_mod!AG123="",M122,clean_mod!AG123)</f>
        <v>125.3-N_R</v>
      </c>
      <c r="N123" s="372" t="str">
        <f t="shared" si="8"/>
        <v>125-ctl-51</v>
      </c>
      <c r="O123" s="372" t="str">
        <f t="shared" si="9"/>
        <v>125-1-51</v>
      </c>
      <c r="P123" s="369">
        <v>51</v>
      </c>
      <c r="Q123" s="369" t="str">
        <f>LEFT(coder1_YH!AK123,1)</f>
        <v>0</v>
      </c>
      <c r="R123" s="369" t="str">
        <f>LEFT(coder1_YH!AL123,1)</f>
        <v>0</v>
      </c>
      <c r="S123" s="369" t="str">
        <f>coder1_YH!AJ123</f>
        <v>Narrative Text - Pond/desert</v>
      </c>
      <c r="T123" s="370" t="str">
        <f>coder1_YH!AN123</f>
        <v>NA</v>
      </c>
      <c r="U123" s="370" t="str">
        <f>coder1_YH!AO123</f>
        <v>NA</v>
      </c>
      <c r="V123" s="370" t="str">
        <f>coder1_YH!AP123</f>
        <v>NA</v>
      </c>
      <c r="W123" s="370">
        <f>coder1_YH!AQ123</f>
        <v>5.4</v>
      </c>
      <c r="X123" s="370">
        <f>coder1_YH!AR123</f>
        <v>1.34</v>
      </c>
      <c r="Y123" s="370">
        <f>coder1_YH!AS123</f>
        <v>23</v>
      </c>
      <c r="Z123" s="371" t="str">
        <f t="shared" si="10"/>
        <v>NA</v>
      </c>
      <c r="AA123" s="371" t="str">
        <f t="shared" si="11"/>
        <v>NA</v>
      </c>
      <c r="AB123" s="371" t="str">
        <f t="shared" si="12"/>
        <v>NA</v>
      </c>
      <c r="AC123" s="371">
        <f t="shared" si="13"/>
        <v>4.4400000000000004</v>
      </c>
      <c r="AD123" s="371">
        <f t="shared" si="14"/>
        <v>1.34</v>
      </c>
      <c r="AE123" s="371">
        <f t="shared" si="15"/>
        <v>24</v>
      </c>
    </row>
    <row r="124" spans="1:31" x14ac:dyDescent="0.2">
      <c r="A124">
        <f>coder1_YH!B124</f>
        <v>0</v>
      </c>
      <c r="B124">
        <f>coder1_YH!C124</f>
        <v>124</v>
      </c>
      <c r="C124">
        <f>coder1_YH!D124</f>
        <v>0</v>
      </c>
      <c r="D124" t="str">
        <f>coder1_YH!E124</f>
        <v/>
      </c>
      <c r="E124" t="str">
        <f>coder1_YH!F124</f>
        <v/>
      </c>
      <c r="G124" t="str">
        <f>IF(coder1_YH!G124="",G123, coder1_YH!G124)</f>
        <v>Guthrie et al. 1999</v>
      </c>
      <c r="H124" s="405" t="str">
        <f>clean_mod!I124</f>
        <v>1999</v>
      </c>
      <c r="I124" t="str">
        <f>clean_mod!G124</f>
        <v>125</v>
      </c>
      <c r="J124">
        <f>clean_mod!H124</f>
        <v>125.29999999999998</v>
      </c>
      <c r="K124">
        <f>IF(coder1_YH!P124="",K123, coder1_YH!P124)</f>
        <v>1</v>
      </c>
      <c r="L124" s="324" t="str">
        <f>IF(clean_mod!AF124="",L123,clean_mod!AF124)</f>
        <v xml:space="preserve">125.3-Nm </v>
      </c>
      <c r="M124" s="324" t="str">
        <f>IF(clean_mod!AG124="",M123,clean_mod!AG124)</f>
        <v>125.3-N_R</v>
      </c>
      <c r="N124" s="372" t="str">
        <f t="shared" si="8"/>
        <v>125-ctl-52</v>
      </c>
      <c r="O124" s="372" t="str">
        <f t="shared" si="9"/>
        <v>125-1-52</v>
      </c>
      <c r="P124" s="369">
        <v>52</v>
      </c>
      <c r="Q124" s="369" t="str">
        <f>LEFT(coder1_YH!AK124,1)</f>
        <v>1</v>
      </c>
      <c r="R124" s="369" t="str">
        <f>LEFT(coder1_YH!AL124,1)</f>
        <v>0</v>
      </c>
      <c r="S124" s="369" t="str">
        <f>coder1_YH!AJ124</f>
        <v>Pretest ONLY. Standardized reading</v>
      </c>
      <c r="T124" s="370">
        <f>coder1_YH!AN124</f>
        <v>43.29</v>
      </c>
      <c r="U124" s="370">
        <f>coder1_YH!AO124</f>
        <v>11.77</v>
      </c>
      <c r="V124" s="370">
        <f>coder1_YH!AP124</f>
        <v>23</v>
      </c>
      <c r="W124" s="370" t="str">
        <f>coder1_YH!AQ124</f>
        <v>NA</v>
      </c>
      <c r="X124" s="370" t="str">
        <f>coder1_YH!AR124</f>
        <v>NA</v>
      </c>
      <c r="Y124" s="370" t="str">
        <f>coder1_YH!AS124</f>
        <v>NA</v>
      </c>
      <c r="Z124" s="371">
        <f t="shared" si="10"/>
        <v>37.46</v>
      </c>
      <c r="AA124" s="371">
        <f t="shared" si="11"/>
        <v>12.6</v>
      </c>
      <c r="AB124" s="371">
        <f t="shared" si="12"/>
        <v>24</v>
      </c>
      <c r="AC124" s="371" t="str">
        <f t="shared" si="13"/>
        <v>NA</v>
      </c>
      <c r="AD124" s="371" t="str">
        <f t="shared" si="14"/>
        <v>NA</v>
      </c>
      <c r="AE124" s="371" t="str">
        <f t="shared" si="15"/>
        <v>NA</v>
      </c>
    </row>
    <row r="125" spans="1:31" x14ac:dyDescent="0.2">
      <c r="A125">
        <f>coder1_YH!B125</f>
        <v>0</v>
      </c>
      <c r="B125">
        <f>coder1_YH!C125</f>
        <v>125</v>
      </c>
      <c r="C125">
        <f>coder1_YH!D125</f>
        <v>0</v>
      </c>
      <c r="D125" t="str">
        <f>coder1_YH!E125</f>
        <v/>
      </c>
      <c r="E125" t="b">
        <f>coder1_YH!F125</f>
        <v>1</v>
      </c>
      <c r="G125" t="str">
        <f>IF(coder1_YH!G125="",G124, coder1_YH!G125)</f>
        <v>Guthrie et al. 1999</v>
      </c>
      <c r="H125" s="405" t="str">
        <f>clean_mod!I125</f>
        <v>1999</v>
      </c>
      <c r="I125" t="str">
        <f>clean_mod!G125</f>
        <v>125</v>
      </c>
      <c r="J125">
        <f>clean_mod!H125</f>
        <v>125.29999999999998</v>
      </c>
      <c r="K125" t="str">
        <f>IF(coder1_YH!P125="",K124, coder1_YH!P125)</f>
        <v>ctl</v>
      </c>
      <c r="L125" s="324" t="str">
        <f>IF(clean_mod!AF125="",L124,clean_mod!AF125)</f>
        <v xml:space="preserve">125.3-.m </v>
      </c>
      <c r="M125" s="324" t="str">
        <f>IF(clean_mod!AG125="",M124,clean_mod!AG125)</f>
        <v>125.3-R</v>
      </c>
      <c r="N125" s="372" t="str">
        <f t="shared" si="8"/>
        <v>125-ctl-50</v>
      </c>
      <c r="O125" s="372" t="str">
        <f t="shared" si="9"/>
        <v>125-ctl-50</v>
      </c>
      <c r="P125" s="369">
        <v>50</v>
      </c>
      <c r="Q125" s="369" t="str">
        <f>LEFT(coder1_YH!AK125,1)</f>
        <v>0</v>
      </c>
      <c r="R125" s="369" t="str">
        <f>LEFT(coder1_YH!AL125,1)</f>
        <v>0</v>
      </c>
      <c r="S125" s="369" t="str">
        <f>coder1_YH!AJ125</f>
        <v>Information Text - Pond/desert</v>
      </c>
      <c r="T125" s="370" t="str">
        <f>coder1_YH!AN125</f>
        <v>NA</v>
      </c>
      <c r="U125" s="370" t="str">
        <f>coder1_YH!AO125</f>
        <v>NA</v>
      </c>
      <c r="V125" s="370" t="str">
        <f>coder1_YH!AP125</f>
        <v>NA</v>
      </c>
      <c r="W125" s="370">
        <f>coder1_YH!AQ125</f>
        <v>7.35</v>
      </c>
      <c r="X125" s="370">
        <f>coder1_YH!AR125</f>
        <v>1.54</v>
      </c>
      <c r="Y125" s="370">
        <f>coder1_YH!AS125</f>
        <v>24</v>
      </c>
      <c r="Z125" s="371" t="str">
        <f t="shared" si="10"/>
        <v>NA</v>
      </c>
      <c r="AA125" s="371" t="str">
        <f t="shared" si="11"/>
        <v>NA</v>
      </c>
      <c r="AB125" s="371" t="str">
        <f t="shared" si="12"/>
        <v>NA</v>
      </c>
      <c r="AC125" s="371">
        <f t="shared" si="13"/>
        <v>7.35</v>
      </c>
      <c r="AD125" s="371">
        <f t="shared" si="14"/>
        <v>1.54</v>
      </c>
      <c r="AE125" s="371">
        <f t="shared" si="15"/>
        <v>24</v>
      </c>
    </row>
    <row r="126" spans="1:31" x14ac:dyDescent="0.2">
      <c r="A126">
        <f>coder1_YH!B126</f>
        <v>0</v>
      </c>
      <c r="B126">
        <f>coder1_YH!C126</f>
        <v>126</v>
      </c>
      <c r="C126">
        <f>coder1_YH!D126</f>
        <v>0</v>
      </c>
      <c r="D126" t="str">
        <f>coder1_YH!E126</f>
        <v/>
      </c>
      <c r="E126" t="str">
        <f>coder1_YH!F126</f>
        <v/>
      </c>
      <c r="G126" t="str">
        <f>IF(coder1_YH!G126="",G125, coder1_YH!G126)</f>
        <v>Guthrie et al. 1999</v>
      </c>
      <c r="H126" s="405" t="str">
        <f>clean_mod!I126</f>
        <v>1999</v>
      </c>
      <c r="I126" t="str">
        <f>clean_mod!G126</f>
        <v>125</v>
      </c>
      <c r="J126">
        <f>clean_mod!H126</f>
        <v>125.29999999999998</v>
      </c>
      <c r="K126" t="str">
        <f>IF(coder1_YH!P126="",K125, coder1_YH!P126)</f>
        <v>ctl</v>
      </c>
      <c r="L126" s="324" t="str">
        <f>IF(clean_mod!AF126="",L125,clean_mod!AF126)</f>
        <v xml:space="preserve">125.3-.m </v>
      </c>
      <c r="M126" s="324" t="str">
        <f>IF(clean_mod!AG126="",M125,clean_mod!AG126)</f>
        <v>125.3-R</v>
      </c>
      <c r="N126" s="372" t="str">
        <f t="shared" si="8"/>
        <v>125-ctl-51</v>
      </c>
      <c r="O126" s="372" t="str">
        <f t="shared" si="9"/>
        <v>125-ctl-51</v>
      </c>
      <c r="P126" s="369">
        <v>51</v>
      </c>
      <c r="Q126" s="369" t="str">
        <f>LEFT(coder1_YH!AK126,1)</f>
        <v>0</v>
      </c>
      <c r="R126" s="369" t="str">
        <f>LEFT(coder1_YH!AL126,1)</f>
        <v>0</v>
      </c>
      <c r="S126" s="369" t="str">
        <f>coder1_YH!AJ126</f>
        <v>Narrative Text - Pond/desert</v>
      </c>
      <c r="T126" s="370" t="str">
        <f>coder1_YH!AN126</f>
        <v>NA</v>
      </c>
      <c r="U126" s="370" t="str">
        <f>coder1_YH!AO126</f>
        <v>NA</v>
      </c>
      <c r="V126" s="370" t="str">
        <f>coder1_YH!AP126</f>
        <v>NA</v>
      </c>
      <c r="W126" s="370">
        <f>coder1_YH!AQ126</f>
        <v>4.4400000000000004</v>
      </c>
      <c r="X126" s="370">
        <f>coder1_YH!AR126</f>
        <v>1.34</v>
      </c>
      <c r="Y126" s="370">
        <f>coder1_YH!AS126</f>
        <v>24</v>
      </c>
      <c r="Z126" s="371" t="str">
        <f t="shared" si="10"/>
        <v>NA</v>
      </c>
      <c r="AA126" s="371" t="str">
        <f t="shared" si="11"/>
        <v>NA</v>
      </c>
      <c r="AB126" s="371" t="str">
        <f t="shared" si="12"/>
        <v>NA</v>
      </c>
      <c r="AC126" s="371">
        <f t="shared" si="13"/>
        <v>4.4400000000000004</v>
      </c>
      <c r="AD126" s="371">
        <f t="shared" si="14"/>
        <v>1.34</v>
      </c>
      <c r="AE126" s="371">
        <f t="shared" si="15"/>
        <v>24</v>
      </c>
    </row>
    <row r="127" spans="1:31" x14ac:dyDescent="0.2">
      <c r="A127">
        <f>coder1_YH!B127</f>
        <v>0</v>
      </c>
      <c r="B127">
        <f>coder1_YH!C127</f>
        <v>127</v>
      </c>
      <c r="C127">
        <f>coder1_YH!D127</f>
        <v>0</v>
      </c>
      <c r="D127" t="str">
        <f>coder1_YH!E127</f>
        <v/>
      </c>
      <c r="E127" t="str">
        <f>coder1_YH!F127</f>
        <v/>
      </c>
      <c r="G127" t="str">
        <f>IF(coder1_YH!G127="",G126, coder1_YH!G127)</f>
        <v>Guthrie et al. 1999</v>
      </c>
      <c r="H127" s="405" t="str">
        <f>clean_mod!I127</f>
        <v>1999</v>
      </c>
      <c r="I127" t="str">
        <f>clean_mod!G127</f>
        <v>125</v>
      </c>
      <c r="J127">
        <f>clean_mod!H127</f>
        <v>125.29999999999998</v>
      </c>
      <c r="K127" t="str">
        <f>IF(coder1_YH!P127="",K126, coder1_YH!P127)</f>
        <v>ctl</v>
      </c>
      <c r="L127" s="324" t="str">
        <f>IF(clean_mod!AF127="",L126,clean_mod!AF127)</f>
        <v xml:space="preserve">125.3-.m </v>
      </c>
      <c r="M127" s="324" t="str">
        <f>IF(clean_mod!AG127="",M126,clean_mod!AG127)</f>
        <v>125.3-R</v>
      </c>
      <c r="N127" s="372" t="str">
        <f t="shared" si="8"/>
        <v>125-ctl-52</v>
      </c>
      <c r="O127" s="372" t="str">
        <f t="shared" si="9"/>
        <v>125-ctl-52</v>
      </c>
      <c r="P127" s="369">
        <v>52</v>
      </c>
      <c r="Q127" s="369" t="str">
        <f>LEFT(coder1_YH!AK127,1)</f>
        <v>1</v>
      </c>
      <c r="R127" s="369" t="str">
        <f>LEFT(coder1_YH!AL127,1)</f>
        <v>0</v>
      </c>
      <c r="S127" s="369" t="str">
        <f>coder1_YH!AJ127</f>
        <v>Pretest ONLY. Standardized reading</v>
      </c>
      <c r="T127" s="370">
        <f>coder1_YH!AN127</f>
        <v>37.46</v>
      </c>
      <c r="U127" s="370">
        <f>coder1_YH!AO127</f>
        <v>12.6</v>
      </c>
      <c r="V127" s="370">
        <f>coder1_YH!AP127</f>
        <v>24</v>
      </c>
      <c r="W127" s="370" t="str">
        <f>coder1_YH!AQ127</f>
        <v>NA</v>
      </c>
      <c r="X127" s="370" t="str">
        <f>coder1_YH!AR127</f>
        <v>NA</v>
      </c>
      <c r="Y127" s="370" t="str">
        <f>coder1_YH!AS127</f>
        <v>NA</v>
      </c>
      <c r="Z127" s="371">
        <f t="shared" si="10"/>
        <v>37.46</v>
      </c>
      <c r="AA127" s="371">
        <f t="shared" si="11"/>
        <v>12.6</v>
      </c>
      <c r="AB127" s="371">
        <f t="shared" si="12"/>
        <v>24</v>
      </c>
      <c r="AC127" s="371" t="str">
        <f t="shared" si="13"/>
        <v>NA</v>
      </c>
      <c r="AD127" s="371" t="str">
        <f t="shared" si="14"/>
        <v>NA</v>
      </c>
      <c r="AE127" s="371" t="str">
        <f t="shared" si="15"/>
        <v>NA</v>
      </c>
    </row>
    <row r="128" spans="1:31" x14ac:dyDescent="0.2">
      <c r="A128">
        <f>coder1_YH!B128</f>
        <v>0</v>
      </c>
      <c r="B128">
        <f>coder1_YH!C128</f>
        <v>128</v>
      </c>
      <c r="C128">
        <f>coder1_YH!D128</f>
        <v>0</v>
      </c>
      <c r="D128" t="b">
        <f>coder1_YH!E128</f>
        <v>1</v>
      </c>
      <c r="E128" t="b">
        <f>coder1_YH!F128</f>
        <v>1</v>
      </c>
      <c r="G128" t="str">
        <f>IF(coder1_YH!G128="",G127, coder1_YH!G128)</f>
        <v>Guthrie et al. 1999</v>
      </c>
      <c r="H128" s="405" t="str">
        <f>clean_mod!I128</f>
        <v>1999</v>
      </c>
      <c r="I128" t="str">
        <f>clean_mod!G128</f>
        <v>125</v>
      </c>
      <c r="J128">
        <f>clean_mod!H128</f>
        <v>125.39999999999998</v>
      </c>
      <c r="K128">
        <f>IF(coder1_YH!P128="",K127, coder1_YH!P128)</f>
        <v>1</v>
      </c>
      <c r="L128" s="324" t="str">
        <f>IF(clean_mod!AF128="",L127,clean_mod!AF128)</f>
        <v xml:space="preserve">125.4-Nm </v>
      </c>
      <c r="M128" s="324" t="str">
        <f>IF(clean_mod!AG128="",M127,clean_mod!AG128)</f>
        <v>125.4-N_R</v>
      </c>
      <c r="N128" s="372" t="str">
        <f t="shared" si="8"/>
        <v>125-ctl-53</v>
      </c>
      <c r="O128" s="372" t="str">
        <f t="shared" si="9"/>
        <v>125-1-53</v>
      </c>
      <c r="P128" s="369">
        <v>53</v>
      </c>
      <c r="Q128" s="369" t="str">
        <f>LEFT(coder1_YH!AK128,1)</f>
        <v>0</v>
      </c>
      <c r="R128" s="369" t="str">
        <f>LEFT(coder1_YH!AL128,1)</f>
        <v>0</v>
      </c>
      <c r="S128" s="369" t="str">
        <f>coder1_YH!AJ128</f>
        <v>Information Text - Volcano/river</v>
      </c>
      <c r="T128" s="370" t="str">
        <f>coder1_YH!AN128</f>
        <v>NA</v>
      </c>
      <c r="U128" s="370" t="str">
        <f>coder1_YH!AO128</f>
        <v>NA</v>
      </c>
      <c r="V128" s="370" t="str">
        <f>coder1_YH!AP128</f>
        <v>NA</v>
      </c>
      <c r="W128" s="370">
        <f>coder1_YH!AQ128</f>
        <v>6.74</v>
      </c>
      <c r="X128" s="370">
        <f>coder1_YH!AR128</f>
        <v>1.9</v>
      </c>
      <c r="Y128" s="370">
        <f>coder1_YH!AS128</f>
        <v>26</v>
      </c>
      <c r="Z128" s="371" t="str">
        <f t="shared" si="10"/>
        <v>NA</v>
      </c>
      <c r="AA128" s="371" t="str">
        <f t="shared" si="11"/>
        <v>NA</v>
      </c>
      <c r="AB128" s="371" t="str">
        <f t="shared" si="12"/>
        <v>NA</v>
      </c>
      <c r="AC128" s="371">
        <f t="shared" si="13"/>
        <v>6.37</v>
      </c>
      <c r="AD128" s="371">
        <f t="shared" si="14"/>
        <v>1.59</v>
      </c>
      <c r="AE128" s="371">
        <f t="shared" si="15"/>
        <v>28</v>
      </c>
    </row>
    <row r="129" spans="1:31" x14ac:dyDescent="0.2">
      <c r="A129">
        <f>coder1_YH!B129</f>
        <v>0</v>
      </c>
      <c r="B129">
        <f>coder1_YH!C129</f>
        <v>129</v>
      </c>
      <c r="C129">
        <f>coder1_YH!D129</f>
        <v>0</v>
      </c>
      <c r="D129" t="str">
        <f>coder1_YH!E129</f>
        <v/>
      </c>
      <c r="E129" t="str">
        <f>coder1_YH!F129</f>
        <v/>
      </c>
      <c r="G129" t="str">
        <f>IF(coder1_YH!G129="",G128, coder1_YH!G129)</f>
        <v>Guthrie et al. 1999</v>
      </c>
      <c r="H129" s="405" t="str">
        <f>clean_mod!I129</f>
        <v>1999</v>
      </c>
      <c r="I129" t="str">
        <f>clean_mod!G129</f>
        <v>125</v>
      </c>
      <c r="J129">
        <f>clean_mod!H129</f>
        <v>125.39999999999998</v>
      </c>
      <c r="K129">
        <f>IF(coder1_YH!P129="",K128, coder1_YH!P129)</f>
        <v>1</v>
      </c>
      <c r="L129" s="324" t="str">
        <f>IF(clean_mod!AF129="",L128,clean_mod!AF129)</f>
        <v xml:space="preserve">125.4-Nm </v>
      </c>
      <c r="M129" s="324" t="str">
        <f>IF(clean_mod!AG129="",M128,clean_mod!AG129)</f>
        <v>125.4-N_R</v>
      </c>
      <c r="N129" s="372" t="str">
        <f t="shared" si="8"/>
        <v>125-ctl-54</v>
      </c>
      <c r="O129" s="372" t="str">
        <f t="shared" si="9"/>
        <v>125-1-54</v>
      </c>
      <c r="P129" s="369">
        <v>54</v>
      </c>
      <c r="Q129" s="369" t="str">
        <f>LEFT(coder1_YH!AK129,1)</f>
        <v>0</v>
      </c>
      <c r="R129" s="369" t="str">
        <f>LEFT(coder1_YH!AL129,1)</f>
        <v>0</v>
      </c>
      <c r="S129" s="369" t="str">
        <f>coder1_YH!AJ129</f>
        <v>Narrative Text - Volcano/river</v>
      </c>
      <c r="T129" s="370" t="str">
        <f>coder1_YH!AN129</f>
        <v>NA</v>
      </c>
      <c r="U129" s="370" t="str">
        <f>coder1_YH!AO129</f>
        <v>NA</v>
      </c>
      <c r="V129" s="370" t="str">
        <f>coder1_YH!AP129</f>
        <v>NA</v>
      </c>
      <c r="W129" s="370">
        <f>coder1_YH!AQ129</f>
        <v>4.96</v>
      </c>
      <c r="X129" s="370">
        <f>coder1_YH!AR129</f>
        <v>1.25</v>
      </c>
      <c r="Y129" s="370">
        <f>coder1_YH!AS129</f>
        <v>26</v>
      </c>
      <c r="Z129" s="371" t="str">
        <f t="shared" si="10"/>
        <v>NA</v>
      </c>
      <c r="AA129" s="371" t="str">
        <f t="shared" si="11"/>
        <v>NA</v>
      </c>
      <c r="AB129" s="371" t="str">
        <f t="shared" si="12"/>
        <v>NA</v>
      </c>
      <c r="AC129" s="371">
        <f t="shared" si="13"/>
        <v>5.13</v>
      </c>
      <c r="AD129" s="371">
        <f t="shared" si="14"/>
        <v>1.51</v>
      </c>
      <c r="AE129" s="371">
        <f t="shared" si="15"/>
        <v>28</v>
      </c>
    </row>
    <row r="130" spans="1:31" x14ac:dyDescent="0.2">
      <c r="A130">
        <f>coder1_YH!B130</f>
        <v>0</v>
      </c>
      <c r="B130">
        <f>coder1_YH!C130</f>
        <v>130</v>
      </c>
      <c r="C130">
        <f>coder1_YH!D130</f>
        <v>0</v>
      </c>
      <c r="D130" t="str">
        <f>coder1_YH!E130</f>
        <v/>
      </c>
      <c r="E130" t="str">
        <f>coder1_YH!F130</f>
        <v/>
      </c>
      <c r="G130" t="str">
        <f>IF(coder1_YH!G130="",G129, coder1_YH!G130)</f>
        <v>Guthrie et al. 1999</v>
      </c>
      <c r="H130" s="405" t="str">
        <f>clean_mod!I130</f>
        <v>1999</v>
      </c>
      <c r="I130" t="str">
        <f>clean_mod!G130</f>
        <v>125</v>
      </c>
      <c r="J130">
        <f>clean_mod!H130</f>
        <v>125.39999999999998</v>
      </c>
      <c r="K130">
        <f>IF(coder1_YH!P130="",K129, coder1_YH!P130)</f>
        <v>1</v>
      </c>
      <c r="L130" s="324" t="str">
        <f>IF(clean_mod!AF130="",L129,clean_mod!AF130)</f>
        <v xml:space="preserve">125.4-Nm </v>
      </c>
      <c r="M130" s="324" t="str">
        <f>IF(clean_mod!AG130="",M129,clean_mod!AG130)</f>
        <v>125.4-N_R</v>
      </c>
      <c r="N130" s="372" t="str">
        <f t="shared" ref="N130:N193" si="16">I130&amp;"-"&amp;"ctl"&amp;"-"&amp;P130</f>
        <v>125-ctl-55</v>
      </c>
      <c r="O130" s="372" t="str">
        <f t="shared" ref="O130:O193" si="17">I130&amp;"-"&amp;K130&amp;"-"&amp;P130</f>
        <v>125-1-55</v>
      </c>
      <c r="P130" s="369">
        <v>55</v>
      </c>
      <c r="Q130" s="369" t="str">
        <f>LEFT(coder1_YH!AK130,1)</f>
        <v>1</v>
      </c>
      <c r="R130" s="369" t="str">
        <f>LEFT(coder1_YH!AL130,1)</f>
        <v>0</v>
      </c>
      <c r="S130" s="369" t="str">
        <f>coder1_YH!AJ130</f>
        <v>Pretest ONLY. Standardized reading</v>
      </c>
      <c r="T130" s="370">
        <f>coder1_YH!AN130</f>
        <v>42.23</v>
      </c>
      <c r="U130" s="370">
        <f>coder1_YH!AO130</f>
        <v>8.99</v>
      </c>
      <c r="V130" s="370">
        <f>coder1_YH!AP130</f>
        <v>26</v>
      </c>
      <c r="W130" s="370" t="str">
        <f>coder1_YH!AQ130</f>
        <v>NA</v>
      </c>
      <c r="X130" s="370" t="str">
        <f>coder1_YH!AR130</f>
        <v>NA</v>
      </c>
      <c r="Y130" s="370" t="str">
        <f>coder1_YH!AS130</f>
        <v>NA</v>
      </c>
      <c r="Z130" s="371">
        <f t="shared" ref="Z130:Z193" si="18">VLOOKUP($N130,$O:$Y,6,0)</f>
        <v>37.54</v>
      </c>
      <c r="AA130" s="371">
        <f t="shared" ref="AA130:AA193" si="19">VLOOKUP($N130,$O:$Y,7,0)</f>
        <v>10.3</v>
      </c>
      <c r="AB130" s="371">
        <f t="shared" ref="AB130:AB193" si="20">VLOOKUP($N130,$O:$Y,8,0)</f>
        <v>28</v>
      </c>
      <c r="AC130" s="371" t="str">
        <f t="shared" ref="AC130:AC193" si="21">VLOOKUP($N130,$O:$Y,9,0)</f>
        <v>NA</v>
      </c>
      <c r="AD130" s="371" t="str">
        <f t="shared" ref="AD130:AD193" si="22">VLOOKUP($N130,$O:$Y,10,0)</f>
        <v>NA</v>
      </c>
      <c r="AE130" s="371" t="str">
        <f t="shared" ref="AE130:AE193" si="23">VLOOKUP($N130,$O:$Y,11,0)</f>
        <v>NA</v>
      </c>
    </row>
    <row r="131" spans="1:31" x14ac:dyDescent="0.2">
      <c r="A131">
        <f>coder1_YH!B131</f>
        <v>0</v>
      </c>
      <c r="B131">
        <f>coder1_YH!C131</f>
        <v>131</v>
      </c>
      <c r="C131">
        <f>coder1_YH!D131</f>
        <v>0</v>
      </c>
      <c r="D131" t="str">
        <f>coder1_YH!E131</f>
        <v/>
      </c>
      <c r="E131" t="b">
        <f>coder1_YH!F131</f>
        <v>1</v>
      </c>
      <c r="G131" t="str">
        <f>IF(coder1_YH!G131="",G130, coder1_YH!G131)</f>
        <v>Guthrie et al. 1999</v>
      </c>
      <c r="H131" s="405" t="str">
        <f>clean_mod!I131</f>
        <v>1999</v>
      </c>
      <c r="I131" t="str">
        <f>clean_mod!G131</f>
        <v>125</v>
      </c>
      <c r="J131">
        <f>clean_mod!H131</f>
        <v>125.39999999999998</v>
      </c>
      <c r="K131" t="str">
        <f>IF(coder1_YH!P131="",K130, coder1_YH!P131)</f>
        <v>ctl</v>
      </c>
      <c r="L131" s="324" t="str">
        <f>IF(clean_mod!AF131="",L130,clean_mod!AF131)</f>
        <v xml:space="preserve">125.4-.m </v>
      </c>
      <c r="M131" s="324" t="str">
        <f>IF(clean_mod!AG131="",M130,clean_mod!AG131)</f>
        <v>125.4-R</v>
      </c>
      <c r="N131" s="372" t="str">
        <f t="shared" si="16"/>
        <v>125-ctl-53</v>
      </c>
      <c r="O131" s="372" t="str">
        <f t="shared" si="17"/>
        <v>125-ctl-53</v>
      </c>
      <c r="P131" s="369">
        <v>53</v>
      </c>
      <c r="Q131" s="369" t="str">
        <f>LEFT(coder1_YH!AK131,1)</f>
        <v>0</v>
      </c>
      <c r="R131" s="369" t="str">
        <f>LEFT(coder1_YH!AL131,1)</f>
        <v>0</v>
      </c>
      <c r="S131" s="369" t="str">
        <f>coder1_YH!AJ131</f>
        <v>Information Text - Volcano/river</v>
      </c>
      <c r="T131" s="370" t="str">
        <f>coder1_YH!AN131</f>
        <v>NA</v>
      </c>
      <c r="U131" s="370" t="str">
        <f>coder1_YH!AO131</f>
        <v>NA</v>
      </c>
      <c r="V131" s="370" t="str">
        <f>coder1_YH!AP131</f>
        <v>NA</v>
      </c>
      <c r="W131" s="370">
        <f>coder1_YH!AQ131</f>
        <v>6.37</v>
      </c>
      <c r="X131" s="370">
        <f>coder1_YH!AR131</f>
        <v>1.59</v>
      </c>
      <c r="Y131" s="370">
        <f>coder1_YH!AS131</f>
        <v>28</v>
      </c>
      <c r="Z131" s="371" t="str">
        <f t="shared" si="18"/>
        <v>NA</v>
      </c>
      <c r="AA131" s="371" t="str">
        <f t="shared" si="19"/>
        <v>NA</v>
      </c>
      <c r="AB131" s="371" t="str">
        <f t="shared" si="20"/>
        <v>NA</v>
      </c>
      <c r="AC131" s="371">
        <f t="shared" si="21"/>
        <v>6.37</v>
      </c>
      <c r="AD131" s="371">
        <f t="shared" si="22"/>
        <v>1.59</v>
      </c>
      <c r="AE131" s="371">
        <f t="shared" si="23"/>
        <v>28</v>
      </c>
    </row>
    <row r="132" spans="1:31" x14ac:dyDescent="0.2">
      <c r="A132">
        <f>coder1_YH!B132</f>
        <v>0</v>
      </c>
      <c r="B132">
        <f>coder1_YH!C132</f>
        <v>132</v>
      </c>
      <c r="C132">
        <f>coder1_YH!D132</f>
        <v>0</v>
      </c>
      <c r="D132" t="str">
        <f>coder1_YH!E132</f>
        <v/>
      </c>
      <c r="E132" t="str">
        <f>coder1_YH!F132</f>
        <v/>
      </c>
      <c r="G132" t="str">
        <f>IF(coder1_YH!G132="",G131, coder1_YH!G132)</f>
        <v>Guthrie et al. 1999</v>
      </c>
      <c r="H132" s="405" t="str">
        <f>clean_mod!I132</f>
        <v>1999</v>
      </c>
      <c r="I132" t="str">
        <f>clean_mod!G132</f>
        <v>125</v>
      </c>
      <c r="J132">
        <f>clean_mod!H132</f>
        <v>125.39999999999998</v>
      </c>
      <c r="K132" t="str">
        <f>IF(coder1_YH!P132="",K131, coder1_YH!P132)</f>
        <v>ctl</v>
      </c>
      <c r="L132" s="324" t="str">
        <f>IF(clean_mod!AF132="",L131,clean_mod!AF132)</f>
        <v xml:space="preserve">125.4-.m </v>
      </c>
      <c r="M132" s="324" t="str">
        <f>IF(clean_mod!AG132="",M131,clean_mod!AG132)</f>
        <v>125.4-R</v>
      </c>
      <c r="N132" s="372" t="str">
        <f t="shared" si="16"/>
        <v>125-ctl-54</v>
      </c>
      <c r="O132" s="372" t="str">
        <f t="shared" si="17"/>
        <v>125-ctl-54</v>
      </c>
      <c r="P132" s="369">
        <v>54</v>
      </c>
      <c r="Q132" s="369" t="str">
        <f>LEFT(coder1_YH!AK132,1)</f>
        <v>0</v>
      </c>
      <c r="R132" s="369" t="str">
        <f>LEFT(coder1_YH!AL132,1)</f>
        <v>0</v>
      </c>
      <c r="S132" s="369" t="str">
        <f>coder1_YH!AJ132</f>
        <v>Narrative Text - Volcano/river</v>
      </c>
      <c r="T132" s="370" t="str">
        <f>coder1_YH!AN132</f>
        <v>NA</v>
      </c>
      <c r="U132" s="370" t="str">
        <f>coder1_YH!AO132</f>
        <v>NA</v>
      </c>
      <c r="V132" s="370" t="str">
        <f>coder1_YH!AP132</f>
        <v>NA</v>
      </c>
      <c r="W132" s="370">
        <f>coder1_YH!AQ132</f>
        <v>5.13</v>
      </c>
      <c r="X132" s="370">
        <f>coder1_YH!AR132</f>
        <v>1.51</v>
      </c>
      <c r="Y132" s="370">
        <f>coder1_YH!AS132</f>
        <v>28</v>
      </c>
      <c r="Z132" s="371" t="str">
        <f t="shared" si="18"/>
        <v>NA</v>
      </c>
      <c r="AA132" s="371" t="str">
        <f t="shared" si="19"/>
        <v>NA</v>
      </c>
      <c r="AB132" s="371" t="str">
        <f t="shared" si="20"/>
        <v>NA</v>
      </c>
      <c r="AC132" s="371">
        <f t="shared" si="21"/>
        <v>5.13</v>
      </c>
      <c r="AD132" s="371">
        <f t="shared" si="22"/>
        <v>1.51</v>
      </c>
      <c r="AE132" s="371">
        <f t="shared" si="23"/>
        <v>28</v>
      </c>
    </row>
    <row r="133" spans="1:31" x14ac:dyDescent="0.2">
      <c r="A133">
        <f>coder1_YH!B133</f>
        <v>0</v>
      </c>
      <c r="B133">
        <f>coder1_YH!C133</f>
        <v>133</v>
      </c>
      <c r="C133">
        <f>coder1_YH!D133</f>
        <v>0</v>
      </c>
      <c r="D133" t="str">
        <f>coder1_YH!E133</f>
        <v/>
      </c>
      <c r="E133" t="str">
        <f>coder1_YH!F133</f>
        <v/>
      </c>
      <c r="G133" t="str">
        <f>IF(coder1_YH!G133="",G132, coder1_YH!G133)</f>
        <v>Guthrie et al. 1999</v>
      </c>
      <c r="H133" s="405" t="str">
        <f>clean_mod!I133</f>
        <v>1999</v>
      </c>
      <c r="I133" t="str">
        <f>clean_mod!G133</f>
        <v>125</v>
      </c>
      <c r="J133">
        <f>clean_mod!H133</f>
        <v>125.39999999999998</v>
      </c>
      <c r="K133" t="str">
        <f>IF(coder1_YH!P133="",K132, coder1_YH!P133)</f>
        <v>ctl</v>
      </c>
      <c r="L133" s="324" t="str">
        <f>IF(clean_mod!AF133="",L132,clean_mod!AF133)</f>
        <v xml:space="preserve">125.4-.m </v>
      </c>
      <c r="M133" s="324" t="str">
        <f>IF(clean_mod!AG133="",M132,clean_mod!AG133)</f>
        <v>125.4-R</v>
      </c>
      <c r="N133" s="372" t="str">
        <f t="shared" si="16"/>
        <v>125-ctl-55</v>
      </c>
      <c r="O133" s="372" t="str">
        <f t="shared" si="17"/>
        <v>125-ctl-55</v>
      </c>
      <c r="P133" s="369">
        <v>55</v>
      </c>
      <c r="Q133" s="369" t="str">
        <f>LEFT(coder1_YH!AK133,1)</f>
        <v>1</v>
      </c>
      <c r="R133" s="369" t="str">
        <f>LEFT(coder1_YH!AL133,1)</f>
        <v>0</v>
      </c>
      <c r="S133" s="369" t="str">
        <f>coder1_YH!AJ133</f>
        <v>Pretest ONLY. Standardized reading</v>
      </c>
      <c r="T133" s="370">
        <f>coder1_YH!AN133</f>
        <v>37.54</v>
      </c>
      <c r="U133" s="370">
        <f>coder1_YH!AO133</f>
        <v>10.3</v>
      </c>
      <c r="V133" s="370">
        <f>coder1_YH!AP133</f>
        <v>28</v>
      </c>
      <c r="W133" s="370" t="str">
        <f>coder1_YH!AQ133</f>
        <v>NA</v>
      </c>
      <c r="X133" s="370" t="str">
        <f>coder1_YH!AR133</f>
        <v>NA</v>
      </c>
      <c r="Y133" s="370" t="str">
        <f>coder1_YH!AS133</f>
        <v>NA</v>
      </c>
      <c r="Z133" s="371">
        <f t="shared" si="18"/>
        <v>37.54</v>
      </c>
      <c r="AA133" s="371">
        <f t="shared" si="19"/>
        <v>10.3</v>
      </c>
      <c r="AB133" s="371">
        <f t="shared" si="20"/>
        <v>28</v>
      </c>
      <c r="AC133" s="371" t="str">
        <f t="shared" si="21"/>
        <v>NA</v>
      </c>
      <c r="AD133" s="371" t="str">
        <f t="shared" si="22"/>
        <v>NA</v>
      </c>
      <c r="AE133" s="371" t="str">
        <f t="shared" si="23"/>
        <v>NA</v>
      </c>
    </row>
    <row r="134" spans="1:31" x14ac:dyDescent="0.2">
      <c r="A134">
        <f>coder1_YH!B134</f>
        <v>0</v>
      </c>
      <c r="B134">
        <f>coder1_YH!C134</f>
        <v>134</v>
      </c>
      <c r="C134" t="b">
        <f>coder1_YH!D134</f>
        <v>1</v>
      </c>
      <c r="D134" t="b">
        <f>coder1_YH!E134</f>
        <v>1</v>
      </c>
      <c r="E134" t="b">
        <f>coder1_YH!F134</f>
        <v>1</v>
      </c>
      <c r="G134" t="str">
        <f>IF(coder1_YH!G134="",G133, coder1_YH!G134)</f>
        <v>Guthrie et al. 2009</v>
      </c>
      <c r="H134" s="405" t="str">
        <f>clean_mod!I134</f>
        <v>2009</v>
      </c>
      <c r="I134" t="str">
        <f>clean_mod!G134</f>
        <v>126</v>
      </c>
      <c r="J134">
        <f>clean_mod!H134</f>
        <v>126.1</v>
      </c>
      <c r="K134">
        <f>IF(coder1_YH!P134="",K133, coder1_YH!P134)</f>
        <v>1</v>
      </c>
      <c r="L134" s="324" t="str">
        <f>IF(clean_mod!AF134="",L133,clean_mod!AF134)</f>
        <v>126.1-Ncm</v>
      </c>
      <c r="M134" s="324" t="str">
        <f>IF(clean_mod!AG134="",M133,clean_mod!AG134)</f>
        <v>126.1-N_R</v>
      </c>
      <c r="N134" s="372" t="str">
        <f t="shared" si="16"/>
        <v>126-ctl-56</v>
      </c>
      <c r="O134" s="372" t="str">
        <f t="shared" si="17"/>
        <v>126-1-56</v>
      </c>
      <c r="P134" s="369">
        <v>56</v>
      </c>
      <c r="Q134" s="369" t="str">
        <f>LEFT(coder1_YH!AK134,1)</f>
        <v>1</v>
      </c>
      <c r="R134" s="369" t="str">
        <f>LEFT(coder1_YH!AL134,1)</f>
        <v>0</v>
      </c>
      <c r="S134" s="369" t="str">
        <f>coder1_YH!AJ134</f>
        <v>Gates-MacGinitie</v>
      </c>
      <c r="T134" s="370">
        <f>coder1_YH!AN134</f>
        <v>455.54</v>
      </c>
      <c r="U134" s="370">
        <f>coder1_YH!AO134</f>
        <v>9.7100000000000009</v>
      </c>
      <c r="V134" s="370">
        <f>coder1_YH!AP134</f>
        <v>41</v>
      </c>
      <c r="W134" s="370">
        <f>coder1_YH!AQ134</f>
        <v>476.72</v>
      </c>
      <c r="X134" s="370">
        <f>coder1_YH!AR134</f>
        <v>11.1</v>
      </c>
      <c r="Y134" s="370">
        <f>coder1_YH!AS134</f>
        <v>41</v>
      </c>
      <c r="Z134" s="371">
        <f t="shared" si="18"/>
        <v>450.7</v>
      </c>
      <c r="AA134" s="371">
        <f t="shared" si="19"/>
        <v>3.69</v>
      </c>
      <c r="AB134" s="371">
        <f t="shared" si="20"/>
        <v>22</v>
      </c>
      <c r="AC134" s="371">
        <f t="shared" si="21"/>
        <v>459.03</v>
      </c>
      <c r="AD134" s="371">
        <f t="shared" si="22"/>
        <v>15.72</v>
      </c>
      <c r="AE134" s="371">
        <f t="shared" si="23"/>
        <v>22</v>
      </c>
    </row>
    <row r="135" spans="1:31" x14ac:dyDescent="0.2">
      <c r="A135">
        <f>coder1_YH!B135</f>
        <v>0</v>
      </c>
      <c r="B135">
        <f>coder1_YH!C135</f>
        <v>135</v>
      </c>
      <c r="C135">
        <f>coder1_YH!D135</f>
        <v>0</v>
      </c>
      <c r="D135" t="str">
        <f>coder1_YH!E135</f>
        <v/>
      </c>
      <c r="E135" t="str">
        <f>coder1_YH!F135</f>
        <v/>
      </c>
      <c r="G135" t="str">
        <f>IF(coder1_YH!G135="",G134, coder1_YH!G135)</f>
        <v>Guthrie et al. 2009</v>
      </c>
      <c r="H135" s="405" t="str">
        <f>clean_mod!I135</f>
        <v>2009</v>
      </c>
      <c r="I135" t="str">
        <f>clean_mod!G135</f>
        <v>126</v>
      </c>
      <c r="J135">
        <f>clean_mod!H135</f>
        <v>126.1</v>
      </c>
      <c r="K135">
        <f>IF(coder1_YH!P135="",K134, coder1_YH!P135)</f>
        <v>1</v>
      </c>
      <c r="L135" s="324" t="str">
        <f>IF(clean_mod!AF135="",L134,clean_mod!AF135)</f>
        <v>126.1-Ncm</v>
      </c>
      <c r="M135" s="324" t="str">
        <f>IF(clean_mod!AG135="",M134,clean_mod!AG135)</f>
        <v>126.1-N_R</v>
      </c>
      <c r="N135" s="372" t="str">
        <f t="shared" si="16"/>
        <v>126-ctl-57</v>
      </c>
      <c r="O135" s="372" t="str">
        <f t="shared" si="17"/>
        <v>126-1-57</v>
      </c>
      <c r="P135" s="369">
        <v>57</v>
      </c>
      <c r="Q135" s="369" t="str">
        <f>LEFT(coder1_YH!AK135,1)</f>
        <v>0</v>
      </c>
      <c r="R135" s="369" t="str">
        <f>LEFT(coder1_YH!AL135,1)</f>
        <v>0</v>
      </c>
      <c r="S135" s="369" t="str">
        <f>coder1_YH!AJ135</f>
        <v>Inferencing (Gates)</v>
      </c>
      <c r="T135" s="370">
        <f>coder1_YH!AN135</f>
        <v>8</v>
      </c>
      <c r="U135" s="370">
        <f>coder1_YH!AO135</f>
        <v>0.46</v>
      </c>
      <c r="V135" s="370">
        <f>coder1_YH!AP135</f>
        <v>41</v>
      </c>
      <c r="W135" s="370">
        <f>coder1_YH!AQ135</f>
        <v>8.8800000000000008</v>
      </c>
      <c r="X135" s="370">
        <f>coder1_YH!AR135</f>
        <v>0.68</v>
      </c>
      <c r="Y135" s="370">
        <f>coder1_YH!AS135</f>
        <v>41</v>
      </c>
      <c r="Z135" s="371">
        <f t="shared" si="18"/>
        <v>7.97</v>
      </c>
      <c r="AA135" s="371">
        <f t="shared" si="19"/>
        <v>0.57999999999999996</v>
      </c>
      <c r="AB135" s="371">
        <f t="shared" si="20"/>
        <v>22</v>
      </c>
      <c r="AC135" s="371">
        <f t="shared" si="21"/>
        <v>7.73</v>
      </c>
      <c r="AD135" s="371">
        <f t="shared" si="22"/>
        <v>1.3</v>
      </c>
      <c r="AE135" s="371">
        <f t="shared" si="23"/>
        <v>22</v>
      </c>
    </row>
    <row r="136" spans="1:31" x14ac:dyDescent="0.2">
      <c r="A136">
        <f>coder1_YH!B136</f>
        <v>0</v>
      </c>
      <c r="B136">
        <f>coder1_YH!C136</f>
        <v>136</v>
      </c>
      <c r="C136">
        <f>coder1_YH!D136</f>
        <v>0</v>
      </c>
      <c r="D136" t="str">
        <f>coder1_YH!E136</f>
        <v/>
      </c>
      <c r="E136" t="b">
        <f>coder1_YH!F136</f>
        <v>1</v>
      </c>
      <c r="G136" t="str">
        <f>IF(coder1_YH!G136="",G135, coder1_YH!G136)</f>
        <v>Guthrie et al. 2009</v>
      </c>
      <c r="H136" s="405" t="str">
        <f>clean_mod!I136</f>
        <v>2009</v>
      </c>
      <c r="I136" t="str">
        <f>clean_mod!G136</f>
        <v>126</v>
      </c>
      <c r="J136">
        <f>clean_mod!H136</f>
        <v>126.1</v>
      </c>
      <c r="K136" t="str">
        <f>IF(coder1_YH!P136="",K135, coder1_YH!P136)</f>
        <v>ctl</v>
      </c>
      <c r="L136" s="324" t="str">
        <f>IF(clean_mod!AF136="",L135,clean_mod!AF136)</f>
        <v>126.1-.cm</v>
      </c>
      <c r="M136" s="324" t="str">
        <f>IF(clean_mod!AG136="",M135,clean_mod!AG136)</f>
        <v>126.1-R</v>
      </c>
      <c r="N136" s="372" t="str">
        <f t="shared" si="16"/>
        <v>126-ctl-56</v>
      </c>
      <c r="O136" s="372" t="str">
        <f t="shared" si="17"/>
        <v>126-ctl-56</v>
      </c>
      <c r="P136" s="369">
        <v>56</v>
      </c>
      <c r="Q136" s="369" t="str">
        <f>LEFT(coder1_YH!AK136,1)</f>
        <v>1</v>
      </c>
      <c r="R136" s="369" t="str">
        <f>LEFT(coder1_YH!AL136,1)</f>
        <v>0</v>
      </c>
      <c r="S136" s="369" t="str">
        <f>coder1_YH!AJ136</f>
        <v>Gates-MacGinitie</v>
      </c>
      <c r="T136" s="370">
        <f>coder1_YH!AN136</f>
        <v>450.7</v>
      </c>
      <c r="U136" s="370">
        <f>coder1_YH!AO136</f>
        <v>3.69</v>
      </c>
      <c r="V136" s="370">
        <f>coder1_YH!AP136</f>
        <v>22</v>
      </c>
      <c r="W136" s="370">
        <f>coder1_YH!AQ136</f>
        <v>459.03</v>
      </c>
      <c r="X136" s="370">
        <f>coder1_YH!AR136</f>
        <v>15.72</v>
      </c>
      <c r="Y136" s="370">
        <f>coder1_YH!AS136</f>
        <v>22</v>
      </c>
      <c r="Z136" s="371">
        <f t="shared" si="18"/>
        <v>450.7</v>
      </c>
      <c r="AA136" s="371">
        <f t="shared" si="19"/>
        <v>3.69</v>
      </c>
      <c r="AB136" s="371">
        <f t="shared" si="20"/>
        <v>22</v>
      </c>
      <c r="AC136" s="371">
        <f t="shared" si="21"/>
        <v>459.03</v>
      </c>
      <c r="AD136" s="371">
        <f t="shared" si="22"/>
        <v>15.72</v>
      </c>
      <c r="AE136" s="371">
        <f t="shared" si="23"/>
        <v>22</v>
      </c>
    </row>
    <row r="137" spans="1:31" x14ac:dyDescent="0.2">
      <c r="A137">
        <f>coder1_YH!B137</f>
        <v>0</v>
      </c>
      <c r="B137">
        <f>coder1_YH!C137</f>
        <v>137</v>
      </c>
      <c r="C137">
        <f>coder1_YH!D137</f>
        <v>0</v>
      </c>
      <c r="D137" t="str">
        <f>coder1_YH!E137</f>
        <v/>
      </c>
      <c r="E137" t="str">
        <f>coder1_YH!F137</f>
        <v/>
      </c>
      <c r="G137" t="str">
        <f>IF(coder1_YH!G137="",G136, coder1_YH!G137)</f>
        <v>Guthrie et al. 2009</v>
      </c>
      <c r="H137" s="405" t="str">
        <f>clean_mod!I137</f>
        <v>2009</v>
      </c>
      <c r="I137" t="str">
        <f>clean_mod!G137</f>
        <v>126</v>
      </c>
      <c r="J137">
        <f>clean_mod!H137</f>
        <v>126.1</v>
      </c>
      <c r="K137" t="str">
        <f>IF(coder1_YH!P137="",K136, coder1_YH!P137)</f>
        <v>ctl</v>
      </c>
      <c r="L137" s="324" t="str">
        <f>IF(clean_mod!AF137="",L136,clean_mod!AF137)</f>
        <v>126.1-.cm</v>
      </c>
      <c r="M137" s="324" t="str">
        <f>IF(clean_mod!AG137="",M136,clean_mod!AG137)</f>
        <v>126.1-R</v>
      </c>
      <c r="N137" s="372" t="str">
        <f t="shared" si="16"/>
        <v>126-ctl-57</v>
      </c>
      <c r="O137" s="372" t="str">
        <f t="shared" si="17"/>
        <v>126-ctl-57</v>
      </c>
      <c r="P137" s="369">
        <v>57</v>
      </c>
      <c r="Q137" s="369" t="str">
        <f>LEFT(coder1_YH!AK137,1)</f>
        <v>0</v>
      </c>
      <c r="R137" s="369" t="str">
        <f>LEFT(coder1_YH!AL137,1)</f>
        <v>0</v>
      </c>
      <c r="S137" s="369" t="str">
        <f>coder1_YH!AJ137</f>
        <v>Inferencing (Gates)</v>
      </c>
      <c r="T137" s="370">
        <f>coder1_YH!AN137</f>
        <v>7.97</v>
      </c>
      <c r="U137" s="370">
        <f>coder1_YH!AO137</f>
        <v>0.57999999999999996</v>
      </c>
      <c r="V137" s="370">
        <f>coder1_YH!AP137</f>
        <v>22</v>
      </c>
      <c r="W137" s="370">
        <f>coder1_YH!AQ137</f>
        <v>7.73</v>
      </c>
      <c r="X137" s="370">
        <f>coder1_YH!AR137</f>
        <v>1.3</v>
      </c>
      <c r="Y137" s="370">
        <f>coder1_YH!AS137</f>
        <v>22</v>
      </c>
      <c r="Z137" s="371">
        <f t="shared" si="18"/>
        <v>7.97</v>
      </c>
      <c r="AA137" s="371">
        <f t="shared" si="19"/>
        <v>0.57999999999999996</v>
      </c>
      <c r="AB137" s="371">
        <f t="shared" si="20"/>
        <v>22</v>
      </c>
      <c r="AC137" s="371">
        <f t="shared" si="21"/>
        <v>7.73</v>
      </c>
      <c r="AD137" s="371">
        <f t="shared" si="22"/>
        <v>1.3</v>
      </c>
      <c r="AE137" s="371">
        <f t="shared" si="23"/>
        <v>22</v>
      </c>
    </row>
    <row r="138" spans="1:31" x14ac:dyDescent="0.2">
      <c r="A138">
        <f>coder1_YH!B138</f>
        <v>0</v>
      </c>
      <c r="B138">
        <f>coder1_YH!C138</f>
        <v>138</v>
      </c>
      <c r="C138">
        <f>coder1_YH!D138</f>
        <v>0</v>
      </c>
      <c r="D138" t="b">
        <f>coder1_YH!E138</f>
        <v>1</v>
      </c>
      <c r="E138" t="b">
        <f>coder1_YH!F138</f>
        <v>1</v>
      </c>
      <c r="G138" t="str">
        <f>IF(coder1_YH!G138="",G137, coder1_YH!G138)</f>
        <v>Guthrie et al. 2009</v>
      </c>
      <c r="H138" s="405" t="str">
        <f>clean_mod!I138</f>
        <v>2009</v>
      </c>
      <c r="I138" t="str">
        <f>clean_mod!G138</f>
        <v>126</v>
      </c>
      <c r="J138">
        <f>clean_mod!H138</f>
        <v>126.2</v>
      </c>
      <c r="K138">
        <f>IF(coder1_YH!P138="",K137, coder1_YH!P138)</f>
        <v>1</v>
      </c>
      <c r="L138" s="324" t="str">
        <f>IF(clean_mod!AF138="",L137,clean_mod!AF138)</f>
        <v>126.2-Ncm</v>
      </c>
      <c r="M138" s="324" t="str">
        <f>IF(clean_mod!AG138="",M137,clean_mod!AG138)</f>
        <v>126.2-N_R</v>
      </c>
      <c r="N138" s="372" t="str">
        <f t="shared" si="16"/>
        <v>126-ctl-58</v>
      </c>
      <c r="O138" s="372" t="str">
        <f t="shared" si="17"/>
        <v>126-1-58</v>
      </c>
      <c r="P138" s="369">
        <v>58</v>
      </c>
      <c r="Q138" s="369" t="str">
        <f>LEFT(coder1_YH!AK138,1)</f>
        <v>1</v>
      </c>
      <c r="R138" s="369" t="str">
        <f>LEFT(coder1_YH!AL138,1)</f>
        <v>0</v>
      </c>
      <c r="S138" s="369" t="str">
        <f>coder1_YH!AJ138</f>
        <v>Gates-MacGinitie</v>
      </c>
      <c r="T138" s="370">
        <f>coder1_YH!AN138</f>
        <v>515.33000000000004</v>
      </c>
      <c r="U138" s="370">
        <f>coder1_YH!AO138</f>
        <v>15.58</v>
      </c>
      <c r="V138" s="370">
        <f>coder1_YH!AP138</f>
        <v>53</v>
      </c>
      <c r="W138" s="370">
        <f>coder1_YH!AQ138</f>
        <v>528.57000000000005</v>
      </c>
      <c r="X138" s="370">
        <f>coder1_YH!AR138</f>
        <v>16.5</v>
      </c>
      <c r="Y138" s="370">
        <f>coder1_YH!AS138</f>
        <v>53</v>
      </c>
      <c r="Z138" s="371">
        <f t="shared" si="18"/>
        <v>509.13</v>
      </c>
      <c r="AA138" s="371">
        <f t="shared" si="19"/>
        <v>1.36</v>
      </c>
      <c r="AB138" s="371">
        <f t="shared" si="20"/>
        <v>40</v>
      </c>
      <c r="AC138" s="371">
        <f t="shared" si="21"/>
        <v>514.23</v>
      </c>
      <c r="AD138" s="371">
        <f t="shared" si="22"/>
        <v>8.75</v>
      </c>
      <c r="AE138" s="371">
        <f t="shared" si="23"/>
        <v>40</v>
      </c>
    </row>
    <row r="139" spans="1:31" x14ac:dyDescent="0.2">
      <c r="A139">
        <f>coder1_YH!B139</f>
        <v>0</v>
      </c>
      <c r="B139">
        <f>coder1_YH!C139</f>
        <v>139</v>
      </c>
      <c r="C139">
        <f>coder1_YH!D139</f>
        <v>0</v>
      </c>
      <c r="D139" t="str">
        <f>coder1_YH!E139</f>
        <v/>
      </c>
      <c r="E139" t="str">
        <f>coder1_YH!F139</f>
        <v/>
      </c>
      <c r="G139" t="str">
        <f>IF(coder1_YH!G139="",G138, coder1_YH!G139)</f>
        <v>Guthrie et al. 2009</v>
      </c>
      <c r="H139" s="405" t="str">
        <f>clean_mod!I139</f>
        <v>2009</v>
      </c>
      <c r="I139" t="str">
        <f>clean_mod!G139</f>
        <v>126</v>
      </c>
      <c r="J139">
        <f>clean_mod!H139</f>
        <v>126.2</v>
      </c>
      <c r="K139">
        <f>IF(coder1_YH!P139="",K138, coder1_YH!P139)</f>
        <v>1</v>
      </c>
      <c r="L139" s="324" t="str">
        <f>IF(clean_mod!AF139="",L138,clean_mod!AF139)</f>
        <v>126.2-Ncm</v>
      </c>
      <c r="M139" s="324" t="str">
        <f>IF(clean_mod!AG139="",M138,clean_mod!AG139)</f>
        <v>126.2-N_R</v>
      </c>
      <c r="N139" s="372" t="str">
        <f t="shared" si="16"/>
        <v>126-ctl-59</v>
      </c>
      <c r="O139" s="372" t="str">
        <f t="shared" si="17"/>
        <v>126-1-59</v>
      </c>
      <c r="P139" s="369">
        <v>59</v>
      </c>
      <c r="Q139" s="369" t="str">
        <f>LEFT(coder1_YH!AK139,1)</f>
        <v>0</v>
      </c>
      <c r="R139" s="369" t="str">
        <f>LEFT(coder1_YH!AL139,1)</f>
        <v>0</v>
      </c>
      <c r="S139" s="369" t="str">
        <f>coder1_YH!AJ139</f>
        <v>Inferencing (Gates)</v>
      </c>
      <c r="T139" s="370">
        <f>coder1_YH!AN139</f>
        <v>8.77</v>
      </c>
      <c r="U139" s="370">
        <f>coder1_YH!AO139</f>
        <v>1.53</v>
      </c>
      <c r="V139" s="370">
        <f>coder1_YH!AP139</f>
        <v>53</v>
      </c>
      <c r="W139" s="370">
        <f>coder1_YH!AQ139</f>
        <v>9.58</v>
      </c>
      <c r="X139" s="370">
        <f>coder1_YH!AR139</f>
        <v>0.82</v>
      </c>
      <c r="Y139" s="370">
        <f>coder1_YH!AS139</f>
        <v>53</v>
      </c>
      <c r="Z139" s="371">
        <f t="shared" si="18"/>
        <v>9.0299999999999994</v>
      </c>
      <c r="AA139" s="371">
        <f t="shared" si="19"/>
        <v>0.55000000000000004</v>
      </c>
      <c r="AB139" s="371">
        <f t="shared" si="20"/>
        <v>40</v>
      </c>
      <c r="AC139" s="371">
        <f t="shared" si="21"/>
        <v>9.67</v>
      </c>
      <c r="AD139" s="371">
        <f t="shared" si="22"/>
        <v>0.32</v>
      </c>
      <c r="AE139" s="371">
        <f t="shared" si="23"/>
        <v>40</v>
      </c>
    </row>
    <row r="140" spans="1:31" x14ac:dyDescent="0.2">
      <c r="A140">
        <f>coder1_YH!B140</f>
        <v>0</v>
      </c>
      <c r="B140">
        <f>coder1_YH!C140</f>
        <v>140</v>
      </c>
      <c r="C140">
        <f>coder1_YH!D140</f>
        <v>0</v>
      </c>
      <c r="D140" t="str">
        <f>coder1_YH!E140</f>
        <v/>
      </c>
      <c r="E140" t="b">
        <f>coder1_YH!F140</f>
        <v>1</v>
      </c>
      <c r="G140" t="str">
        <f>IF(coder1_YH!G140="",G139, coder1_YH!G140)</f>
        <v>Guthrie et al. 2009</v>
      </c>
      <c r="H140" s="405" t="str">
        <f>clean_mod!I140</f>
        <v>2009</v>
      </c>
      <c r="I140" t="str">
        <f>clean_mod!G140</f>
        <v>126</v>
      </c>
      <c r="J140">
        <f>clean_mod!H140</f>
        <v>126.2</v>
      </c>
      <c r="K140" t="str">
        <f>IF(coder1_YH!P140="",K139, coder1_YH!P140)</f>
        <v>ctl</v>
      </c>
      <c r="L140" s="324" t="str">
        <f>IF(clean_mod!AF140="",L139,clean_mod!AF140)</f>
        <v>126.2-.cm</v>
      </c>
      <c r="M140" s="324" t="str">
        <f>IF(clean_mod!AG140="",M139,clean_mod!AG140)</f>
        <v>126.2-R</v>
      </c>
      <c r="N140" s="372" t="str">
        <f t="shared" si="16"/>
        <v>126-ctl-58</v>
      </c>
      <c r="O140" s="372" t="str">
        <f t="shared" si="17"/>
        <v>126-ctl-58</v>
      </c>
      <c r="P140" s="369">
        <v>58</v>
      </c>
      <c r="Q140" s="369" t="str">
        <f>LEFT(coder1_YH!AK140,1)</f>
        <v>1</v>
      </c>
      <c r="R140" s="369" t="str">
        <f>LEFT(coder1_YH!AL140,1)</f>
        <v>0</v>
      </c>
      <c r="S140" s="369" t="str">
        <f>coder1_YH!AJ140</f>
        <v>Gates-MacGinitie</v>
      </c>
      <c r="T140" s="370">
        <f>coder1_YH!AN140</f>
        <v>509.13</v>
      </c>
      <c r="U140" s="370">
        <f>coder1_YH!AO140</f>
        <v>1.36</v>
      </c>
      <c r="V140" s="370">
        <f>coder1_YH!AP140</f>
        <v>40</v>
      </c>
      <c r="W140" s="370">
        <f>coder1_YH!AQ140</f>
        <v>514.23</v>
      </c>
      <c r="X140" s="370">
        <f>coder1_YH!AR140</f>
        <v>8.75</v>
      </c>
      <c r="Y140" s="370">
        <f>coder1_YH!AS140</f>
        <v>40</v>
      </c>
      <c r="Z140" s="371">
        <f t="shared" si="18"/>
        <v>509.13</v>
      </c>
      <c r="AA140" s="371">
        <f t="shared" si="19"/>
        <v>1.36</v>
      </c>
      <c r="AB140" s="371">
        <f t="shared" si="20"/>
        <v>40</v>
      </c>
      <c r="AC140" s="371">
        <f t="shared" si="21"/>
        <v>514.23</v>
      </c>
      <c r="AD140" s="371">
        <f t="shared" si="22"/>
        <v>8.75</v>
      </c>
      <c r="AE140" s="371">
        <f t="shared" si="23"/>
        <v>40</v>
      </c>
    </row>
    <row r="141" spans="1:31" x14ac:dyDescent="0.2">
      <c r="A141">
        <f>coder1_YH!B141</f>
        <v>0</v>
      </c>
      <c r="B141">
        <f>coder1_YH!C141</f>
        <v>141</v>
      </c>
      <c r="C141">
        <f>coder1_YH!D141</f>
        <v>0</v>
      </c>
      <c r="D141" t="str">
        <f>coder1_YH!E141</f>
        <v/>
      </c>
      <c r="E141" t="str">
        <f>coder1_YH!F141</f>
        <v/>
      </c>
      <c r="G141" t="str">
        <f>IF(coder1_YH!G141="",G140, coder1_YH!G141)</f>
        <v>Guthrie et al. 2009</v>
      </c>
      <c r="H141" s="405" t="str">
        <f>clean_mod!I141</f>
        <v>2009</v>
      </c>
      <c r="I141" t="str">
        <f>clean_mod!G141</f>
        <v>126</v>
      </c>
      <c r="J141">
        <f>clean_mod!H141</f>
        <v>126.2</v>
      </c>
      <c r="K141" t="str">
        <f>IF(coder1_YH!P141="",K140, coder1_YH!P141)</f>
        <v>ctl</v>
      </c>
      <c r="L141" s="324" t="str">
        <f>IF(clean_mod!AF141="",L140,clean_mod!AF141)</f>
        <v>126.2-.cm</v>
      </c>
      <c r="M141" s="324" t="str">
        <f>IF(clean_mod!AG141="",M140,clean_mod!AG141)</f>
        <v>126.2-R</v>
      </c>
      <c r="N141" s="372" t="str">
        <f t="shared" si="16"/>
        <v>126-ctl-59</v>
      </c>
      <c r="O141" s="372" t="str">
        <f t="shared" si="17"/>
        <v>126-ctl-59</v>
      </c>
      <c r="P141" s="369">
        <v>59</v>
      </c>
      <c r="Q141" s="369" t="str">
        <f>LEFT(coder1_YH!AK141,1)</f>
        <v>0</v>
      </c>
      <c r="R141" s="369" t="str">
        <f>LEFT(coder1_YH!AL141,1)</f>
        <v>0</v>
      </c>
      <c r="S141" s="369" t="str">
        <f>coder1_YH!AJ141</f>
        <v>Inferencing (Gates)</v>
      </c>
      <c r="T141" s="370">
        <f>coder1_YH!AN141</f>
        <v>9.0299999999999994</v>
      </c>
      <c r="U141" s="370">
        <f>coder1_YH!AO141</f>
        <v>0.55000000000000004</v>
      </c>
      <c r="V141" s="370">
        <f>coder1_YH!AP141</f>
        <v>40</v>
      </c>
      <c r="W141" s="370">
        <f>coder1_YH!AQ141</f>
        <v>9.67</v>
      </c>
      <c r="X141" s="370">
        <f>coder1_YH!AR141</f>
        <v>0.32</v>
      </c>
      <c r="Y141" s="370">
        <f>coder1_YH!AS141</f>
        <v>40</v>
      </c>
      <c r="Z141" s="371">
        <f t="shared" si="18"/>
        <v>9.0299999999999994</v>
      </c>
      <c r="AA141" s="371">
        <f t="shared" si="19"/>
        <v>0.55000000000000004</v>
      </c>
      <c r="AB141" s="371">
        <f t="shared" si="20"/>
        <v>40</v>
      </c>
      <c r="AC141" s="371">
        <f t="shared" si="21"/>
        <v>9.67</v>
      </c>
      <c r="AD141" s="371">
        <f t="shared" si="22"/>
        <v>0.32</v>
      </c>
      <c r="AE141" s="371">
        <f t="shared" si="23"/>
        <v>40</v>
      </c>
    </row>
    <row r="142" spans="1:31" x14ac:dyDescent="0.2">
      <c r="A142">
        <f>coder1_YH!B142</f>
        <v>0</v>
      </c>
      <c r="B142">
        <f>coder1_YH!C142</f>
        <v>142</v>
      </c>
      <c r="C142" t="b">
        <f>coder1_YH!D142</f>
        <v>1</v>
      </c>
      <c r="D142" t="b">
        <f>coder1_YH!E142</f>
        <v>1</v>
      </c>
      <c r="E142" t="b">
        <f>coder1_YH!F142</f>
        <v>1</v>
      </c>
      <c r="G142" t="str">
        <f>IF(coder1_YH!G142="",G141, coder1_YH!G142)</f>
        <v>Little et al. 2014</v>
      </c>
      <c r="H142" s="405" t="str">
        <f>clean_mod!I142</f>
        <v>2014</v>
      </c>
      <c r="I142" t="str">
        <f>clean_mod!G142</f>
        <v>127</v>
      </c>
      <c r="J142">
        <f>clean_mod!H142</f>
        <v>127.01</v>
      </c>
      <c r="K142">
        <f>IF(coder1_YH!P142="",K141, coder1_YH!P142)</f>
        <v>1</v>
      </c>
      <c r="L142" s="324" t="str">
        <f>IF(clean_mod!AF142="",L141,clean_mod!AF142)</f>
        <v xml:space="preserve">127.01-Nm </v>
      </c>
      <c r="M142" s="324" t="str">
        <f>IF(clean_mod!AG142="",M141,clean_mod!AG142)</f>
        <v>127.01-N_R</v>
      </c>
      <c r="N142" s="372" t="str">
        <f t="shared" si="16"/>
        <v>127-ctl-60</v>
      </c>
      <c r="O142" s="372" t="str">
        <f t="shared" si="17"/>
        <v>127-1-60</v>
      </c>
      <c r="P142" s="369">
        <v>60</v>
      </c>
      <c r="Q142" s="369" t="str">
        <f>LEFT(coder1_YH!AK142,1)</f>
        <v>1</v>
      </c>
      <c r="R142" s="369" t="str">
        <f>LEFT(coder1_YH!AL142,1)</f>
        <v>0</v>
      </c>
      <c r="S142" s="369" t="str">
        <f>coder1_YH!AJ142</f>
        <v>GMRT = Gates–MacGinitie Reading Tests</v>
      </c>
      <c r="T142" s="370">
        <f>coder1_YH!AN142</f>
        <v>514.79</v>
      </c>
      <c r="U142" s="370">
        <f>coder1_YH!AO142</f>
        <v>25.49</v>
      </c>
      <c r="V142" s="370">
        <f>coder1_YH!AP142</f>
        <v>154</v>
      </c>
      <c r="W142" s="370">
        <f>coder1_YH!AQ142</f>
        <v>515.58000000000004</v>
      </c>
      <c r="X142" s="370">
        <f>coder1_YH!AR142</f>
        <v>28.22</v>
      </c>
      <c r="Y142" s="370">
        <f>coder1_YH!AS142</f>
        <v>154</v>
      </c>
      <c r="Z142" s="371">
        <f t="shared" si="18"/>
        <v>519.67999999999995</v>
      </c>
      <c r="AA142" s="371">
        <f t="shared" si="19"/>
        <v>28.78</v>
      </c>
      <c r="AB142" s="371">
        <f t="shared" si="20"/>
        <v>143</v>
      </c>
      <c r="AC142" s="371">
        <f t="shared" si="21"/>
        <v>518.19000000000005</v>
      </c>
      <c r="AD142" s="371">
        <f t="shared" si="22"/>
        <v>30.19</v>
      </c>
      <c r="AE142" s="371">
        <f t="shared" si="23"/>
        <v>143</v>
      </c>
    </row>
    <row r="143" spans="1:31" x14ac:dyDescent="0.2">
      <c r="A143">
        <f>coder1_YH!B143</f>
        <v>0</v>
      </c>
      <c r="B143">
        <f>coder1_YH!C143</f>
        <v>143</v>
      </c>
      <c r="C143">
        <f>coder1_YH!D143</f>
        <v>0</v>
      </c>
      <c r="D143" t="str">
        <f>coder1_YH!E143</f>
        <v/>
      </c>
      <c r="E143" t="b">
        <f>coder1_YH!F143</f>
        <v>1</v>
      </c>
      <c r="G143" t="str">
        <f>IF(coder1_YH!G143="",G142, coder1_YH!G143)</f>
        <v>Little et al. 2014</v>
      </c>
      <c r="H143" s="405" t="str">
        <f>clean_mod!I143</f>
        <v>2014</v>
      </c>
      <c r="I143" t="str">
        <f>clean_mod!G143</f>
        <v>127</v>
      </c>
      <c r="J143">
        <f>clean_mod!H143</f>
        <v>127.01</v>
      </c>
      <c r="K143" t="str">
        <f>IF(coder1_YH!P143="",K142, coder1_YH!P143)</f>
        <v>ctl</v>
      </c>
      <c r="L143" s="324" t="str">
        <f>IF(clean_mod!AF143="",L142,clean_mod!AF143)</f>
        <v xml:space="preserve">127.01-.m </v>
      </c>
      <c r="M143" s="324" t="str">
        <f>IF(clean_mod!AG143="",M142,clean_mod!AG143)</f>
        <v>127.01-R</v>
      </c>
      <c r="N143" s="372" t="str">
        <f t="shared" si="16"/>
        <v>127-ctl-60</v>
      </c>
      <c r="O143" s="372" t="str">
        <f t="shared" si="17"/>
        <v>127-ctl-60</v>
      </c>
      <c r="P143" s="369">
        <v>60</v>
      </c>
      <c r="Q143" s="369" t="str">
        <f>LEFT(coder1_YH!AK143,1)</f>
        <v>1</v>
      </c>
      <c r="R143" s="369" t="str">
        <f>LEFT(coder1_YH!AL143,1)</f>
        <v>0</v>
      </c>
      <c r="S143" s="369" t="str">
        <f>coder1_YH!AJ143</f>
        <v>GMRT = Gates–MacGinitie Reading Tests</v>
      </c>
      <c r="T143" s="370">
        <f>coder1_YH!AN143</f>
        <v>519.67999999999995</v>
      </c>
      <c r="U143" s="370">
        <f>coder1_YH!AO143</f>
        <v>28.78</v>
      </c>
      <c r="V143" s="370">
        <f>coder1_YH!AP143</f>
        <v>143</v>
      </c>
      <c r="W143" s="370">
        <f>coder1_YH!AQ143</f>
        <v>518.19000000000005</v>
      </c>
      <c r="X143" s="370">
        <f>coder1_YH!AR143</f>
        <v>30.19</v>
      </c>
      <c r="Y143" s="370">
        <f>coder1_YH!AS143</f>
        <v>143</v>
      </c>
      <c r="Z143" s="371">
        <f t="shared" si="18"/>
        <v>519.67999999999995</v>
      </c>
      <c r="AA143" s="371">
        <f t="shared" si="19"/>
        <v>28.78</v>
      </c>
      <c r="AB143" s="371">
        <f t="shared" si="20"/>
        <v>143</v>
      </c>
      <c r="AC143" s="371">
        <f t="shared" si="21"/>
        <v>518.19000000000005</v>
      </c>
      <c r="AD143" s="371">
        <f t="shared" si="22"/>
        <v>30.19</v>
      </c>
      <c r="AE143" s="371">
        <f t="shared" si="23"/>
        <v>143</v>
      </c>
    </row>
    <row r="144" spans="1:31" x14ac:dyDescent="0.2">
      <c r="A144">
        <f>coder1_YH!B144</f>
        <v>0</v>
      </c>
      <c r="B144">
        <f>coder1_YH!C144</f>
        <v>144</v>
      </c>
      <c r="C144">
        <f>coder1_YH!D144</f>
        <v>0</v>
      </c>
      <c r="D144" t="b">
        <f>coder1_YH!E144</f>
        <v>1</v>
      </c>
      <c r="E144" t="b">
        <f>coder1_YH!F144</f>
        <v>1</v>
      </c>
      <c r="G144" t="str">
        <f>IF(coder1_YH!G144="",G143, coder1_YH!G144)</f>
        <v>Little et al. 2014</v>
      </c>
      <c r="H144" s="405" t="str">
        <f>clean_mod!I144</f>
        <v>2014</v>
      </c>
      <c r="I144" t="str">
        <f>clean_mod!G144</f>
        <v>127</v>
      </c>
      <c r="J144">
        <f>clean_mod!H144</f>
        <v>127.02000000000001</v>
      </c>
      <c r="K144">
        <f>IF(coder1_YH!P144="",K143, coder1_YH!P144)</f>
        <v>1</v>
      </c>
      <c r="L144" s="324" t="str">
        <f>IF(clean_mod!AF144="",L143,clean_mod!AF144)</f>
        <v xml:space="preserve">127.02-Nm </v>
      </c>
      <c r="M144" s="324" t="str">
        <f>IF(clean_mod!AG144="",M143,clean_mod!AG144)</f>
        <v>127.02-N_R</v>
      </c>
      <c r="N144" s="372" t="str">
        <f t="shared" si="16"/>
        <v>127-ctl-61</v>
      </c>
      <c r="O144" s="372" t="str">
        <f t="shared" si="17"/>
        <v>127-1-61</v>
      </c>
      <c r="P144" s="369">
        <v>61</v>
      </c>
      <c r="Q144" s="369" t="str">
        <f>LEFT(coder1_YH!AK144,1)</f>
        <v>1</v>
      </c>
      <c r="R144" s="369" t="str">
        <f>LEFT(coder1_YH!AL144,1)</f>
        <v>0</v>
      </c>
      <c r="S144" s="369" t="str">
        <f>coder1_YH!AJ144</f>
        <v>GMRT = Gates–MacGinitie Reading Tests</v>
      </c>
      <c r="T144" s="370">
        <f>coder1_YH!AN144</f>
        <v>521.98</v>
      </c>
      <c r="U144" s="370">
        <f>coder1_YH!AO144</f>
        <v>27.12</v>
      </c>
      <c r="V144" s="370">
        <f>coder1_YH!AP144</f>
        <v>117</v>
      </c>
      <c r="W144" s="370">
        <f>coder1_YH!AQ144</f>
        <v>522.23</v>
      </c>
      <c r="X144" s="370">
        <f>coder1_YH!AR144</f>
        <v>27.7</v>
      </c>
      <c r="Y144" s="370">
        <f>coder1_YH!AS144</f>
        <v>117</v>
      </c>
      <c r="Z144" s="371">
        <f t="shared" si="18"/>
        <v>522.34</v>
      </c>
      <c r="AA144" s="371">
        <f t="shared" si="19"/>
        <v>33.229999999999997</v>
      </c>
      <c r="AB144" s="371">
        <f t="shared" si="20"/>
        <v>134</v>
      </c>
      <c r="AC144" s="371">
        <f t="shared" si="21"/>
        <v>522.42999999999995</v>
      </c>
      <c r="AD144" s="371">
        <f t="shared" si="22"/>
        <v>31.16</v>
      </c>
      <c r="AE144" s="371">
        <f t="shared" si="23"/>
        <v>134</v>
      </c>
    </row>
    <row r="145" spans="1:31" x14ac:dyDescent="0.2">
      <c r="A145">
        <f>coder1_YH!B145</f>
        <v>0</v>
      </c>
      <c r="B145">
        <f>coder1_YH!C145</f>
        <v>145</v>
      </c>
      <c r="C145">
        <f>coder1_YH!D145</f>
        <v>0</v>
      </c>
      <c r="D145" t="str">
        <f>coder1_YH!E145</f>
        <v/>
      </c>
      <c r="E145" t="b">
        <f>coder1_YH!F145</f>
        <v>1</v>
      </c>
      <c r="G145" t="str">
        <f>IF(coder1_YH!G145="",G144, coder1_YH!G145)</f>
        <v>Little et al. 2014</v>
      </c>
      <c r="H145" s="405" t="str">
        <f>clean_mod!I145</f>
        <v>2014</v>
      </c>
      <c r="I145" t="str">
        <f>clean_mod!G145</f>
        <v>127</v>
      </c>
      <c r="J145">
        <f>clean_mod!H145</f>
        <v>127.02000000000001</v>
      </c>
      <c r="K145" t="str">
        <f>IF(coder1_YH!P145="",K144, coder1_YH!P145)</f>
        <v>ctl</v>
      </c>
      <c r="L145" s="324" t="str">
        <f>IF(clean_mod!AF145="",L144,clean_mod!AF145)</f>
        <v xml:space="preserve">127.02-.m </v>
      </c>
      <c r="M145" s="324" t="str">
        <f>IF(clean_mod!AG145="",M144,clean_mod!AG145)</f>
        <v>127.02-R</v>
      </c>
      <c r="N145" s="372" t="str">
        <f t="shared" si="16"/>
        <v>127-ctl-61</v>
      </c>
      <c r="O145" s="372" t="str">
        <f t="shared" si="17"/>
        <v>127-ctl-61</v>
      </c>
      <c r="P145" s="369">
        <v>61</v>
      </c>
      <c r="Q145" s="369" t="str">
        <f>LEFT(coder1_YH!AK145,1)</f>
        <v>1</v>
      </c>
      <c r="R145" s="369" t="str">
        <f>LEFT(coder1_YH!AL145,1)</f>
        <v>0</v>
      </c>
      <c r="S145" s="369" t="str">
        <f>coder1_YH!AJ145</f>
        <v>GMRT = Gates–MacGinitie Reading Tests</v>
      </c>
      <c r="T145" s="370">
        <f>coder1_YH!AN145</f>
        <v>522.34</v>
      </c>
      <c r="U145" s="370">
        <f>coder1_YH!AO145</f>
        <v>33.229999999999997</v>
      </c>
      <c r="V145" s="370">
        <f>coder1_YH!AP145</f>
        <v>134</v>
      </c>
      <c r="W145" s="370">
        <f>coder1_YH!AQ145</f>
        <v>522.42999999999995</v>
      </c>
      <c r="X145" s="370">
        <f>coder1_YH!AR145</f>
        <v>31.16</v>
      </c>
      <c r="Y145" s="370">
        <f>coder1_YH!AS145</f>
        <v>134</v>
      </c>
      <c r="Z145" s="371">
        <f t="shared" si="18"/>
        <v>522.34</v>
      </c>
      <c r="AA145" s="371">
        <f t="shared" si="19"/>
        <v>33.229999999999997</v>
      </c>
      <c r="AB145" s="371">
        <f t="shared" si="20"/>
        <v>134</v>
      </c>
      <c r="AC145" s="371">
        <f t="shared" si="21"/>
        <v>522.42999999999995</v>
      </c>
      <c r="AD145" s="371">
        <f t="shared" si="22"/>
        <v>31.16</v>
      </c>
      <c r="AE145" s="371">
        <f t="shared" si="23"/>
        <v>134</v>
      </c>
    </row>
    <row r="146" spans="1:31" x14ac:dyDescent="0.2">
      <c r="A146">
        <f>coder1_YH!B146</f>
        <v>0</v>
      </c>
      <c r="B146">
        <f>coder1_YH!C146</f>
        <v>146</v>
      </c>
      <c r="C146">
        <f>coder1_YH!D146</f>
        <v>0</v>
      </c>
      <c r="D146" t="b">
        <f>coder1_YH!E146</f>
        <v>1</v>
      </c>
      <c r="E146" t="b">
        <f>coder1_YH!F146</f>
        <v>1</v>
      </c>
      <c r="G146" t="str">
        <f>IF(coder1_YH!G146="",G145, coder1_YH!G146)</f>
        <v>Little et al. 2014</v>
      </c>
      <c r="H146" s="405" t="str">
        <f>clean_mod!I146</f>
        <v>2014</v>
      </c>
      <c r="I146" t="str">
        <f>clean_mod!G146</f>
        <v>127</v>
      </c>
      <c r="J146">
        <f>clean_mod!H146</f>
        <v>127.03000000000002</v>
      </c>
      <c r="K146">
        <f>IF(coder1_YH!P146="",K145, coder1_YH!P146)</f>
        <v>1</v>
      </c>
      <c r="L146" s="324" t="str">
        <f>IF(clean_mod!AF146="",L145,clean_mod!AF146)</f>
        <v xml:space="preserve">127.03-Nm </v>
      </c>
      <c r="M146" s="324" t="str">
        <f>IF(clean_mod!AG146="",M145,clean_mod!AG146)</f>
        <v>127.03-N_R</v>
      </c>
      <c r="N146" s="372" t="str">
        <f t="shared" si="16"/>
        <v>127-ctl-62</v>
      </c>
      <c r="O146" s="372" t="str">
        <f t="shared" si="17"/>
        <v>127-1-62</v>
      </c>
      <c r="P146" s="369">
        <v>62</v>
      </c>
      <c r="Q146" s="369" t="str">
        <f>LEFT(coder1_YH!AK146,1)</f>
        <v>1</v>
      </c>
      <c r="R146" s="369" t="str">
        <f>LEFT(coder1_YH!AL146,1)</f>
        <v>0</v>
      </c>
      <c r="S146" s="369" t="str">
        <f>coder1_YH!AJ146</f>
        <v>GMRT = Gates–MacGinitie Reading Tests</v>
      </c>
      <c r="T146" s="370">
        <f>coder1_YH!AN146</f>
        <v>498.84</v>
      </c>
      <c r="U146" s="370">
        <f>coder1_YH!AO146</f>
        <v>35.159999999999997</v>
      </c>
      <c r="V146" s="370">
        <f>coder1_YH!AP146</f>
        <v>176</v>
      </c>
      <c r="W146" s="370">
        <f>coder1_YH!AQ146</f>
        <v>501.99</v>
      </c>
      <c r="X146" s="370">
        <f>coder1_YH!AR146</f>
        <v>31.33</v>
      </c>
      <c r="Y146" s="370">
        <f>coder1_YH!AS146</f>
        <v>176</v>
      </c>
      <c r="Z146" s="371">
        <f t="shared" si="18"/>
        <v>505.65</v>
      </c>
      <c r="AA146" s="371">
        <f t="shared" si="19"/>
        <v>31.49</v>
      </c>
      <c r="AB146" s="371">
        <f t="shared" si="20"/>
        <v>84</v>
      </c>
      <c r="AC146" s="371">
        <f t="shared" si="21"/>
        <v>510.28</v>
      </c>
      <c r="AD146" s="371">
        <f t="shared" si="22"/>
        <v>32.590000000000003</v>
      </c>
      <c r="AE146" s="371">
        <f t="shared" si="23"/>
        <v>84</v>
      </c>
    </row>
    <row r="147" spans="1:31" x14ac:dyDescent="0.2">
      <c r="A147">
        <f>coder1_YH!B147</f>
        <v>0</v>
      </c>
      <c r="B147">
        <f>coder1_YH!C147</f>
        <v>147</v>
      </c>
      <c r="C147">
        <f>coder1_YH!D147</f>
        <v>0</v>
      </c>
      <c r="D147" t="str">
        <f>coder1_YH!E147</f>
        <v/>
      </c>
      <c r="E147" t="b">
        <f>coder1_YH!F147</f>
        <v>1</v>
      </c>
      <c r="G147" t="str">
        <f>IF(coder1_YH!G147="",G146, coder1_YH!G147)</f>
        <v>Little et al. 2014</v>
      </c>
      <c r="H147" s="405" t="str">
        <f>clean_mod!I147</f>
        <v>2014</v>
      </c>
      <c r="I147" t="str">
        <f>clean_mod!G147</f>
        <v>127</v>
      </c>
      <c r="J147">
        <f>clean_mod!H147</f>
        <v>127.03000000000002</v>
      </c>
      <c r="K147" t="str">
        <f>IF(coder1_YH!P147="",K146, coder1_YH!P147)</f>
        <v>ctl</v>
      </c>
      <c r="L147" s="324" t="str">
        <f>IF(clean_mod!AF147="",L146,clean_mod!AF147)</f>
        <v xml:space="preserve">127.03-.m </v>
      </c>
      <c r="M147" s="324" t="str">
        <f>IF(clean_mod!AG147="",M146,clean_mod!AG147)</f>
        <v>127.03-R</v>
      </c>
      <c r="N147" s="372" t="str">
        <f t="shared" si="16"/>
        <v>127-ctl-62</v>
      </c>
      <c r="O147" s="372" t="str">
        <f t="shared" si="17"/>
        <v>127-ctl-62</v>
      </c>
      <c r="P147" s="369">
        <v>62</v>
      </c>
      <c r="Q147" s="369" t="str">
        <f>LEFT(coder1_YH!AK147,1)</f>
        <v>1</v>
      </c>
      <c r="R147" s="369" t="str">
        <f>LEFT(coder1_YH!AL147,1)</f>
        <v>0</v>
      </c>
      <c r="S147" s="369" t="str">
        <f>coder1_YH!AJ147</f>
        <v>GMRT = Gates–MacGinitie Reading Tests</v>
      </c>
      <c r="T147" s="370">
        <f>coder1_YH!AN147</f>
        <v>505.65</v>
      </c>
      <c r="U147" s="370">
        <f>coder1_YH!AO147</f>
        <v>31.49</v>
      </c>
      <c r="V147" s="370">
        <f>coder1_YH!AP147</f>
        <v>84</v>
      </c>
      <c r="W147" s="370">
        <f>coder1_YH!AQ147</f>
        <v>510.28</v>
      </c>
      <c r="X147" s="370">
        <f>coder1_YH!AR147</f>
        <v>32.590000000000003</v>
      </c>
      <c r="Y147" s="370">
        <f>coder1_YH!AS147</f>
        <v>84</v>
      </c>
      <c r="Z147" s="371">
        <f t="shared" si="18"/>
        <v>505.65</v>
      </c>
      <c r="AA147" s="371">
        <f t="shared" si="19"/>
        <v>31.49</v>
      </c>
      <c r="AB147" s="371">
        <f t="shared" si="20"/>
        <v>84</v>
      </c>
      <c r="AC147" s="371">
        <f t="shared" si="21"/>
        <v>510.28</v>
      </c>
      <c r="AD147" s="371">
        <f t="shared" si="22"/>
        <v>32.590000000000003</v>
      </c>
      <c r="AE147" s="371">
        <f t="shared" si="23"/>
        <v>84</v>
      </c>
    </row>
    <row r="148" spans="1:31" x14ac:dyDescent="0.2">
      <c r="A148">
        <f>coder1_YH!B148</f>
        <v>0</v>
      </c>
      <c r="B148">
        <f>coder1_YH!C148</f>
        <v>148</v>
      </c>
      <c r="C148">
        <f>coder1_YH!D148</f>
        <v>0</v>
      </c>
      <c r="D148" t="b">
        <f>coder1_YH!E148</f>
        <v>1</v>
      </c>
      <c r="E148" t="b">
        <f>coder1_YH!F148</f>
        <v>1</v>
      </c>
      <c r="G148" t="str">
        <f>IF(coder1_YH!G148="",G147, coder1_YH!G148)</f>
        <v>Little et al. 2014</v>
      </c>
      <c r="H148" s="405" t="str">
        <f>clean_mod!I148</f>
        <v>2014</v>
      </c>
      <c r="I148" t="str">
        <f>clean_mod!G148</f>
        <v>127</v>
      </c>
      <c r="J148">
        <f>clean_mod!H148</f>
        <v>127.04000000000002</v>
      </c>
      <c r="K148">
        <f>IF(coder1_YH!P148="",K147, coder1_YH!P148)</f>
        <v>1</v>
      </c>
      <c r="L148" s="324" t="str">
        <f>IF(clean_mod!AF148="",L147,clean_mod!AF148)</f>
        <v xml:space="preserve">127.04-Nm </v>
      </c>
      <c r="M148" s="324" t="str">
        <f>IF(clean_mod!AG148="",M147,clean_mod!AG148)</f>
        <v>127.04-N_R</v>
      </c>
      <c r="N148" s="372" t="str">
        <f t="shared" si="16"/>
        <v>127-ctl-63</v>
      </c>
      <c r="O148" s="372" t="str">
        <f t="shared" si="17"/>
        <v>127-1-63</v>
      </c>
      <c r="P148" s="369">
        <v>63</v>
      </c>
      <c r="Q148" s="369" t="str">
        <f>LEFT(coder1_YH!AK148,1)</f>
        <v>1</v>
      </c>
      <c r="R148" s="369" t="str">
        <f>LEFT(coder1_YH!AL148,1)</f>
        <v>0</v>
      </c>
      <c r="S148" s="369" t="str">
        <f>coder1_YH!AJ148</f>
        <v>GMRT = Gates–MacGinitie Reading Tests</v>
      </c>
      <c r="T148" s="370">
        <f>coder1_YH!AN148</f>
        <v>523.13</v>
      </c>
      <c r="U148" s="370">
        <f>coder1_YH!AO148</f>
        <v>26.26</v>
      </c>
      <c r="V148" s="370">
        <f>coder1_YH!AP148</f>
        <v>196</v>
      </c>
      <c r="W148" s="370">
        <f>coder1_YH!AQ148</f>
        <v>526.38</v>
      </c>
      <c r="X148" s="370">
        <f>coder1_YH!AR148</f>
        <v>28.99</v>
      </c>
      <c r="Y148" s="370">
        <f>coder1_YH!AS148</f>
        <v>196</v>
      </c>
      <c r="Z148" s="371">
        <f t="shared" si="18"/>
        <v>517.99</v>
      </c>
      <c r="AA148" s="371">
        <f t="shared" si="19"/>
        <v>28.76</v>
      </c>
      <c r="AB148" s="371">
        <f t="shared" si="20"/>
        <v>78</v>
      </c>
      <c r="AC148" s="371">
        <f t="shared" si="21"/>
        <v>521.44000000000005</v>
      </c>
      <c r="AD148" s="371">
        <f t="shared" si="22"/>
        <v>30.89</v>
      </c>
      <c r="AE148" s="371">
        <f t="shared" si="23"/>
        <v>78</v>
      </c>
    </row>
    <row r="149" spans="1:31" x14ac:dyDescent="0.2">
      <c r="A149">
        <f>coder1_YH!B149</f>
        <v>0</v>
      </c>
      <c r="B149">
        <f>coder1_YH!C149</f>
        <v>149</v>
      </c>
      <c r="C149">
        <f>coder1_YH!D149</f>
        <v>0</v>
      </c>
      <c r="D149" t="str">
        <f>coder1_YH!E149</f>
        <v/>
      </c>
      <c r="E149" t="b">
        <f>coder1_YH!F149</f>
        <v>1</v>
      </c>
      <c r="G149" t="str">
        <f>IF(coder1_YH!G149="",G148, coder1_YH!G149)</f>
        <v>Little et al. 2014</v>
      </c>
      <c r="H149" s="405" t="str">
        <f>clean_mod!I149</f>
        <v>2014</v>
      </c>
      <c r="I149" t="str">
        <f>clean_mod!G149</f>
        <v>127</v>
      </c>
      <c r="J149">
        <f>clean_mod!H149</f>
        <v>127.04000000000002</v>
      </c>
      <c r="K149" t="str">
        <f>IF(coder1_YH!P149="",K148, coder1_YH!P149)</f>
        <v>ctl</v>
      </c>
      <c r="L149" s="324" t="str">
        <f>IF(clean_mod!AF149="",L148,clean_mod!AF149)</f>
        <v xml:space="preserve">127.04-.m </v>
      </c>
      <c r="M149" s="324" t="str">
        <f>IF(clean_mod!AG149="",M148,clean_mod!AG149)</f>
        <v>127.04-R</v>
      </c>
      <c r="N149" s="372" t="str">
        <f t="shared" si="16"/>
        <v>127-ctl-63</v>
      </c>
      <c r="O149" s="372" t="str">
        <f t="shared" si="17"/>
        <v>127-ctl-63</v>
      </c>
      <c r="P149" s="369">
        <v>63</v>
      </c>
      <c r="Q149" s="369" t="str">
        <f>LEFT(coder1_YH!AK149,1)</f>
        <v>1</v>
      </c>
      <c r="R149" s="369" t="str">
        <f>LEFT(coder1_YH!AL149,1)</f>
        <v>0</v>
      </c>
      <c r="S149" s="369" t="str">
        <f>coder1_YH!AJ149</f>
        <v>GMRT = Gates–MacGinitie Reading Tests</v>
      </c>
      <c r="T149" s="370">
        <f>coder1_YH!AN149</f>
        <v>517.99</v>
      </c>
      <c r="U149" s="370">
        <f>coder1_YH!AO149</f>
        <v>28.76</v>
      </c>
      <c r="V149" s="370">
        <f>coder1_YH!AP149</f>
        <v>78</v>
      </c>
      <c r="W149" s="370">
        <f>coder1_YH!AQ149</f>
        <v>521.44000000000005</v>
      </c>
      <c r="X149" s="370">
        <f>coder1_YH!AR149</f>
        <v>30.89</v>
      </c>
      <c r="Y149" s="370">
        <f>coder1_YH!AS149</f>
        <v>78</v>
      </c>
      <c r="Z149" s="371">
        <f t="shared" si="18"/>
        <v>517.99</v>
      </c>
      <c r="AA149" s="371">
        <f t="shared" si="19"/>
        <v>28.76</v>
      </c>
      <c r="AB149" s="371">
        <f t="shared" si="20"/>
        <v>78</v>
      </c>
      <c r="AC149" s="371">
        <f t="shared" si="21"/>
        <v>521.44000000000005</v>
      </c>
      <c r="AD149" s="371">
        <f t="shared" si="22"/>
        <v>30.89</v>
      </c>
      <c r="AE149" s="371">
        <f t="shared" si="23"/>
        <v>78</v>
      </c>
    </row>
    <row r="150" spans="1:31" x14ac:dyDescent="0.2">
      <c r="A150">
        <f>coder1_YH!B150</f>
        <v>0</v>
      </c>
      <c r="B150">
        <f>coder1_YH!C150</f>
        <v>150</v>
      </c>
      <c r="C150">
        <f>coder1_YH!D150</f>
        <v>0</v>
      </c>
      <c r="D150" t="b">
        <f>coder1_YH!E150</f>
        <v>1</v>
      </c>
      <c r="E150" t="b">
        <f>coder1_YH!F150</f>
        <v>1</v>
      </c>
      <c r="G150" t="str">
        <f>IF(coder1_YH!G150="",G149, coder1_YH!G150)</f>
        <v>Little et al. 2014</v>
      </c>
      <c r="H150" s="405" t="str">
        <f>clean_mod!I150</f>
        <v>2014</v>
      </c>
      <c r="I150" t="str">
        <f>clean_mod!G150</f>
        <v>127</v>
      </c>
      <c r="J150">
        <f>clean_mod!H150</f>
        <v>127.05000000000003</v>
      </c>
      <c r="K150">
        <f>IF(coder1_YH!P150="",K149, coder1_YH!P150)</f>
        <v>1</v>
      </c>
      <c r="L150" s="324" t="str">
        <f>IF(clean_mod!AF150="",L149,clean_mod!AF150)</f>
        <v xml:space="preserve">127.05-Nm </v>
      </c>
      <c r="M150" s="324" t="str">
        <f>IF(clean_mod!AG150="",M149,clean_mod!AG150)</f>
        <v>127.05-N_R</v>
      </c>
      <c r="N150" s="372" t="str">
        <f t="shared" si="16"/>
        <v>127-ctl-64</v>
      </c>
      <c r="O150" s="372" t="str">
        <f t="shared" si="17"/>
        <v>127-1-64</v>
      </c>
      <c r="P150" s="369">
        <v>64</v>
      </c>
      <c r="Q150" s="369" t="str">
        <f>LEFT(coder1_YH!AK150,1)</f>
        <v>1</v>
      </c>
      <c r="R150" s="369" t="str">
        <f>LEFT(coder1_YH!AL150,1)</f>
        <v>0</v>
      </c>
      <c r="S150" s="369" t="str">
        <f>coder1_YH!AJ150</f>
        <v>GMRT = Gates–MacGinitie Reading Tests</v>
      </c>
      <c r="T150" s="370">
        <f>coder1_YH!AN150</f>
        <v>535.05999999999995</v>
      </c>
      <c r="U150" s="370">
        <f>coder1_YH!AO150</f>
        <v>30.68</v>
      </c>
      <c r="V150" s="370">
        <f>coder1_YH!AP150</f>
        <v>200</v>
      </c>
      <c r="W150" s="370">
        <f>coder1_YH!AQ150</f>
        <v>535.59</v>
      </c>
      <c r="X150" s="370">
        <f>coder1_YH!AR150</f>
        <v>31.14</v>
      </c>
      <c r="Y150" s="370">
        <f>coder1_YH!AS150</f>
        <v>200</v>
      </c>
      <c r="Z150" s="371">
        <f t="shared" si="18"/>
        <v>530.72</v>
      </c>
      <c r="AA150" s="371">
        <f t="shared" si="19"/>
        <v>27.92</v>
      </c>
      <c r="AB150" s="371">
        <f t="shared" si="20"/>
        <v>106</v>
      </c>
      <c r="AC150" s="371">
        <f t="shared" si="21"/>
        <v>519.05999999999995</v>
      </c>
      <c r="AD150" s="371">
        <f t="shared" si="22"/>
        <v>36.21</v>
      </c>
      <c r="AE150" s="371">
        <f t="shared" si="23"/>
        <v>106</v>
      </c>
    </row>
    <row r="151" spans="1:31" x14ac:dyDescent="0.2">
      <c r="A151">
        <f>coder1_YH!B151</f>
        <v>0</v>
      </c>
      <c r="B151">
        <f>coder1_YH!C151</f>
        <v>151</v>
      </c>
      <c r="C151">
        <f>coder1_YH!D151</f>
        <v>0</v>
      </c>
      <c r="D151" t="str">
        <f>coder1_YH!E151</f>
        <v/>
      </c>
      <c r="E151" t="b">
        <f>coder1_YH!F151</f>
        <v>1</v>
      </c>
      <c r="G151" t="str">
        <f>IF(coder1_YH!G151="",G150, coder1_YH!G151)</f>
        <v>Little et al. 2014</v>
      </c>
      <c r="H151" s="405" t="str">
        <f>clean_mod!I151</f>
        <v>2014</v>
      </c>
      <c r="I151" t="str">
        <f>clean_mod!G151</f>
        <v>127</v>
      </c>
      <c r="J151">
        <f>clean_mod!H151</f>
        <v>127.05000000000003</v>
      </c>
      <c r="K151" t="str">
        <f>IF(coder1_YH!P151="",K150, coder1_YH!P151)</f>
        <v>ctl</v>
      </c>
      <c r="L151" s="324" t="str">
        <f>IF(clean_mod!AF151="",L150,clean_mod!AF151)</f>
        <v xml:space="preserve">127.05-.m </v>
      </c>
      <c r="M151" s="324" t="str">
        <f>IF(clean_mod!AG151="",M150,clean_mod!AG151)</f>
        <v>127.05-R</v>
      </c>
      <c r="N151" s="372" t="str">
        <f t="shared" si="16"/>
        <v>127-ctl-64</v>
      </c>
      <c r="O151" s="372" t="str">
        <f t="shared" si="17"/>
        <v>127-ctl-64</v>
      </c>
      <c r="P151" s="369">
        <v>64</v>
      </c>
      <c r="Q151" s="369" t="str">
        <f>LEFT(coder1_YH!AK151,1)</f>
        <v>1</v>
      </c>
      <c r="R151" s="369" t="str">
        <f>LEFT(coder1_YH!AL151,1)</f>
        <v>0</v>
      </c>
      <c r="S151" s="369" t="str">
        <f>coder1_YH!AJ151</f>
        <v>GMRT = Gates–MacGinitie Reading Tests</v>
      </c>
      <c r="T151" s="370">
        <f>coder1_YH!AN151</f>
        <v>530.72</v>
      </c>
      <c r="U151" s="370">
        <f>coder1_YH!AO151</f>
        <v>27.92</v>
      </c>
      <c r="V151" s="370">
        <f>coder1_YH!AP151</f>
        <v>106</v>
      </c>
      <c r="W151" s="370">
        <f>coder1_YH!AQ151</f>
        <v>519.05999999999995</v>
      </c>
      <c r="X151" s="370">
        <f>coder1_YH!AR151</f>
        <v>36.21</v>
      </c>
      <c r="Y151" s="370">
        <f>coder1_YH!AS151</f>
        <v>106</v>
      </c>
      <c r="Z151" s="371">
        <f t="shared" si="18"/>
        <v>530.72</v>
      </c>
      <c r="AA151" s="371">
        <f t="shared" si="19"/>
        <v>27.92</v>
      </c>
      <c r="AB151" s="371">
        <f t="shared" si="20"/>
        <v>106</v>
      </c>
      <c r="AC151" s="371">
        <f t="shared" si="21"/>
        <v>519.05999999999995</v>
      </c>
      <c r="AD151" s="371">
        <f t="shared" si="22"/>
        <v>36.21</v>
      </c>
      <c r="AE151" s="371">
        <f t="shared" si="23"/>
        <v>106</v>
      </c>
    </row>
    <row r="152" spans="1:31" x14ac:dyDescent="0.2">
      <c r="A152">
        <f>coder1_YH!B152</f>
        <v>0</v>
      </c>
      <c r="B152">
        <f>coder1_YH!C152</f>
        <v>152</v>
      </c>
      <c r="C152">
        <f>coder1_YH!D152</f>
        <v>0</v>
      </c>
      <c r="D152" t="b">
        <f>coder1_YH!E152</f>
        <v>1</v>
      </c>
      <c r="E152" t="b">
        <f>coder1_YH!F152</f>
        <v>1</v>
      </c>
      <c r="G152" t="str">
        <f>IF(coder1_YH!G152="",G151, coder1_YH!G152)</f>
        <v>Little et al. 2014</v>
      </c>
      <c r="H152" s="405" t="str">
        <f>clean_mod!I152</f>
        <v>2014</v>
      </c>
      <c r="I152" t="str">
        <f>clean_mod!G152</f>
        <v>127</v>
      </c>
      <c r="J152">
        <f>clean_mod!H152</f>
        <v>127.06000000000003</v>
      </c>
      <c r="K152">
        <f>IF(coder1_YH!P152="",K151, coder1_YH!P152)</f>
        <v>1</v>
      </c>
      <c r="L152" s="324" t="str">
        <f>IF(clean_mod!AF152="",L151,clean_mod!AF152)</f>
        <v xml:space="preserve">127.06-Nm </v>
      </c>
      <c r="M152" s="324" t="str">
        <f>IF(clean_mod!AG152="",M151,clean_mod!AG152)</f>
        <v>127.06-N_R</v>
      </c>
      <c r="N152" s="372" t="str">
        <f t="shared" si="16"/>
        <v>127-ctl-65</v>
      </c>
      <c r="O152" s="372" t="str">
        <f t="shared" si="17"/>
        <v>127-1-65</v>
      </c>
      <c r="P152" s="369">
        <v>65</v>
      </c>
      <c r="Q152" s="369" t="str">
        <f>LEFT(coder1_YH!AK152,1)</f>
        <v>1</v>
      </c>
      <c r="R152" s="369" t="str">
        <f>LEFT(coder1_YH!AL152,1)</f>
        <v>0</v>
      </c>
      <c r="S152" s="369" t="str">
        <f>coder1_YH!AJ152</f>
        <v>GMRT = Gates–MacGinitie Reading Tests</v>
      </c>
      <c r="T152" s="370">
        <f>coder1_YH!AN152</f>
        <v>509.06</v>
      </c>
      <c r="U152" s="370">
        <f>coder1_YH!AO152</f>
        <v>28.54</v>
      </c>
      <c r="V152" s="370">
        <f>coder1_YH!AP152</f>
        <v>49</v>
      </c>
      <c r="W152" s="370">
        <f>coder1_YH!AQ152</f>
        <v>511.67</v>
      </c>
      <c r="X152" s="370">
        <f>coder1_YH!AR152</f>
        <v>26.68</v>
      </c>
      <c r="Y152" s="370">
        <f>coder1_YH!AS152</f>
        <v>49</v>
      </c>
      <c r="Z152" s="371">
        <f t="shared" si="18"/>
        <v>498.09</v>
      </c>
      <c r="AA152" s="371">
        <f t="shared" si="19"/>
        <v>29.08</v>
      </c>
      <c r="AB152" s="371">
        <f t="shared" si="20"/>
        <v>47</v>
      </c>
      <c r="AC152" s="371">
        <f t="shared" si="21"/>
        <v>494.35</v>
      </c>
      <c r="AD152" s="371">
        <f t="shared" si="22"/>
        <v>30.34</v>
      </c>
      <c r="AE152" s="371">
        <f t="shared" si="23"/>
        <v>47</v>
      </c>
    </row>
    <row r="153" spans="1:31" x14ac:dyDescent="0.2">
      <c r="A153">
        <f>coder1_YH!B153</f>
        <v>0</v>
      </c>
      <c r="B153">
        <f>coder1_YH!C153</f>
        <v>153</v>
      </c>
      <c r="C153">
        <f>coder1_YH!D153</f>
        <v>0</v>
      </c>
      <c r="D153" t="str">
        <f>coder1_YH!E153</f>
        <v/>
      </c>
      <c r="E153" t="b">
        <f>coder1_YH!F153</f>
        <v>1</v>
      </c>
      <c r="G153" t="str">
        <f>IF(coder1_YH!G153="",G152, coder1_YH!G153)</f>
        <v>Little et al. 2014</v>
      </c>
      <c r="H153" s="405" t="str">
        <f>clean_mod!I153</f>
        <v>2014</v>
      </c>
      <c r="I153" t="str">
        <f>clean_mod!G153</f>
        <v>127</v>
      </c>
      <c r="J153">
        <f>clean_mod!H153</f>
        <v>127.06000000000003</v>
      </c>
      <c r="K153" t="str">
        <f>IF(coder1_YH!P153="",K152, coder1_YH!P153)</f>
        <v>ctl</v>
      </c>
      <c r="L153" s="324" t="str">
        <f>IF(clean_mod!AF153="",L152,clean_mod!AF153)</f>
        <v xml:space="preserve">127.06-.m </v>
      </c>
      <c r="M153" s="324" t="str">
        <f>IF(clean_mod!AG153="",M152,clean_mod!AG153)</f>
        <v>127.06-R</v>
      </c>
      <c r="N153" s="372" t="str">
        <f t="shared" si="16"/>
        <v>127-ctl-65</v>
      </c>
      <c r="O153" s="372" t="str">
        <f t="shared" si="17"/>
        <v>127-ctl-65</v>
      </c>
      <c r="P153" s="369">
        <v>65</v>
      </c>
      <c r="Q153" s="369" t="str">
        <f>LEFT(coder1_YH!AK153,1)</f>
        <v>1</v>
      </c>
      <c r="R153" s="369" t="str">
        <f>LEFT(coder1_YH!AL153,1)</f>
        <v>0</v>
      </c>
      <c r="S153" s="369" t="str">
        <f>coder1_YH!AJ153</f>
        <v>GMRT = Gates–MacGinitie Reading Tests</v>
      </c>
      <c r="T153" s="370">
        <f>coder1_YH!AN153</f>
        <v>498.09</v>
      </c>
      <c r="U153" s="370">
        <f>coder1_YH!AO153</f>
        <v>29.08</v>
      </c>
      <c r="V153" s="370">
        <f>coder1_YH!AP153</f>
        <v>47</v>
      </c>
      <c r="W153" s="370">
        <f>coder1_YH!AQ153</f>
        <v>494.35</v>
      </c>
      <c r="X153" s="370">
        <f>coder1_YH!AR153</f>
        <v>30.34</v>
      </c>
      <c r="Y153" s="370">
        <f>coder1_YH!AS153</f>
        <v>47</v>
      </c>
      <c r="Z153" s="371">
        <f t="shared" si="18"/>
        <v>498.09</v>
      </c>
      <c r="AA153" s="371">
        <f t="shared" si="19"/>
        <v>29.08</v>
      </c>
      <c r="AB153" s="371">
        <f t="shared" si="20"/>
        <v>47</v>
      </c>
      <c r="AC153" s="371">
        <f t="shared" si="21"/>
        <v>494.35</v>
      </c>
      <c r="AD153" s="371">
        <f t="shared" si="22"/>
        <v>30.34</v>
      </c>
      <c r="AE153" s="371">
        <f t="shared" si="23"/>
        <v>47</v>
      </c>
    </row>
    <row r="154" spans="1:31" x14ac:dyDescent="0.2">
      <c r="A154">
        <f>coder1_YH!B154</f>
        <v>0</v>
      </c>
      <c r="B154">
        <f>coder1_YH!C154</f>
        <v>154</v>
      </c>
      <c r="C154">
        <f>coder1_YH!D154</f>
        <v>0</v>
      </c>
      <c r="D154" t="b">
        <f>coder1_YH!E154</f>
        <v>1</v>
      </c>
      <c r="E154" t="b">
        <f>coder1_YH!F154</f>
        <v>1</v>
      </c>
      <c r="G154" t="str">
        <f>IF(coder1_YH!G154="",G153, coder1_YH!G154)</f>
        <v>Little et al. 2014</v>
      </c>
      <c r="H154" s="405" t="str">
        <f>clean_mod!I154</f>
        <v>2014</v>
      </c>
      <c r="I154" t="str">
        <f>clean_mod!G154</f>
        <v>127</v>
      </c>
      <c r="J154">
        <f>clean_mod!H154</f>
        <v>127.07000000000004</v>
      </c>
      <c r="K154">
        <f>IF(coder1_YH!P154="",K153, coder1_YH!P154)</f>
        <v>1</v>
      </c>
      <c r="L154" s="324" t="str">
        <f>IF(clean_mod!AF154="",L153,clean_mod!AF154)</f>
        <v xml:space="preserve">127.07-Nm </v>
      </c>
      <c r="M154" s="324" t="str">
        <f>IF(clean_mod!AG154="",M153,clean_mod!AG154)</f>
        <v>127.07-N_R</v>
      </c>
      <c r="N154" s="372" t="str">
        <f t="shared" si="16"/>
        <v>127-ctl-66</v>
      </c>
      <c r="O154" s="372" t="str">
        <f t="shared" si="17"/>
        <v>127-1-66</v>
      </c>
      <c r="P154" s="369">
        <v>66</v>
      </c>
      <c r="Q154" s="369" t="str">
        <f>LEFT(coder1_YH!AK154,1)</f>
        <v>1</v>
      </c>
      <c r="R154" s="369" t="str">
        <f>LEFT(coder1_YH!AL154,1)</f>
        <v>0</v>
      </c>
      <c r="S154" s="369" t="str">
        <f>coder1_YH!AJ154</f>
        <v>GMRT = Gates–MacGinitie Reading Tests</v>
      </c>
      <c r="T154" s="370">
        <f>coder1_YH!AN154</f>
        <v>534.12</v>
      </c>
      <c r="U154" s="370">
        <f>coder1_YH!AO154</f>
        <v>27.62</v>
      </c>
      <c r="V154" s="370">
        <f>coder1_YH!AP154</f>
        <v>40</v>
      </c>
      <c r="W154" s="370">
        <f>coder1_YH!AQ154</f>
        <v>546.67999999999995</v>
      </c>
      <c r="X154" s="370">
        <f>coder1_YH!AR154</f>
        <v>30.07</v>
      </c>
      <c r="Y154" s="370">
        <f>coder1_YH!AS154</f>
        <v>40</v>
      </c>
      <c r="Z154" s="371">
        <f t="shared" si="18"/>
        <v>516.22</v>
      </c>
      <c r="AA154" s="371">
        <f t="shared" si="19"/>
        <v>27.44</v>
      </c>
      <c r="AB154" s="371">
        <f t="shared" si="20"/>
        <v>36</v>
      </c>
      <c r="AC154" s="371">
        <f t="shared" si="21"/>
        <v>518.08000000000004</v>
      </c>
      <c r="AD154" s="371">
        <f t="shared" si="22"/>
        <v>26.45</v>
      </c>
      <c r="AE154" s="371">
        <f t="shared" si="23"/>
        <v>36</v>
      </c>
    </row>
    <row r="155" spans="1:31" x14ac:dyDescent="0.2">
      <c r="A155">
        <f>coder1_YH!B155</f>
        <v>0</v>
      </c>
      <c r="B155">
        <f>coder1_YH!C155</f>
        <v>155</v>
      </c>
      <c r="C155">
        <f>coder1_YH!D155</f>
        <v>0</v>
      </c>
      <c r="D155" t="str">
        <f>coder1_YH!E155</f>
        <v/>
      </c>
      <c r="E155" t="b">
        <f>coder1_YH!F155</f>
        <v>1</v>
      </c>
      <c r="G155" t="str">
        <f>IF(coder1_YH!G155="",G154, coder1_YH!G155)</f>
        <v>Little et al. 2014</v>
      </c>
      <c r="H155" s="405" t="str">
        <f>clean_mod!I155</f>
        <v>2014</v>
      </c>
      <c r="I155" t="str">
        <f>clean_mod!G155</f>
        <v>127</v>
      </c>
      <c r="J155">
        <f>clean_mod!H155</f>
        <v>127.07000000000004</v>
      </c>
      <c r="K155" t="str">
        <f>IF(coder1_YH!P155="",K154, coder1_YH!P155)</f>
        <v>ctl</v>
      </c>
      <c r="L155" s="324" t="str">
        <f>IF(clean_mod!AF155="",L154,clean_mod!AF155)</f>
        <v xml:space="preserve">127.07-.m </v>
      </c>
      <c r="M155" s="324" t="str">
        <f>IF(clean_mod!AG155="",M154,clean_mod!AG155)</f>
        <v>127.07-R</v>
      </c>
      <c r="N155" s="372" t="str">
        <f t="shared" si="16"/>
        <v>127-ctl-66</v>
      </c>
      <c r="O155" s="372" t="str">
        <f t="shared" si="17"/>
        <v>127-ctl-66</v>
      </c>
      <c r="P155" s="369">
        <v>66</v>
      </c>
      <c r="Q155" s="369" t="str">
        <f>LEFT(coder1_YH!AK155,1)</f>
        <v>1</v>
      </c>
      <c r="R155" s="369" t="str">
        <f>LEFT(coder1_YH!AL155,1)</f>
        <v>0</v>
      </c>
      <c r="S155" s="369" t="str">
        <f>coder1_YH!AJ155</f>
        <v>GMRT = Gates–MacGinitie Reading Tests</v>
      </c>
      <c r="T155" s="370">
        <f>coder1_YH!AN155</f>
        <v>516.22</v>
      </c>
      <c r="U155" s="370">
        <f>coder1_YH!AO155</f>
        <v>27.44</v>
      </c>
      <c r="V155" s="370">
        <f>coder1_YH!AP155</f>
        <v>36</v>
      </c>
      <c r="W155" s="370">
        <f>coder1_YH!AQ155</f>
        <v>518.08000000000004</v>
      </c>
      <c r="X155" s="370">
        <f>coder1_YH!AR155</f>
        <v>26.45</v>
      </c>
      <c r="Y155" s="370">
        <f>coder1_YH!AS155</f>
        <v>36</v>
      </c>
      <c r="Z155" s="371">
        <f t="shared" si="18"/>
        <v>516.22</v>
      </c>
      <c r="AA155" s="371">
        <f t="shared" si="19"/>
        <v>27.44</v>
      </c>
      <c r="AB155" s="371">
        <f t="shared" si="20"/>
        <v>36</v>
      </c>
      <c r="AC155" s="371">
        <f t="shared" si="21"/>
        <v>518.08000000000004</v>
      </c>
      <c r="AD155" s="371">
        <f t="shared" si="22"/>
        <v>26.45</v>
      </c>
      <c r="AE155" s="371">
        <f t="shared" si="23"/>
        <v>36</v>
      </c>
    </row>
    <row r="156" spans="1:31" x14ac:dyDescent="0.2">
      <c r="A156">
        <f>coder1_YH!B156</f>
        <v>0</v>
      </c>
      <c r="B156">
        <f>coder1_YH!C156</f>
        <v>156</v>
      </c>
      <c r="C156">
        <f>coder1_YH!D156</f>
        <v>0</v>
      </c>
      <c r="D156" t="b">
        <f>coder1_YH!E156</f>
        <v>1</v>
      </c>
      <c r="E156" t="b">
        <f>coder1_YH!F156</f>
        <v>1</v>
      </c>
      <c r="G156" t="str">
        <f>IF(coder1_YH!G156="",G155, coder1_YH!G156)</f>
        <v>Little et al. 2014</v>
      </c>
      <c r="H156" s="405" t="str">
        <f>clean_mod!I156</f>
        <v>2014</v>
      </c>
      <c r="I156" t="str">
        <f>clean_mod!G156</f>
        <v>127</v>
      </c>
      <c r="J156">
        <f>clean_mod!H156</f>
        <v>127.08000000000004</v>
      </c>
      <c r="K156">
        <f>IF(coder1_YH!P156="",K155, coder1_YH!P156)</f>
        <v>1</v>
      </c>
      <c r="L156" s="324" t="str">
        <f>IF(clean_mod!AF156="",L155,clean_mod!AF156)</f>
        <v xml:space="preserve">127.08-Nm </v>
      </c>
      <c r="M156" s="324" t="str">
        <f>IF(clean_mod!AG156="",M155,clean_mod!AG156)</f>
        <v>127.08-N_R</v>
      </c>
      <c r="N156" s="372" t="str">
        <f t="shared" si="16"/>
        <v>127-ctl-67</v>
      </c>
      <c r="O156" s="372" t="str">
        <f t="shared" si="17"/>
        <v>127-1-67</v>
      </c>
      <c r="P156" s="369">
        <v>67</v>
      </c>
      <c r="Q156" s="369" t="str">
        <f>LEFT(coder1_YH!AK156,1)</f>
        <v>1</v>
      </c>
      <c r="R156" s="369" t="str">
        <f>LEFT(coder1_YH!AL156,1)</f>
        <v>0</v>
      </c>
      <c r="S156" s="369" t="str">
        <f>coder1_YH!AJ156</f>
        <v>GMRT = Gates–MacGinitie Reading Tests</v>
      </c>
      <c r="T156" s="370">
        <f>coder1_YH!AN156</f>
        <v>524.51</v>
      </c>
      <c r="U156" s="370">
        <f>coder1_YH!AO156</f>
        <v>21.49</v>
      </c>
      <c r="V156" s="370">
        <f>coder1_YH!AP156</f>
        <v>43</v>
      </c>
      <c r="W156" s="370">
        <f>coder1_YH!AQ156</f>
        <v>535.41999999999996</v>
      </c>
      <c r="X156" s="370">
        <f>coder1_YH!AR156</f>
        <v>27.69</v>
      </c>
      <c r="Y156" s="370">
        <f>coder1_YH!AS156</f>
        <v>43</v>
      </c>
      <c r="Z156" s="371">
        <f t="shared" si="18"/>
        <v>532.76</v>
      </c>
      <c r="AA156" s="371">
        <f t="shared" si="19"/>
        <v>21.61</v>
      </c>
      <c r="AB156" s="371">
        <f t="shared" si="20"/>
        <v>41</v>
      </c>
      <c r="AC156" s="371">
        <f t="shared" si="21"/>
        <v>535.54999999999995</v>
      </c>
      <c r="AD156" s="371">
        <f t="shared" si="22"/>
        <v>31.68</v>
      </c>
      <c r="AE156" s="371">
        <f t="shared" si="23"/>
        <v>41</v>
      </c>
    </row>
    <row r="157" spans="1:31" x14ac:dyDescent="0.2">
      <c r="A157">
        <f>coder1_YH!B157</f>
        <v>0</v>
      </c>
      <c r="B157">
        <f>coder1_YH!C157</f>
        <v>157</v>
      </c>
      <c r="C157">
        <f>coder1_YH!D157</f>
        <v>0</v>
      </c>
      <c r="D157" t="str">
        <f>coder1_YH!E157</f>
        <v/>
      </c>
      <c r="E157" t="b">
        <f>coder1_YH!F157</f>
        <v>1</v>
      </c>
      <c r="G157" t="str">
        <f>IF(coder1_YH!G157="",G156, coder1_YH!G157)</f>
        <v>Little et al. 2014</v>
      </c>
      <c r="H157" s="405" t="str">
        <f>clean_mod!I157</f>
        <v>2014</v>
      </c>
      <c r="I157" t="str">
        <f>clean_mod!G157</f>
        <v>127</v>
      </c>
      <c r="J157">
        <f>clean_mod!H157</f>
        <v>127.08000000000004</v>
      </c>
      <c r="K157" t="str">
        <f>IF(coder1_YH!P157="",K156, coder1_YH!P157)</f>
        <v>ctl</v>
      </c>
      <c r="L157" s="324" t="str">
        <f>IF(clean_mod!AF157="",L156,clean_mod!AF157)</f>
        <v xml:space="preserve">127.08-.m </v>
      </c>
      <c r="M157" s="324" t="str">
        <f>IF(clean_mod!AG157="",M156,clean_mod!AG157)</f>
        <v>127.08-R</v>
      </c>
      <c r="N157" s="372" t="str">
        <f t="shared" si="16"/>
        <v>127-ctl-67</v>
      </c>
      <c r="O157" s="372" t="str">
        <f t="shared" si="17"/>
        <v>127-ctl-67</v>
      </c>
      <c r="P157" s="369">
        <v>67</v>
      </c>
      <c r="Q157" s="369" t="str">
        <f>LEFT(coder1_YH!AK157,1)</f>
        <v>1</v>
      </c>
      <c r="R157" s="369" t="str">
        <f>LEFT(coder1_YH!AL157,1)</f>
        <v>0</v>
      </c>
      <c r="S157" s="369" t="str">
        <f>coder1_YH!AJ157</f>
        <v>GMRT = Gates–MacGinitie Reading Tests</v>
      </c>
      <c r="T157" s="370">
        <f>coder1_YH!AN157</f>
        <v>532.76</v>
      </c>
      <c r="U157" s="370">
        <f>coder1_YH!AO157</f>
        <v>21.61</v>
      </c>
      <c r="V157" s="370">
        <f>coder1_YH!AP157</f>
        <v>41</v>
      </c>
      <c r="W157" s="370">
        <f>coder1_YH!AQ157</f>
        <v>535.54999999999995</v>
      </c>
      <c r="X157" s="370">
        <f>coder1_YH!AR157</f>
        <v>31.68</v>
      </c>
      <c r="Y157" s="370">
        <f>coder1_YH!AS157</f>
        <v>41</v>
      </c>
      <c r="Z157" s="371">
        <f t="shared" si="18"/>
        <v>532.76</v>
      </c>
      <c r="AA157" s="371">
        <f t="shared" si="19"/>
        <v>21.61</v>
      </c>
      <c r="AB157" s="371">
        <f t="shared" si="20"/>
        <v>41</v>
      </c>
      <c r="AC157" s="371">
        <f t="shared" si="21"/>
        <v>535.54999999999995</v>
      </c>
      <c r="AD157" s="371">
        <f t="shared" si="22"/>
        <v>31.68</v>
      </c>
      <c r="AE157" s="371">
        <f t="shared" si="23"/>
        <v>41</v>
      </c>
    </row>
    <row r="158" spans="1:31" x14ac:dyDescent="0.2">
      <c r="A158">
        <f>coder1_YH!B158</f>
        <v>0</v>
      </c>
      <c r="B158">
        <f>coder1_YH!C158</f>
        <v>158</v>
      </c>
      <c r="C158">
        <f>coder1_YH!D158</f>
        <v>0</v>
      </c>
      <c r="D158" t="b">
        <f>coder1_YH!E158</f>
        <v>1</v>
      </c>
      <c r="E158" t="b">
        <f>coder1_YH!F158</f>
        <v>1</v>
      </c>
      <c r="G158" t="str">
        <f>IF(coder1_YH!G158="",G157, coder1_YH!G158)</f>
        <v>Little et al. 2014</v>
      </c>
      <c r="H158" s="405" t="str">
        <f>clean_mod!I158</f>
        <v>2014</v>
      </c>
      <c r="I158" t="str">
        <f>clean_mod!G158</f>
        <v>127</v>
      </c>
      <c r="J158">
        <f>clean_mod!H158</f>
        <v>127.09000000000005</v>
      </c>
      <c r="K158">
        <f>IF(coder1_YH!P158="",K157, coder1_YH!P158)</f>
        <v>1</v>
      </c>
      <c r="L158" s="324" t="str">
        <f>IF(clean_mod!AF158="",L157,clean_mod!AF158)</f>
        <v xml:space="preserve">127.09-Nm </v>
      </c>
      <c r="M158" s="324" t="str">
        <f>IF(clean_mod!AG158="",M157,clean_mod!AG158)</f>
        <v>127.09-N_R</v>
      </c>
      <c r="N158" s="372" t="str">
        <f t="shared" si="16"/>
        <v>127-ctl-68</v>
      </c>
      <c r="O158" s="372" t="str">
        <f t="shared" si="17"/>
        <v>127-1-68</v>
      </c>
      <c r="P158" s="369">
        <v>68</v>
      </c>
      <c r="Q158" s="369" t="str">
        <f>LEFT(coder1_YH!AK158,1)</f>
        <v>1</v>
      </c>
      <c r="R158" s="369" t="str">
        <f>LEFT(coder1_YH!AL158,1)</f>
        <v>0</v>
      </c>
      <c r="S158" s="369" t="str">
        <f>coder1_YH!AJ158</f>
        <v>GMRT = Gates–MacGinitie Reading Tests</v>
      </c>
      <c r="T158" s="370">
        <f>coder1_YH!AN158</f>
        <v>507.52</v>
      </c>
      <c r="U158" s="370">
        <f>coder1_YH!AO158</f>
        <v>27.64</v>
      </c>
      <c r="V158" s="370">
        <f>coder1_YH!AP158</f>
        <v>109</v>
      </c>
      <c r="W158" s="370">
        <f>coder1_YH!AQ158</f>
        <v>507.61</v>
      </c>
      <c r="X158" s="370">
        <f>coder1_YH!AR158</f>
        <v>29.89</v>
      </c>
      <c r="Y158" s="370">
        <f>coder1_YH!AS158</f>
        <v>109</v>
      </c>
      <c r="Z158" s="371">
        <f t="shared" si="18"/>
        <v>475.49</v>
      </c>
      <c r="AA158" s="371">
        <f t="shared" si="19"/>
        <v>37.799999999999997</v>
      </c>
      <c r="AB158" s="371">
        <f t="shared" si="20"/>
        <v>53</v>
      </c>
      <c r="AC158" s="371">
        <f t="shared" si="21"/>
        <v>495.55</v>
      </c>
      <c r="AD158" s="371">
        <f t="shared" si="22"/>
        <v>35.869999999999997</v>
      </c>
      <c r="AE158" s="371">
        <f t="shared" si="23"/>
        <v>53</v>
      </c>
    </row>
    <row r="159" spans="1:31" x14ac:dyDescent="0.2">
      <c r="A159">
        <f>coder1_YH!B159</f>
        <v>0</v>
      </c>
      <c r="B159">
        <f>coder1_YH!C159</f>
        <v>159</v>
      </c>
      <c r="C159">
        <f>coder1_YH!D159</f>
        <v>0</v>
      </c>
      <c r="D159" t="str">
        <f>coder1_YH!E159</f>
        <v/>
      </c>
      <c r="E159" t="b">
        <f>coder1_YH!F159</f>
        <v>1</v>
      </c>
      <c r="G159" t="str">
        <f>IF(coder1_YH!G159="",G158, coder1_YH!G159)</f>
        <v>Little et al. 2014</v>
      </c>
      <c r="H159" s="405" t="str">
        <f>clean_mod!I159</f>
        <v>2014</v>
      </c>
      <c r="I159" t="str">
        <f>clean_mod!G159</f>
        <v>127</v>
      </c>
      <c r="J159">
        <f>clean_mod!H159</f>
        <v>127.09000000000005</v>
      </c>
      <c r="K159" t="str">
        <f>IF(coder1_YH!P159="",K158, coder1_YH!P159)</f>
        <v>ctl</v>
      </c>
      <c r="L159" s="324" t="str">
        <f>IF(clean_mod!AF159="",L158,clean_mod!AF159)</f>
        <v xml:space="preserve">127.09-.m </v>
      </c>
      <c r="M159" s="324" t="str">
        <f>IF(clean_mod!AG159="",M158,clean_mod!AG159)</f>
        <v>127.09-R</v>
      </c>
      <c r="N159" s="372" t="str">
        <f t="shared" si="16"/>
        <v>127-ctl-68</v>
      </c>
      <c r="O159" s="372" t="str">
        <f t="shared" si="17"/>
        <v>127-ctl-68</v>
      </c>
      <c r="P159" s="369">
        <v>68</v>
      </c>
      <c r="Q159" s="369" t="str">
        <f>LEFT(coder1_YH!AK159,1)</f>
        <v>1</v>
      </c>
      <c r="R159" s="369" t="str">
        <f>LEFT(coder1_YH!AL159,1)</f>
        <v>0</v>
      </c>
      <c r="S159" s="369" t="str">
        <f>coder1_YH!AJ159</f>
        <v>GMRT = Gates–MacGinitie Reading Tests</v>
      </c>
      <c r="T159" s="370">
        <f>coder1_YH!AN159</f>
        <v>475.49</v>
      </c>
      <c r="U159" s="370">
        <f>coder1_YH!AO159</f>
        <v>37.799999999999997</v>
      </c>
      <c r="V159" s="370">
        <f>coder1_YH!AP159</f>
        <v>53</v>
      </c>
      <c r="W159" s="370">
        <f>coder1_YH!AQ159</f>
        <v>495.55</v>
      </c>
      <c r="X159" s="370">
        <f>coder1_YH!AR159</f>
        <v>35.869999999999997</v>
      </c>
      <c r="Y159" s="370">
        <f>coder1_YH!AS159</f>
        <v>53</v>
      </c>
      <c r="Z159" s="371">
        <f t="shared" si="18"/>
        <v>475.49</v>
      </c>
      <c r="AA159" s="371">
        <f t="shared" si="19"/>
        <v>37.799999999999997</v>
      </c>
      <c r="AB159" s="371">
        <f t="shared" si="20"/>
        <v>53</v>
      </c>
      <c r="AC159" s="371">
        <f t="shared" si="21"/>
        <v>495.55</v>
      </c>
      <c r="AD159" s="371">
        <f t="shared" si="22"/>
        <v>35.869999999999997</v>
      </c>
      <c r="AE159" s="371">
        <f t="shared" si="23"/>
        <v>53</v>
      </c>
    </row>
    <row r="160" spans="1:31" x14ac:dyDescent="0.2">
      <c r="A160">
        <f>coder1_YH!B160</f>
        <v>0</v>
      </c>
      <c r="B160">
        <f>coder1_YH!C160</f>
        <v>160</v>
      </c>
      <c r="C160">
        <f>coder1_YH!D160</f>
        <v>0</v>
      </c>
      <c r="D160" t="b">
        <f>coder1_YH!E160</f>
        <v>1</v>
      </c>
      <c r="E160" t="b">
        <f>coder1_YH!F160</f>
        <v>1</v>
      </c>
      <c r="G160" t="str">
        <f>IF(coder1_YH!G160="",G159, coder1_YH!G160)</f>
        <v>Little et al. 2014</v>
      </c>
      <c r="H160" s="405" t="str">
        <f>clean_mod!I160</f>
        <v>2014</v>
      </c>
      <c r="I160" t="str">
        <f>clean_mod!G160</f>
        <v>127</v>
      </c>
      <c r="J160">
        <f>clean_mod!H160</f>
        <v>127.10000000000005</v>
      </c>
      <c r="K160">
        <f>IF(coder1_YH!P160="",K159, coder1_YH!P160)</f>
        <v>1</v>
      </c>
      <c r="L160" s="324" t="str">
        <f>IF(clean_mod!AF160="",L159,clean_mod!AF160)</f>
        <v xml:space="preserve">127.1-Nm </v>
      </c>
      <c r="M160" s="324" t="str">
        <f>IF(clean_mod!AG160="",M159,clean_mod!AG160)</f>
        <v>127.1-N_R</v>
      </c>
      <c r="N160" s="372" t="str">
        <f t="shared" si="16"/>
        <v>127-ctl-69</v>
      </c>
      <c r="O160" s="372" t="str">
        <f t="shared" si="17"/>
        <v>127-1-69</v>
      </c>
      <c r="P160" s="369">
        <v>69</v>
      </c>
      <c r="Q160" s="369" t="str">
        <f>LEFT(coder1_YH!AK160,1)</f>
        <v>1</v>
      </c>
      <c r="R160" s="369" t="str">
        <f>LEFT(coder1_YH!AL160,1)</f>
        <v>0</v>
      </c>
      <c r="S160" s="369" t="str">
        <f>coder1_YH!AJ160</f>
        <v>GMRT = Gates–MacGinitie Reading Tests</v>
      </c>
      <c r="T160" s="370">
        <f>coder1_YH!AN160</f>
        <v>526.86</v>
      </c>
      <c r="U160" s="370">
        <f>coder1_YH!AO160</f>
        <v>35.799999999999997</v>
      </c>
      <c r="V160" s="370">
        <f>coder1_YH!AP160</f>
        <v>58</v>
      </c>
      <c r="W160" s="370">
        <f>coder1_YH!AQ160</f>
        <v>531.49</v>
      </c>
      <c r="X160" s="370">
        <f>coder1_YH!AR160</f>
        <v>36.54</v>
      </c>
      <c r="Y160" s="370">
        <f>coder1_YH!AS160</f>
        <v>58</v>
      </c>
      <c r="Z160" s="371">
        <f t="shared" si="18"/>
        <v>508.19</v>
      </c>
      <c r="AA160" s="371">
        <f t="shared" si="19"/>
        <v>32.15</v>
      </c>
      <c r="AB160" s="371">
        <f t="shared" si="20"/>
        <v>53</v>
      </c>
      <c r="AC160" s="371">
        <f t="shared" si="21"/>
        <v>515.25</v>
      </c>
      <c r="AD160" s="371">
        <f t="shared" si="22"/>
        <v>27.47</v>
      </c>
      <c r="AE160" s="371">
        <f t="shared" si="23"/>
        <v>53</v>
      </c>
    </row>
    <row r="161" spans="1:31" x14ac:dyDescent="0.2">
      <c r="A161">
        <f>coder1_YH!B161</f>
        <v>0</v>
      </c>
      <c r="B161">
        <f>coder1_YH!C161</f>
        <v>161</v>
      </c>
      <c r="C161">
        <f>coder1_YH!D161</f>
        <v>0</v>
      </c>
      <c r="D161" t="str">
        <f>coder1_YH!E161</f>
        <v/>
      </c>
      <c r="E161" t="b">
        <f>coder1_YH!F161</f>
        <v>1</v>
      </c>
      <c r="G161" t="str">
        <f>IF(coder1_YH!G161="",G160, coder1_YH!G161)</f>
        <v>Little et al. 2014</v>
      </c>
      <c r="H161" s="405" t="str">
        <f>clean_mod!I161</f>
        <v>2014</v>
      </c>
      <c r="I161" t="str">
        <f>clean_mod!G161</f>
        <v>127</v>
      </c>
      <c r="J161">
        <f>clean_mod!H161</f>
        <v>127.10000000000005</v>
      </c>
      <c r="K161" t="str">
        <f>IF(coder1_YH!P161="",K160, coder1_YH!P161)</f>
        <v>ctl</v>
      </c>
      <c r="L161" s="324" t="str">
        <f>IF(clean_mod!AF161="",L160,clean_mod!AF161)</f>
        <v xml:space="preserve">127.1-.m </v>
      </c>
      <c r="M161" s="324" t="str">
        <f>IF(clean_mod!AG161="",M160,clean_mod!AG161)</f>
        <v>127.1-R</v>
      </c>
      <c r="N161" s="372" t="str">
        <f t="shared" si="16"/>
        <v>127-ctl-69</v>
      </c>
      <c r="O161" s="372" t="str">
        <f t="shared" si="17"/>
        <v>127-ctl-69</v>
      </c>
      <c r="P161" s="369">
        <v>69</v>
      </c>
      <c r="Q161" s="369" t="str">
        <f>LEFT(coder1_YH!AK161,1)</f>
        <v>1</v>
      </c>
      <c r="R161" s="369" t="str">
        <f>LEFT(coder1_YH!AL161,1)</f>
        <v>0</v>
      </c>
      <c r="S161" s="369" t="str">
        <f>coder1_YH!AJ161</f>
        <v>GMRT = Gates–MacGinitie Reading Tests</v>
      </c>
      <c r="T161" s="370">
        <f>coder1_YH!AN161</f>
        <v>508.19</v>
      </c>
      <c r="U161" s="370">
        <f>coder1_YH!AO161</f>
        <v>32.15</v>
      </c>
      <c r="V161" s="370">
        <f>coder1_YH!AP161</f>
        <v>53</v>
      </c>
      <c r="W161" s="370">
        <f>coder1_YH!AQ161</f>
        <v>515.25</v>
      </c>
      <c r="X161" s="370">
        <f>coder1_YH!AR161</f>
        <v>27.47</v>
      </c>
      <c r="Y161" s="370">
        <f>coder1_YH!AS161</f>
        <v>53</v>
      </c>
      <c r="Z161" s="371">
        <f t="shared" si="18"/>
        <v>508.19</v>
      </c>
      <c r="AA161" s="371">
        <f t="shared" si="19"/>
        <v>32.15</v>
      </c>
      <c r="AB161" s="371">
        <f t="shared" si="20"/>
        <v>53</v>
      </c>
      <c r="AC161" s="371">
        <f t="shared" si="21"/>
        <v>515.25</v>
      </c>
      <c r="AD161" s="371">
        <f t="shared" si="22"/>
        <v>27.47</v>
      </c>
      <c r="AE161" s="371">
        <f t="shared" si="23"/>
        <v>53</v>
      </c>
    </row>
    <row r="162" spans="1:31" x14ac:dyDescent="0.2">
      <c r="A162">
        <f>coder1_YH!B162</f>
        <v>0</v>
      </c>
      <c r="B162">
        <f>coder1_YH!C162</f>
        <v>162</v>
      </c>
      <c r="C162">
        <f>coder1_YH!D162</f>
        <v>0</v>
      </c>
      <c r="D162" t="b">
        <f>coder1_YH!E162</f>
        <v>1</v>
      </c>
      <c r="E162" t="b">
        <f>coder1_YH!F162</f>
        <v>1</v>
      </c>
      <c r="G162" t="str">
        <f>IF(coder1_YH!G162="",G161, coder1_YH!G162)</f>
        <v>Little et al. 2014</v>
      </c>
      <c r="H162" s="405" t="str">
        <f>clean_mod!I162</f>
        <v>2014</v>
      </c>
      <c r="I162" t="str">
        <f>clean_mod!G162</f>
        <v>127</v>
      </c>
      <c r="J162">
        <f>clean_mod!H162</f>
        <v>127.11000000000006</v>
      </c>
      <c r="K162">
        <f>IF(coder1_YH!P162="",K161, coder1_YH!P162)</f>
        <v>1</v>
      </c>
      <c r="L162" s="324" t="str">
        <f>IF(clean_mod!AF162="",L161,clean_mod!AF162)</f>
        <v xml:space="preserve">127.11-Nm </v>
      </c>
      <c r="M162" s="324" t="str">
        <f>IF(clean_mod!AG162="",M161,clean_mod!AG162)</f>
        <v>127.11-N_R</v>
      </c>
      <c r="N162" s="372" t="str">
        <f t="shared" si="16"/>
        <v>127-ctl-70</v>
      </c>
      <c r="O162" s="372" t="str">
        <f t="shared" si="17"/>
        <v>127-1-70</v>
      </c>
      <c r="P162" s="369">
        <v>70</v>
      </c>
      <c r="Q162" s="369" t="str">
        <f>LEFT(coder1_YH!AK162,1)</f>
        <v>1</v>
      </c>
      <c r="R162" s="369" t="str">
        <f>LEFT(coder1_YH!AL162,1)</f>
        <v>0</v>
      </c>
      <c r="S162" s="369" t="str">
        <f>coder1_YH!AJ162</f>
        <v>GMRT = Gates–MacGinitie Reading Tests</v>
      </c>
      <c r="T162" s="370">
        <f>coder1_YH!AN162</f>
        <v>515.45000000000005</v>
      </c>
      <c r="U162" s="370">
        <f>coder1_YH!AO162</f>
        <v>27.74</v>
      </c>
      <c r="V162" s="370">
        <f>coder1_YH!AP162</f>
        <v>56</v>
      </c>
      <c r="W162" s="370">
        <f>coder1_YH!AQ162</f>
        <v>509.12</v>
      </c>
      <c r="X162" s="370">
        <f>coder1_YH!AR162</f>
        <v>31.63</v>
      </c>
      <c r="Y162" s="370">
        <f>coder1_YH!AS162</f>
        <v>56</v>
      </c>
      <c r="Z162" s="371">
        <f t="shared" si="18"/>
        <v>521.79</v>
      </c>
      <c r="AA162" s="371">
        <f t="shared" si="19"/>
        <v>23.65</v>
      </c>
      <c r="AB162" s="371">
        <f t="shared" si="20"/>
        <v>55</v>
      </c>
      <c r="AC162" s="371">
        <f t="shared" si="21"/>
        <v>506.16</v>
      </c>
      <c r="AD162" s="371">
        <f t="shared" si="22"/>
        <v>30.25</v>
      </c>
      <c r="AE162" s="371">
        <f t="shared" si="23"/>
        <v>55</v>
      </c>
    </row>
    <row r="163" spans="1:31" x14ac:dyDescent="0.2">
      <c r="A163">
        <f>coder1_YH!B163</f>
        <v>0</v>
      </c>
      <c r="B163">
        <f>coder1_YH!C163</f>
        <v>163</v>
      </c>
      <c r="C163">
        <f>coder1_YH!D163</f>
        <v>0</v>
      </c>
      <c r="D163" t="str">
        <f>coder1_YH!E163</f>
        <v/>
      </c>
      <c r="E163" t="b">
        <f>coder1_YH!F163</f>
        <v>1</v>
      </c>
      <c r="G163" t="str">
        <f>IF(coder1_YH!G163="",G162, coder1_YH!G163)</f>
        <v>Little et al. 2014</v>
      </c>
      <c r="H163" s="405" t="str">
        <f>clean_mod!I163</f>
        <v>2014</v>
      </c>
      <c r="I163" t="str">
        <f>clean_mod!G163</f>
        <v>127</v>
      </c>
      <c r="J163">
        <f>clean_mod!H163</f>
        <v>127.11000000000006</v>
      </c>
      <c r="K163" t="str">
        <f>IF(coder1_YH!P163="",K162, coder1_YH!P163)</f>
        <v>ctl</v>
      </c>
      <c r="L163" s="324" t="str">
        <f>IF(clean_mod!AF163="",L162,clean_mod!AF163)</f>
        <v xml:space="preserve">127.11-.m </v>
      </c>
      <c r="M163" s="324" t="str">
        <f>IF(clean_mod!AG163="",M162,clean_mod!AG163)</f>
        <v>127.11-R</v>
      </c>
      <c r="N163" s="372" t="str">
        <f t="shared" si="16"/>
        <v>127-ctl-70</v>
      </c>
      <c r="O163" s="372" t="str">
        <f t="shared" si="17"/>
        <v>127-ctl-70</v>
      </c>
      <c r="P163" s="369">
        <v>70</v>
      </c>
      <c r="Q163" s="369" t="str">
        <f>LEFT(coder1_YH!AK163,1)</f>
        <v>1</v>
      </c>
      <c r="R163" s="369" t="str">
        <f>LEFT(coder1_YH!AL163,1)</f>
        <v>0</v>
      </c>
      <c r="S163" s="369" t="str">
        <f>coder1_YH!AJ163</f>
        <v>GMRT = Gates–MacGinitie Reading Tests</v>
      </c>
      <c r="T163" s="370">
        <f>coder1_YH!AN163</f>
        <v>521.79</v>
      </c>
      <c r="U163" s="370">
        <f>coder1_YH!AO163</f>
        <v>23.65</v>
      </c>
      <c r="V163" s="370">
        <f>coder1_YH!AP163</f>
        <v>55</v>
      </c>
      <c r="W163" s="370">
        <f>coder1_YH!AQ163</f>
        <v>506.16</v>
      </c>
      <c r="X163" s="370">
        <f>coder1_YH!AR163</f>
        <v>30.25</v>
      </c>
      <c r="Y163" s="370">
        <f>coder1_YH!AS163</f>
        <v>55</v>
      </c>
      <c r="Z163" s="371">
        <f t="shared" si="18"/>
        <v>521.79</v>
      </c>
      <c r="AA163" s="371">
        <f t="shared" si="19"/>
        <v>23.65</v>
      </c>
      <c r="AB163" s="371">
        <f t="shared" si="20"/>
        <v>55</v>
      </c>
      <c r="AC163" s="371">
        <f t="shared" si="21"/>
        <v>506.16</v>
      </c>
      <c r="AD163" s="371">
        <f t="shared" si="22"/>
        <v>30.25</v>
      </c>
      <c r="AE163" s="371">
        <f t="shared" si="23"/>
        <v>55</v>
      </c>
    </row>
    <row r="164" spans="1:31" x14ac:dyDescent="0.2">
      <c r="A164">
        <f>coder1_YH!B164</f>
        <v>0</v>
      </c>
      <c r="B164">
        <f>coder1_YH!C164</f>
        <v>164</v>
      </c>
      <c r="C164" t="b">
        <f>coder1_YH!D164</f>
        <v>1</v>
      </c>
      <c r="D164" t="b">
        <f>coder1_YH!E164</f>
        <v>1</v>
      </c>
      <c r="E164" t="b">
        <f>coder1_YH!F164</f>
        <v>1</v>
      </c>
      <c r="G164" t="str">
        <f>IF(coder1_YH!G164="",G163, coder1_YH!G164)</f>
        <v>Guthrie &amp; Klauda, 2014</v>
      </c>
      <c r="H164" s="405" t="str">
        <f>clean_mod!I164</f>
        <v>2014</v>
      </c>
      <c r="I164" t="str">
        <f>clean_mod!G164</f>
        <v>128</v>
      </c>
      <c r="J164">
        <f>clean_mod!H164</f>
        <v>128</v>
      </c>
      <c r="K164">
        <f>IF(coder1_YH!P164="",K163, coder1_YH!P164)</f>
        <v>1</v>
      </c>
      <c r="L164" s="324" t="str">
        <f>IF(clean_mod!AF164="",L163,clean_mod!AF164)</f>
        <v>128-NVcm</v>
      </c>
      <c r="M164" s="324" t="str">
        <f>IF(clean_mod!AG164="",M163,clean_mod!AG164)</f>
        <v>128-NV_R</v>
      </c>
      <c r="N164" s="372" t="str">
        <f t="shared" si="16"/>
        <v>128-ctl-71</v>
      </c>
      <c r="O164" s="372" t="str">
        <f t="shared" si="17"/>
        <v>128-1-71</v>
      </c>
      <c r="P164" s="369">
        <v>71</v>
      </c>
      <c r="Q164" s="369" t="str">
        <f>LEFT(coder1_YH!AK164,1)</f>
        <v>0</v>
      </c>
      <c r="R164" s="369" t="str">
        <f>LEFT(coder1_YH!AL164,1)</f>
        <v>0</v>
      </c>
      <c r="S164" s="369" t="str">
        <f>coder1_YH!AJ164</f>
        <v>Informational text comprehension</v>
      </c>
      <c r="T164" s="370">
        <f>coder1_YH!AN164</f>
        <v>54.06</v>
      </c>
      <c r="U164" s="370">
        <f>coder1_YH!AO164</f>
        <v>15.41</v>
      </c>
      <c r="V164" s="370">
        <f>coder1_YH!AP164</f>
        <v>269</v>
      </c>
      <c r="W164" s="370">
        <f>coder1_YH!AQ164</f>
        <v>56.94</v>
      </c>
      <c r="X164" s="370">
        <f>coder1_YH!AR164</f>
        <v>16.7</v>
      </c>
      <c r="Y164" s="370">
        <f>coder1_YH!AS164</f>
        <v>269</v>
      </c>
      <c r="Z164" s="371">
        <f t="shared" si="18"/>
        <v>53.19</v>
      </c>
      <c r="AA164" s="371">
        <f t="shared" si="19"/>
        <v>14.1</v>
      </c>
      <c r="AB164" s="371">
        <f t="shared" si="20"/>
        <v>288</v>
      </c>
      <c r="AC164" s="371">
        <f t="shared" si="21"/>
        <v>53.6</v>
      </c>
      <c r="AD164" s="371">
        <f t="shared" si="22"/>
        <v>17.55</v>
      </c>
      <c r="AE164" s="371">
        <f t="shared" si="23"/>
        <v>288</v>
      </c>
    </row>
    <row r="165" spans="1:31" x14ac:dyDescent="0.2">
      <c r="A165">
        <f>coder1_YH!B165</f>
        <v>0</v>
      </c>
      <c r="B165">
        <f>coder1_YH!C165</f>
        <v>165</v>
      </c>
      <c r="C165">
        <f>coder1_YH!D165</f>
        <v>0</v>
      </c>
      <c r="D165" t="str">
        <f>coder1_YH!E165</f>
        <v/>
      </c>
      <c r="E165" t="b">
        <f>coder1_YH!F165</f>
        <v>1</v>
      </c>
      <c r="G165" t="str">
        <f>IF(coder1_YH!G165="",G164, coder1_YH!G165)</f>
        <v>Guthrie &amp; Klauda, 2014</v>
      </c>
      <c r="H165" s="405" t="str">
        <f>clean_mod!I165</f>
        <v>2014</v>
      </c>
      <c r="I165" t="str">
        <f>clean_mod!G165</f>
        <v>128</v>
      </c>
      <c r="J165">
        <f>clean_mod!H165</f>
        <v>128</v>
      </c>
      <c r="K165" t="str">
        <f>IF(coder1_YH!P165="",K164, coder1_YH!P165)</f>
        <v>ctl</v>
      </c>
      <c r="L165" s="324" t="str">
        <f>IF(clean_mod!AF165="",L164,clean_mod!AF165)</f>
        <v xml:space="preserve">128-.m </v>
      </c>
      <c r="M165" s="324" t="str">
        <f>IF(clean_mod!AG165="",M164,clean_mod!AG165)</f>
        <v>128-R</v>
      </c>
      <c r="N165" s="372" t="str">
        <f t="shared" si="16"/>
        <v>128-ctl-71</v>
      </c>
      <c r="O165" s="372" t="str">
        <f t="shared" si="17"/>
        <v>128-ctl-71</v>
      </c>
      <c r="P165" s="369">
        <v>71</v>
      </c>
      <c r="Q165" s="369" t="str">
        <f>LEFT(coder1_YH!AK165,1)</f>
        <v>0</v>
      </c>
      <c r="R165" s="369" t="str">
        <f>LEFT(coder1_YH!AL165,1)</f>
        <v>0</v>
      </c>
      <c r="S165" s="369" t="str">
        <f>coder1_YH!AJ165</f>
        <v>Informational text comprehension</v>
      </c>
      <c r="T165" s="370">
        <f>coder1_YH!AN165</f>
        <v>53.19</v>
      </c>
      <c r="U165" s="370">
        <f>coder1_YH!AO165</f>
        <v>14.1</v>
      </c>
      <c r="V165" s="370">
        <f>coder1_YH!AP165</f>
        <v>288</v>
      </c>
      <c r="W165" s="370">
        <f>coder1_YH!AQ165</f>
        <v>53.6</v>
      </c>
      <c r="X165" s="370">
        <f>coder1_YH!AR165</f>
        <v>17.55</v>
      </c>
      <c r="Y165" s="370">
        <f>coder1_YH!AS165</f>
        <v>288</v>
      </c>
      <c r="Z165" s="371">
        <f t="shared" si="18"/>
        <v>53.19</v>
      </c>
      <c r="AA165" s="371">
        <f t="shared" si="19"/>
        <v>14.1</v>
      </c>
      <c r="AB165" s="371">
        <f t="shared" si="20"/>
        <v>288</v>
      </c>
      <c r="AC165" s="371">
        <f t="shared" si="21"/>
        <v>53.6</v>
      </c>
      <c r="AD165" s="371">
        <f t="shared" si="22"/>
        <v>17.55</v>
      </c>
      <c r="AE165" s="371">
        <f t="shared" si="23"/>
        <v>288</v>
      </c>
    </row>
    <row r="166" spans="1:31" x14ac:dyDescent="0.2">
      <c r="A166">
        <f>coder1_YH!B166</f>
        <v>0</v>
      </c>
      <c r="B166">
        <f>coder1_YH!C166</f>
        <v>166</v>
      </c>
      <c r="C166" t="b">
        <f>coder1_YH!D166</f>
        <v>1</v>
      </c>
      <c r="D166" t="b">
        <f>coder1_YH!E166</f>
        <v>1</v>
      </c>
      <c r="E166" t="b">
        <f>coder1_YH!F166</f>
        <v>1</v>
      </c>
      <c r="G166" t="str">
        <f>IF(coder1_YH!G166="",G165, coder1_YH!G166)</f>
        <v>Guthrie et al., 1998</v>
      </c>
      <c r="H166" s="405" t="str">
        <f>clean_mod!I166</f>
        <v>1998</v>
      </c>
      <c r="I166" t="str">
        <f>clean_mod!G166</f>
        <v>129</v>
      </c>
      <c r="J166">
        <f>clean_mod!H166</f>
        <v>129.1</v>
      </c>
      <c r="K166">
        <f>IF(coder1_YH!P166="",K165, coder1_YH!P166)</f>
        <v>1</v>
      </c>
      <c r="L166" s="324" t="str">
        <f>IF(clean_mod!AF166="",L165,clean_mod!AF166)</f>
        <v xml:space="preserve">129.1-Nm </v>
      </c>
      <c r="M166" s="324" t="str">
        <f>IF(clean_mod!AG166="",M165,clean_mod!AG166)</f>
        <v>129.1-N_R</v>
      </c>
      <c r="N166" s="372" t="str">
        <f t="shared" si="16"/>
        <v>129-ctl-72</v>
      </c>
      <c r="O166" s="372" t="str">
        <f t="shared" si="17"/>
        <v>129-1-72</v>
      </c>
      <c r="P166" s="369">
        <v>72</v>
      </c>
      <c r="Q166" s="369" t="str">
        <f>LEFT(coder1_YH!AK166,1)</f>
        <v>0</v>
      </c>
      <c r="R166" s="369" t="str">
        <f>LEFT(coder1_YH!AL166,1)</f>
        <v>0</v>
      </c>
      <c r="S166" s="369" t="str">
        <f>coder1_YH!AJ166</f>
        <v>text comprehension - total (April, EOY)</v>
      </c>
      <c r="T166" s="370" t="str">
        <f>coder1_YH!AN166</f>
        <v>NA</v>
      </c>
      <c r="U166" s="370" t="str">
        <f>coder1_YH!AO166</f>
        <v>NA</v>
      </c>
      <c r="V166" s="370" t="str">
        <f>coder1_YH!AP166</f>
        <v>NA</v>
      </c>
      <c r="W166" s="370">
        <f>coder1_YH!AQ166</f>
        <v>13.52</v>
      </c>
      <c r="X166" s="370">
        <f>coder1_YH!AR166</f>
        <v>2.77</v>
      </c>
      <c r="Y166" s="370">
        <f>coder1_YH!AS166</f>
        <v>48</v>
      </c>
      <c r="Z166" s="371" t="str">
        <f t="shared" si="18"/>
        <v>NA</v>
      </c>
      <c r="AA166" s="371" t="str">
        <f t="shared" si="19"/>
        <v>NA</v>
      </c>
      <c r="AB166" s="371" t="str">
        <f t="shared" si="20"/>
        <v>NA</v>
      </c>
      <c r="AC166" s="371">
        <f t="shared" si="21"/>
        <v>13.73</v>
      </c>
      <c r="AD166" s="371">
        <f t="shared" si="22"/>
        <v>2.4500000000000002</v>
      </c>
      <c r="AE166" s="371">
        <f t="shared" si="23"/>
        <v>42</v>
      </c>
    </row>
    <row r="167" spans="1:31" x14ac:dyDescent="0.2">
      <c r="A167">
        <f>coder1_YH!B167</f>
        <v>0</v>
      </c>
      <c r="B167">
        <f>coder1_YH!C167</f>
        <v>167</v>
      </c>
      <c r="C167">
        <f>coder1_YH!D167</f>
        <v>0</v>
      </c>
      <c r="D167" t="str">
        <f>coder1_YH!E167</f>
        <v/>
      </c>
      <c r="E167" t="str">
        <f>coder1_YH!F167</f>
        <v/>
      </c>
      <c r="G167" t="str">
        <f>IF(coder1_YH!G167="",G166, coder1_YH!G167)</f>
        <v>Guthrie et al., 1998</v>
      </c>
      <c r="H167" s="405" t="str">
        <f>clean_mod!I167</f>
        <v>1998</v>
      </c>
      <c r="I167" t="str">
        <f>clean_mod!G167</f>
        <v>129</v>
      </c>
      <c r="J167">
        <f>clean_mod!H167</f>
        <v>129.1</v>
      </c>
      <c r="K167">
        <f>IF(coder1_YH!P167="",K166, coder1_YH!P167)</f>
        <v>1</v>
      </c>
      <c r="L167" s="324" t="str">
        <f>IF(clean_mod!AF167="",L166,clean_mod!AF167)</f>
        <v xml:space="preserve">129.1-Nm </v>
      </c>
      <c r="M167" s="324" t="str">
        <f>IF(clean_mod!AG167="",M166,clean_mod!AG167)</f>
        <v>129.1-N_R</v>
      </c>
      <c r="N167" s="372" t="str">
        <f t="shared" si="16"/>
        <v>129-ctl-73</v>
      </c>
      <c r="O167" s="372" t="str">
        <f t="shared" si="17"/>
        <v>129-1-73</v>
      </c>
      <c r="P167" s="369">
        <v>73</v>
      </c>
      <c r="Q167" s="369" t="str">
        <f>LEFT(coder1_YH!AK167,1)</f>
        <v>0</v>
      </c>
      <c r="R167" s="369" t="str">
        <f>LEFT(coder1_YH!AL167,1)</f>
        <v>0</v>
      </c>
      <c r="S167" s="369" t="str">
        <f>coder1_YH!AJ167</f>
        <v>text comprehension - story (April, EOY)</v>
      </c>
      <c r="T167" s="370" t="str">
        <f>coder1_YH!AN167</f>
        <v>NA</v>
      </c>
      <c r="U167" s="370" t="str">
        <f>coder1_YH!AO167</f>
        <v>NA</v>
      </c>
      <c r="V167" s="370" t="str">
        <f>coder1_YH!AP167</f>
        <v>NA</v>
      </c>
      <c r="W167" s="370">
        <f>coder1_YH!AQ167</f>
        <v>6</v>
      </c>
      <c r="X167" s="370">
        <f>coder1_YH!AR167</f>
        <v>1.62</v>
      </c>
      <c r="Y167" s="370">
        <f>coder1_YH!AS167</f>
        <v>48</v>
      </c>
      <c r="Z167" s="371" t="str">
        <f t="shared" si="18"/>
        <v>NA</v>
      </c>
      <c r="AA167" s="371" t="str">
        <f t="shared" si="19"/>
        <v>NA</v>
      </c>
      <c r="AB167" s="371" t="str">
        <f t="shared" si="20"/>
        <v>NA</v>
      </c>
      <c r="AC167" s="371">
        <f t="shared" si="21"/>
        <v>6.46</v>
      </c>
      <c r="AD167" s="371">
        <f t="shared" si="22"/>
        <v>1.41</v>
      </c>
      <c r="AE167" s="371">
        <f t="shared" si="23"/>
        <v>42</v>
      </c>
    </row>
    <row r="168" spans="1:31" x14ac:dyDescent="0.2">
      <c r="A168">
        <f>coder1_YH!B168</f>
        <v>0</v>
      </c>
      <c r="B168">
        <f>coder1_YH!C168</f>
        <v>168</v>
      </c>
      <c r="C168">
        <f>coder1_YH!D168</f>
        <v>0</v>
      </c>
      <c r="D168" t="str">
        <f>coder1_YH!E168</f>
        <v/>
      </c>
      <c r="E168" t="str">
        <f>coder1_YH!F168</f>
        <v/>
      </c>
      <c r="G168" t="str">
        <f>IF(coder1_YH!G168="",G167, coder1_YH!G168)</f>
        <v>Guthrie et al., 1998</v>
      </c>
      <c r="H168" s="405" t="str">
        <f>clean_mod!I168</f>
        <v>1998</v>
      </c>
      <c r="I168" t="str">
        <f>clean_mod!G168</f>
        <v>129</v>
      </c>
      <c r="J168">
        <f>clean_mod!H168</f>
        <v>129.1</v>
      </c>
      <c r="K168">
        <f>IF(coder1_YH!P168="",K167, coder1_YH!P168)</f>
        <v>1</v>
      </c>
      <c r="L168" s="324" t="str">
        <f>IF(clean_mod!AF168="",L167,clean_mod!AF168)</f>
        <v xml:space="preserve">129.1-Nm </v>
      </c>
      <c r="M168" s="324" t="str">
        <f>IF(clean_mod!AG168="",M167,clean_mod!AG168)</f>
        <v>129.1-N_R</v>
      </c>
      <c r="N168" s="372" t="str">
        <f t="shared" si="16"/>
        <v>129-ctl-74</v>
      </c>
      <c r="O168" s="372" t="str">
        <f t="shared" si="17"/>
        <v>129-1-74</v>
      </c>
      <c r="P168" s="369">
        <v>74</v>
      </c>
      <c r="Q168" s="369" t="str">
        <f>LEFT(coder1_YH!AK168,1)</f>
        <v>0</v>
      </c>
      <c r="R168" s="369" t="str">
        <f>LEFT(coder1_YH!AL168,1)</f>
        <v>0</v>
      </c>
      <c r="S168" s="369" t="str">
        <f>coder1_YH!AJ168</f>
        <v>text comprehension - informational text (April, EOY)</v>
      </c>
      <c r="T168" s="370" t="str">
        <f>coder1_YH!AN168</f>
        <v>NA</v>
      </c>
      <c r="U168" s="370" t="str">
        <f>coder1_YH!AO168</f>
        <v>NA</v>
      </c>
      <c r="V168" s="370" t="str">
        <f>coder1_YH!AP168</f>
        <v>NA</v>
      </c>
      <c r="W168" s="370">
        <f>coder1_YH!AQ168</f>
        <v>7.42</v>
      </c>
      <c r="X168" s="370">
        <f>coder1_YH!AR168</f>
        <v>1.54</v>
      </c>
      <c r="Y168" s="370">
        <f>coder1_YH!AS168</f>
        <v>48</v>
      </c>
      <c r="Z168" s="371" t="str">
        <f t="shared" si="18"/>
        <v>NA</v>
      </c>
      <c r="AA168" s="371" t="str">
        <f t="shared" si="19"/>
        <v>NA</v>
      </c>
      <c r="AB168" s="371" t="str">
        <f t="shared" si="20"/>
        <v>NA</v>
      </c>
      <c r="AC168" s="371">
        <f t="shared" si="21"/>
        <v>7.02</v>
      </c>
      <c r="AD168" s="371">
        <f t="shared" si="22"/>
        <v>1.87</v>
      </c>
      <c r="AE168" s="371">
        <f t="shared" si="23"/>
        <v>42</v>
      </c>
    </row>
    <row r="169" spans="1:31" x14ac:dyDescent="0.2">
      <c r="A169">
        <f>coder1_YH!B169</f>
        <v>0</v>
      </c>
      <c r="B169">
        <f>coder1_YH!C169</f>
        <v>169</v>
      </c>
      <c r="C169">
        <f>coder1_YH!D169</f>
        <v>0</v>
      </c>
      <c r="D169" t="str">
        <f>coder1_YH!E169</f>
        <v/>
      </c>
      <c r="E169" t="str">
        <f>coder1_YH!F169</f>
        <v/>
      </c>
      <c r="G169" t="str">
        <f>IF(coder1_YH!G169="",G168, coder1_YH!G169)</f>
        <v>Guthrie et al., 1998</v>
      </c>
      <c r="H169" s="405" t="str">
        <f>clean_mod!I169</f>
        <v>1998</v>
      </c>
      <c r="I169" t="str">
        <f>clean_mod!G169</f>
        <v>129</v>
      </c>
      <c r="J169">
        <f>clean_mod!H169</f>
        <v>129.1</v>
      </c>
      <c r="K169">
        <f>IF(coder1_YH!P169="",K168, coder1_YH!P169)</f>
        <v>1</v>
      </c>
      <c r="L169" s="324" t="str">
        <f>IF(clean_mod!AF169="",L168,clean_mod!AF169)</f>
        <v xml:space="preserve">129.1-Nm </v>
      </c>
      <c r="M169" s="324" t="str">
        <f>IF(clean_mod!AG169="",M168,clean_mod!AG169)</f>
        <v>129.1-N_R</v>
      </c>
      <c r="N169" s="372" t="str">
        <f t="shared" si="16"/>
        <v>129-ctl-75</v>
      </c>
      <c r="O169" s="372" t="str">
        <f t="shared" si="17"/>
        <v>129-1-75</v>
      </c>
      <c r="P169" s="369">
        <v>75</v>
      </c>
      <c r="Q169" s="369" t="str">
        <f>LEFT(coder1_YH!AK169,1)</f>
        <v>0</v>
      </c>
      <c r="R169" s="369" t="str">
        <f>LEFT(coder1_YH!AL169,1)</f>
        <v>0</v>
      </c>
      <c r="S169" s="369" t="str">
        <f>coder1_YH!AJ169</f>
        <v>Past achievement (pretest ONLY, BOY)</v>
      </c>
      <c r="T169" s="370">
        <f>coder1_YH!AN169</f>
        <v>5.77</v>
      </c>
      <c r="U169" s="370">
        <f>coder1_YH!AO169</f>
        <v>2.56</v>
      </c>
      <c r="V169" s="370">
        <f>coder1_YH!AP169</f>
        <v>48</v>
      </c>
      <c r="W169" s="370" t="str">
        <f>coder1_YH!AQ169</f>
        <v>NA</v>
      </c>
      <c r="X169" s="370" t="str">
        <f>coder1_YH!AR169</f>
        <v>NA</v>
      </c>
      <c r="Y169" s="370" t="str">
        <f>coder1_YH!AS169</f>
        <v>NA</v>
      </c>
      <c r="Z169" s="371">
        <f t="shared" si="18"/>
        <v>6.51</v>
      </c>
      <c r="AA169" s="371">
        <f t="shared" si="19"/>
        <v>2.6</v>
      </c>
      <c r="AB169" s="371">
        <f t="shared" si="20"/>
        <v>42</v>
      </c>
      <c r="AC169" s="371" t="str">
        <f t="shared" si="21"/>
        <v>NA</v>
      </c>
      <c r="AD169" s="371" t="str">
        <f t="shared" si="22"/>
        <v>NA</v>
      </c>
      <c r="AE169" s="371" t="str">
        <f t="shared" si="23"/>
        <v>NA</v>
      </c>
    </row>
    <row r="170" spans="1:31" x14ac:dyDescent="0.2">
      <c r="A170">
        <f>coder1_YH!B170</f>
        <v>0</v>
      </c>
      <c r="B170">
        <f>coder1_YH!C170</f>
        <v>170</v>
      </c>
      <c r="C170">
        <f>coder1_YH!D170</f>
        <v>0</v>
      </c>
      <c r="D170" t="str">
        <f>coder1_YH!E170</f>
        <v/>
      </c>
      <c r="E170" t="str">
        <f>coder1_YH!F170</f>
        <v/>
      </c>
      <c r="G170" t="str">
        <f>IF(coder1_YH!G170="",G169, coder1_YH!G170)</f>
        <v>Guthrie et al., 1998</v>
      </c>
      <c r="H170" s="405" t="str">
        <f>clean_mod!I170</f>
        <v>1998</v>
      </c>
      <c r="I170" t="str">
        <f>clean_mod!G170</f>
        <v>129</v>
      </c>
      <c r="J170">
        <f>clean_mod!H170</f>
        <v>129.1</v>
      </c>
      <c r="K170">
        <f>IF(coder1_YH!P170="",K169, coder1_YH!P170)</f>
        <v>1</v>
      </c>
      <c r="L170" s="324" t="str">
        <f>IF(clean_mod!AF170="",L169,clean_mod!AF170)</f>
        <v xml:space="preserve">129.1-Nm </v>
      </c>
      <c r="M170" s="324" t="str">
        <f>IF(clean_mod!AG170="",M169,clean_mod!AG170)</f>
        <v>129.1-N_R</v>
      </c>
      <c r="N170" s="372" t="str">
        <f t="shared" si="16"/>
        <v>129-ctl-76</v>
      </c>
      <c r="O170" s="372" t="str">
        <f t="shared" si="17"/>
        <v>129-1-76</v>
      </c>
      <c r="P170" s="369">
        <v>76</v>
      </c>
      <c r="Q170" s="369" t="str">
        <f>LEFT(coder1_YH!AK170,1)</f>
        <v>0</v>
      </c>
      <c r="R170" s="369" t="str">
        <f>LEFT(coder1_YH!AL170,1)</f>
        <v>0</v>
      </c>
      <c r="S170" s="369" t="str">
        <f>coder1_YH!AJ170</f>
        <v>Literacy level (pretest ONLY, BOY)</v>
      </c>
      <c r="T170" s="370">
        <f>coder1_YH!AN170</f>
        <v>2.87</v>
      </c>
      <c r="U170" s="370">
        <f>coder1_YH!AO170</f>
        <v>1.2</v>
      </c>
      <c r="V170" s="370">
        <f>coder1_YH!AP170</f>
        <v>48</v>
      </c>
      <c r="W170" s="370" t="str">
        <f>coder1_YH!AQ170</f>
        <v>NA</v>
      </c>
      <c r="X170" s="370" t="str">
        <f>coder1_YH!AR170</f>
        <v>NA</v>
      </c>
      <c r="Y170" s="370" t="str">
        <f>coder1_YH!AS170</f>
        <v>NA</v>
      </c>
      <c r="Z170" s="371">
        <f t="shared" si="18"/>
        <v>3.23</v>
      </c>
      <c r="AA170" s="371">
        <f t="shared" si="19"/>
        <v>1.49</v>
      </c>
      <c r="AB170" s="371">
        <f t="shared" si="20"/>
        <v>42</v>
      </c>
      <c r="AC170" s="371" t="str">
        <f t="shared" si="21"/>
        <v>NA</v>
      </c>
      <c r="AD170" s="371" t="str">
        <f t="shared" si="22"/>
        <v>NA</v>
      </c>
      <c r="AE170" s="371" t="str">
        <f t="shared" si="23"/>
        <v>NA</v>
      </c>
    </row>
    <row r="171" spans="1:31" x14ac:dyDescent="0.2">
      <c r="A171">
        <f>coder1_YH!B171</f>
        <v>0</v>
      </c>
      <c r="B171">
        <f>coder1_YH!C171</f>
        <v>171</v>
      </c>
      <c r="C171">
        <f>coder1_YH!D171</f>
        <v>0</v>
      </c>
      <c r="D171" t="str">
        <f>coder1_YH!E171</f>
        <v/>
      </c>
      <c r="E171" t="b">
        <f>coder1_YH!F171</f>
        <v>1</v>
      </c>
      <c r="G171" t="str">
        <f>IF(coder1_YH!G171="",G170, coder1_YH!G171)</f>
        <v>Guthrie et al., 1998</v>
      </c>
      <c r="H171" s="405" t="str">
        <f>clean_mod!I171</f>
        <v>1998</v>
      </c>
      <c r="I171" t="str">
        <f>clean_mod!G171</f>
        <v>129</v>
      </c>
      <c r="J171">
        <f>clean_mod!H171</f>
        <v>129.1</v>
      </c>
      <c r="K171" t="str">
        <f>IF(coder1_YH!P171="",K170, coder1_YH!P171)</f>
        <v>ctl</v>
      </c>
      <c r="L171" s="324" t="str">
        <f>IF(clean_mod!AF171="",L170,clean_mod!AF171)</f>
        <v>129.1-..</v>
      </c>
      <c r="M171" s="324" t="str">
        <f>IF(clean_mod!AG171="",M170,clean_mod!AG171)</f>
        <v>129.1-BAU</v>
      </c>
      <c r="N171" s="372" t="str">
        <f t="shared" si="16"/>
        <v>129-ctl-72</v>
      </c>
      <c r="O171" s="372" t="str">
        <f t="shared" si="17"/>
        <v>129-ctl-72</v>
      </c>
      <c r="P171" s="369">
        <v>72</v>
      </c>
      <c r="Q171" s="369" t="str">
        <f>LEFT(coder1_YH!AK171,1)</f>
        <v>0</v>
      </c>
      <c r="R171" s="369" t="str">
        <f>LEFT(coder1_YH!AL171,1)</f>
        <v>1</v>
      </c>
      <c r="S171" s="369" t="str">
        <f>coder1_YH!AJ171</f>
        <v>text comprehension - total (April, EOY)</v>
      </c>
      <c r="T171" s="370" t="str">
        <f>coder1_YH!AN171</f>
        <v>NA</v>
      </c>
      <c r="U171" s="370" t="str">
        <f>coder1_YH!AO171</f>
        <v>NA</v>
      </c>
      <c r="V171" s="370" t="str">
        <f>coder1_YH!AP171</f>
        <v>NA</v>
      </c>
      <c r="W171" s="370">
        <f>coder1_YH!AQ171</f>
        <v>13.73</v>
      </c>
      <c r="X171" s="370">
        <f>coder1_YH!AR171</f>
        <v>2.4500000000000002</v>
      </c>
      <c r="Y171" s="370">
        <f>coder1_YH!AS171</f>
        <v>42</v>
      </c>
      <c r="Z171" s="371" t="str">
        <f t="shared" si="18"/>
        <v>NA</v>
      </c>
      <c r="AA171" s="371" t="str">
        <f t="shared" si="19"/>
        <v>NA</v>
      </c>
      <c r="AB171" s="371" t="str">
        <f t="shared" si="20"/>
        <v>NA</v>
      </c>
      <c r="AC171" s="371">
        <f t="shared" si="21"/>
        <v>13.73</v>
      </c>
      <c r="AD171" s="371">
        <f t="shared" si="22"/>
        <v>2.4500000000000002</v>
      </c>
      <c r="AE171" s="371">
        <f t="shared" si="23"/>
        <v>42</v>
      </c>
    </row>
    <row r="172" spans="1:31" x14ac:dyDescent="0.2">
      <c r="A172">
        <f>coder1_YH!B172</f>
        <v>0</v>
      </c>
      <c r="B172">
        <f>coder1_YH!C172</f>
        <v>172</v>
      </c>
      <c r="C172">
        <f>coder1_YH!D172</f>
        <v>0</v>
      </c>
      <c r="D172" t="str">
        <f>coder1_YH!E172</f>
        <v/>
      </c>
      <c r="E172" t="str">
        <f>coder1_YH!F172</f>
        <v/>
      </c>
      <c r="G172" t="str">
        <f>IF(coder1_YH!G172="",G171, coder1_YH!G172)</f>
        <v>Guthrie et al., 1998</v>
      </c>
      <c r="H172" s="405" t="str">
        <f>clean_mod!I172</f>
        <v>1998</v>
      </c>
      <c r="I172" t="str">
        <f>clean_mod!G172</f>
        <v>129</v>
      </c>
      <c r="J172">
        <f>clean_mod!H172</f>
        <v>129.1</v>
      </c>
      <c r="K172" t="str">
        <f>IF(coder1_YH!P172="",K171, coder1_YH!P172)</f>
        <v>ctl</v>
      </c>
      <c r="L172" s="324" t="str">
        <f>IF(clean_mod!AF172="",L171,clean_mod!AF172)</f>
        <v>129.1-..</v>
      </c>
      <c r="M172" s="324" t="str">
        <f>IF(clean_mod!AG172="",M171,clean_mod!AG172)</f>
        <v>129.1-BAU</v>
      </c>
      <c r="N172" s="372" t="str">
        <f t="shared" si="16"/>
        <v>129-ctl-73</v>
      </c>
      <c r="O172" s="372" t="str">
        <f t="shared" si="17"/>
        <v>129-ctl-73</v>
      </c>
      <c r="P172" s="369">
        <v>73</v>
      </c>
      <c r="Q172" s="369" t="str">
        <f>LEFT(coder1_YH!AK172,1)</f>
        <v>0</v>
      </c>
      <c r="R172" s="369" t="str">
        <f>LEFT(coder1_YH!AL172,1)</f>
        <v>1</v>
      </c>
      <c r="S172" s="369" t="str">
        <f>coder1_YH!AJ172</f>
        <v>text comprehension - story (April, EOY)</v>
      </c>
      <c r="T172" s="370" t="str">
        <f>coder1_YH!AN172</f>
        <v>NA</v>
      </c>
      <c r="U172" s="370" t="str">
        <f>coder1_YH!AO172</f>
        <v>NA</v>
      </c>
      <c r="V172" s="370" t="str">
        <f>coder1_YH!AP172</f>
        <v>NA</v>
      </c>
      <c r="W172" s="370">
        <f>coder1_YH!AQ172</f>
        <v>6.46</v>
      </c>
      <c r="X172" s="370">
        <f>coder1_YH!AR172</f>
        <v>1.41</v>
      </c>
      <c r="Y172" s="370">
        <f>coder1_YH!AS172</f>
        <v>42</v>
      </c>
      <c r="Z172" s="371" t="str">
        <f t="shared" si="18"/>
        <v>NA</v>
      </c>
      <c r="AA172" s="371" t="str">
        <f t="shared" si="19"/>
        <v>NA</v>
      </c>
      <c r="AB172" s="371" t="str">
        <f t="shared" si="20"/>
        <v>NA</v>
      </c>
      <c r="AC172" s="371">
        <f t="shared" si="21"/>
        <v>6.46</v>
      </c>
      <c r="AD172" s="371">
        <f t="shared" si="22"/>
        <v>1.41</v>
      </c>
      <c r="AE172" s="371">
        <f t="shared" si="23"/>
        <v>42</v>
      </c>
    </row>
    <row r="173" spans="1:31" x14ac:dyDescent="0.2">
      <c r="A173">
        <f>coder1_YH!B173</f>
        <v>0</v>
      </c>
      <c r="B173">
        <f>coder1_YH!C173</f>
        <v>173</v>
      </c>
      <c r="C173">
        <f>coder1_YH!D173</f>
        <v>0</v>
      </c>
      <c r="D173" t="str">
        <f>coder1_YH!E173</f>
        <v/>
      </c>
      <c r="E173" t="str">
        <f>coder1_YH!F173</f>
        <v/>
      </c>
      <c r="G173" t="str">
        <f>IF(coder1_YH!G173="",G172, coder1_YH!G173)</f>
        <v>Guthrie et al., 1998</v>
      </c>
      <c r="H173" s="405" t="str">
        <f>clean_mod!I173</f>
        <v>1998</v>
      </c>
      <c r="I173" t="str">
        <f>clean_mod!G173</f>
        <v>129</v>
      </c>
      <c r="J173">
        <f>clean_mod!H173</f>
        <v>129.1</v>
      </c>
      <c r="K173" t="str">
        <f>IF(coder1_YH!P173="",K172, coder1_YH!P173)</f>
        <v>ctl</v>
      </c>
      <c r="L173" s="324" t="str">
        <f>IF(clean_mod!AF173="",L172,clean_mod!AF173)</f>
        <v>129.1-..</v>
      </c>
      <c r="M173" s="324" t="str">
        <f>IF(clean_mod!AG173="",M172,clean_mod!AG173)</f>
        <v>129.1-BAU</v>
      </c>
      <c r="N173" s="372" t="str">
        <f t="shared" si="16"/>
        <v>129-ctl-74</v>
      </c>
      <c r="O173" s="372" t="str">
        <f t="shared" si="17"/>
        <v>129-ctl-74</v>
      </c>
      <c r="P173" s="369">
        <v>74</v>
      </c>
      <c r="Q173" s="369" t="str">
        <f>LEFT(coder1_YH!AK173,1)</f>
        <v>0</v>
      </c>
      <c r="R173" s="369" t="str">
        <f>LEFT(coder1_YH!AL173,1)</f>
        <v>1</v>
      </c>
      <c r="S173" s="369" t="str">
        <f>coder1_YH!AJ173</f>
        <v>text comprehension - informational text (April, EOY)</v>
      </c>
      <c r="T173" s="370" t="str">
        <f>coder1_YH!AN173</f>
        <v>NA</v>
      </c>
      <c r="U173" s="370" t="str">
        <f>coder1_YH!AO173</f>
        <v>NA</v>
      </c>
      <c r="V173" s="370" t="str">
        <f>coder1_YH!AP173</f>
        <v>NA</v>
      </c>
      <c r="W173" s="370">
        <f>coder1_YH!AQ173</f>
        <v>7.02</v>
      </c>
      <c r="X173" s="370">
        <f>coder1_YH!AR173</f>
        <v>1.87</v>
      </c>
      <c r="Y173" s="370">
        <f>coder1_YH!AS173</f>
        <v>42</v>
      </c>
      <c r="Z173" s="371" t="str">
        <f t="shared" si="18"/>
        <v>NA</v>
      </c>
      <c r="AA173" s="371" t="str">
        <f t="shared" si="19"/>
        <v>NA</v>
      </c>
      <c r="AB173" s="371" t="str">
        <f t="shared" si="20"/>
        <v>NA</v>
      </c>
      <c r="AC173" s="371">
        <f t="shared" si="21"/>
        <v>7.02</v>
      </c>
      <c r="AD173" s="371">
        <f t="shared" si="22"/>
        <v>1.87</v>
      </c>
      <c r="AE173" s="371">
        <f t="shared" si="23"/>
        <v>42</v>
      </c>
    </row>
    <row r="174" spans="1:31" x14ac:dyDescent="0.2">
      <c r="A174">
        <f>coder1_YH!B174</f>
        <v>0</v>
      </c>
      <c r="B174">
        <f>coder1_YH!C174</f>
        <v>174</v>
      </c>
      <c r="C174">
        <f>coder1_YH!D174</f>
        <v>0</v>
      </c>
      <c r="D174" t="str">
        <f>coder1_YH!E174</f>
        <v/>
      </c>
      <c r="E174" t="str">
        <f>coder1_YH!F174</f>
        <v/>
      </c>
      <c r="G174" t="str">
        <f>IF(coder1_YH!G174="",G173, coder1_YH!G174)</f>
        <v>Guthrie et al., 1998</v>
      </c>
      <c r="H174" s="405" t="str">
        <f>clean_mod!I174</f>
        <v>1998</v>
      </c>
      <c r="I174" t="str">
        <f>clean_mod!G174</f>
        <v>129</v>
      </c>
      <c r="J174">
        <f>clean_mod!H174</f>
        <v>129.1</v>
      </c>
      <c r="K174" t="str">
        <f>IF(coder1_YH!P174="",K173, coder1_YH!P174)</f>
        <v>ctl</v>
      </c>
      <c r="L174" s="324" t="str">
        <f>IF(clean_mod!AF174="",L173,clean_mod!AF174)</f>
        <v>129.1-..</v>
      </c>
      <c r="M174" s="324" t="str">
        <f>IF(clean_mod!AG174="",M173,clean_mod!AG174)</f>
        <v>129.1-BAU</v>
      </c>
      <c r="N174" s="372" t="str">
        <f t="shared" si="16"/>
        <v>129-ctl-75</v>
      </c>
      <c r="O174" s="372" t="str">
        <f t="shared" si="17"/>
        <v>129-ctl-75</v>
      </c>
      <c r="P174" s="369">
        <v>75</v>
      </c>
      <c r="Q174" s="369" t="str">
        <f>LEFT(coder1_YH!AK174,1)</f>
        <v>0</v>
      </c>
      <c r="R174" s="369" t="str">
        <f>LEFT(coder1_YH!AL174,1)</f>
        <v>0</v>
      </c>
      <c r="S174" s="369" t="str">
        <f>coder1_YH!AJ174</f>
        <v>Past achievement (pretest ONLY, BOY)</v>
      </c>
      <c r="T174" s="370">
        <f>coder1_YH!AN174</f>
        <v>6.51</v>
      </c>
      <c r="U174" s="370">
        <f>coder1_YH!AO174</f>
        <v>2.6</v>
      </c>
      <c r="V174" s="370">
        <f>coder1_YH!AP174</f>
        <v>42</v>
      </c>
      <c r="W174" s="370" t="str">
        <f>coder1_YH!AQ174</f>
        <v>NA</v>
      </c>
      <c r="X174" s="370" t="str">
        <f>coder1_YH!AR174</f>
        <v>NA</v>
      </c>
      <c r="Y174" s="370" t="str">
        <f>coder1_YH!AS174</f>
        <v>NA</v>
      </c>
      <c r="Z174" s="371">
        <f t="shared" si="18"/>
        <v>6.51</v>
      </c>
      <c r="AA174" s="371">
        <f t="shared" si="19"/>
        <v>2.6</v>
      </c>
      <c r="AB174" s="371">
        <f t="shared" si="20"/>
        <v>42</v>
      </c>
      <c r="AC174" s="371" t="str">
        <f t="shared" si="21"/>
        <v>NA</v>
      </c>
      <c r="AD174" s="371" t="str">
        <f t="shared" si="22"/>
        <v>NA</v>
      </c>
      <c r="AE174" s="371" t="str">
        <f t="shared" si="23"/>
        <v>NA</v>
      </c>
    </row>
    <row r="175" spans="1:31" x14ac:dyDescent="0.2">
      <c r="A175">
        <f>coder1_YH!B175</f>
        <v>0</v>
      </c>
      <c r="B175">
        <f>coder1_YH!C175</f>
        <v>175</v>
      </c>
      <c r="C175">
        <f>coder1_YH!D175</f>
        <v>0</v>
      </c>
      <c r="D175" t="str">
        <f>coder1_YH!E175</f>
        <v/>
      </c>
      <c r="E175" t="str">
        <f>coder1_YH!F175</f>
        <v/>
      </c>
      <c r="G175" t="str">
        <f>IF(coder1_YH!G175="",G174, coder1_YH!G175)</f>
        <v>Guthrie et al., 1998</v>
      </c>
      <c r="H175" s="405" t="str">
        <f>clean_mod!I175</f>
        <v>1998</v>
      </c>
      <c r="I175" t="str">
        <f>clean_mod!G175</f>
        <v>129</v>
      </c>
      <c r="J175">
        <f>clean_mod!H175</f>
        <v>129.1</v>
      </c>
      <c r="K175" t="str">
        <f>IF(coder1_YH!P175="",K174, coder1_YH!P175)</f>
        <v>ctl</v>
      </c>
      <c r="L175" s="324" t="str">
        <f>IF(clean_mod!AF175="",L174,clean_mod!AF175)</f>
        <v>129.1-..</v>
      </c>
      <c r="M175" s="324" t="str">
        <f>IF(clean_mod!AG175="",M174,clean_mod!AG175)</f>
        <v>129.1-BAU</v>
      </c>
      <c r="N175" s="372" t="str">
        <f t="shared" si="16"/>
        <v>129-ctl-76</v>
      </c>
      <c r="O175" s="372" t="str">
        <f t="shared" si="17"/>
        <v>129-ctl-76</v>
      </c>
      <c r="P175" s="369">
        <v>76</v>
      </c>
      <c r="Q175" s="369" t="str">
        <f>LEFT(coder1_YH!AK175,1)</f>
        <v>0</v>
      </c>
      <c r="R175" s="369" t="str">
        <f>LEFT(coder1_YH!AL175,1)</f>
        <v>0</v>
      </c>
      <c r="S175" s="369" t="str">
        <f>coder1_YH!AJ175</f>
        <v>Literacy level (pretest ONLY, BOY)</v>
      </c>
      <c r="T175" s="370">
        <f>coder1_YH!AN175</f>
        <v>3.23</v>
      </c>
      <c r="U175" s="370">
        <f>coder1_YH!AO175</f>
        <v>1.49</v>
      </c>
      <c r="V175" s="370">
        <f>coder1_YH!AP175</f>
        <v>42</v>
      </c>
      <c r="W175" s="370" t="str">
        <f>coder1_YH!AQ175</f>
        <v>NA</v>
      </c>
      <c r="X175" s="370" t="str">
        <f>coder1_YH!AR175</f>
        <v>NA</v>
      </c>
      <c r="Y175" s="370" t="str">
        <f>coder1_YH!AS175</f>
        <v>NA</v>
      </c>
      <c r="Z175" s="371">
        <f t="shared" si="18"/>
        <v>3.23</v>
      </c>
      <c r="AA175" s="371">
        <f t="shared" si="19"/>
        <v>1.49</v>
      </c>
      <c r="AB175" s="371">
        <f t="shared" si="20"/>
        <v>42</v>
      </c>
      <c r="AC175" s="371" t="str">
        <f t="shared" si="21"/>
        <v>NA</v>
      </c>
      <c r="AD175" s="371" t="str">
        <f t="shared" si="22"/>
        <v>NA</v>
      </c>
      <c r="AE175" s="371" t="str">
        <f t="shared" si="23"/>
        <v>NA</v>
      </c>
    </row>
    <row r="176" spans="1:31" x14ac:dyDescent="0.2">
      <c r="A176">
        <f>coder1_YH!B176</f>
        <v>0</v>
      </c>
      <c r="B176">
        <f>coder1_YH!C176</f>
        <v>176</v>
      </c>
      <c r="C176">
        <f>coder1_YH!D176</f>
        <v>0</v>
      </c>
      <c r="D176" t="b">
        <f>coder1_YH!E176</f>
        <v>1</v>
      </c>
      <c r="E176" t="b">
        <f>coder1_YH!F176</f>
        <v>1</v>
      </c>
      <c r="G176" t="str">
        <f>IF(coder1_YH!G176="",G175, coder1_YH!G176)</f>
        <v>Guthrie et al., 1998</v>
      </c>
      <c r="H176" s="405" t="str">
        <f>clean_mod!I176</f>
        <v>1998</v>
      </c>
      <c r="I176" t="str">
        <f>clean_mod!G176</f>
        <v>129</v>
      </c>
      <c r="J176">
        <f>clean_mod!H176</f>
        <v>129.19999999999999</v>
      </c>
      <c r="K176">
        <f>IF(coder1_YH!P176="",K175, coder1_YH!P176)</f>
        <v>1</v>
      </c>
      <c r="L176" s="324" t="str">
        <f>IF(clean_mod!AF176="",L175,clean_mod!AF176)</f>
        <v xml:space="preserve">129.2-Nm </v>
      </c>
      <c r="M176" s="324" t="str">
        <f>IF(clean_mod!AG176="",M175,clean_mod!AG176)</f>
        <v>129.2-N_R</v>
      </c>
      <c r="N176" s="372" t="str">
        <f t="shared" si="16"/>
        <v>129-ctl-77</v>
      </c>
      <c r="O176" s="372" t="str">
        <f t="shared" si="17"/>
        <v>129-1-77</v>
      </c>
      <c r="P176" s="369">
        <v>77</v>
      </c>
      <c r="Q176" s="369" t="str">
        <f>LEFT(coder1_YH!AK176,1)</f>
        <v>0</v>
      </c>
      <c r="R176" s="369" t="str">
        <f>LEFT(coder1_YH!AL176,1)</f>
        <v>0</v>
      </c>
      <c r="S176" s="369" t="str">
        <f>coder1_YH!AJ176</f>
        <v>text comprehension - total (April, EOY)</v>
      </c>
      <c r="T176" s="370" t="str">
        <f>coder1_YH!AN176</f>
        <v>NA</v>
      </c>
      <c r="U176" s="370" t="str">
        <f>coder1_YH!AO176</f>
        <v>NA</v>
      </c>
      <c r="V176" s="370" t="str">
        <f>coder1_YH!AP176</f>
        <v>NA</v>
      </c>
      <c r="W176" s="370">
        <f>coder1_YH!AQ176</f>
        <v>14.61</v>
      </c>
      <c r="X176" s="370">
        <f>coder1_YH!AR176</f>
        <v>2.67</v>
      </c>
      <c r="Y176" s="370">
        <f>coder1_YH!AS176</f>
        <v>40</v>
      </c>
      <c r="Z176" s="371" t="str">
        <f t="shared" si="18"/>
        <v>NA</v>
      </c>
      <c r="AA176" s="371" t="str">
        <f t="shared" si="19"/>
        <v>NA</v>
      </c>
      <c r="AB176" s="371" t="str">
        <f t="shared" si="20"/>
        <v>NA</v>
      </c>
      <c r="AC176" s="371">
        <f t="shared" si="21"/>
        <v>13.61</v>
      </c>
      <c r="AD176" s="371">
        <f t="shared" si="22"/>
        <v>1.98</v>
      </c>
      <c r="AE176" s="371">
        <f t="shared" si="23"/>
        <v>42</v>
      </c>
    </row>
    <row r="177" spans="1:31" x14ac:dyDescent="0.2">
      <c r="A177">
        <f>coder1_YH!B177</f>
        <v>0</v>
      </c>
      <c r="B177">
        <f>coder1_YH!C177</f>
        <v>177</v>
      </c>
      <c r="C177">
        <f>coder1_YH!D177</f>
        <v>0</v>
      </c>
      <c r="D177" t="str">
        <f>coder1_YH!E177</f>
        <v/>
      </c>
      <c r="E177" t="str">
        <f>coder1_YH!F177</f>
        <v/>
      </c>
      <c r="G177" t="str">
        <f>IF(coder1_YH!G177="",G176, coder1_YH!G177)</f>
        <v>Guthrie et al., 1998</v>
      </c>
      <c r="H177" s="405" t="str">
        <f>clean_mod!I177</f>
        <v>1998</v>
      </c>
      <c r="I177" t="str">
        <f>clean_mod!G177</f>
        <v>129</v>
      </c>
      <c r="J177">
        <f>clean_mod!H177</f>
        <v>129.19999999999999</v>
      </c>
      <c r="K177">
        <f>IF(coder1_YH!P177="",K176, coder1_YH!P177)</f>
        <v>1</v>
      </c>
      <c r="L177" s="324" t="str">
        <f>IF(clean_mod!AF177="",L176,clean_mod!AF177)</f>
        <v xml:space="preserve">129.2-Nm </v>
      </c>
      <c r="M177" s="324" t="str">
        <f>IF(clean_mod!AG177="",M176,clean_mod!AG177)</f>
        <v>129.2-N_R</v>
      </c>
      <c r="N177" s="372" t="str">
        <f t="shared" si="16"/>
        <v>129-ctl-78</v>
      </c>
      <c r="O177" s="372" t="str">
        <f t="shared" si="17"/>
        <v>129-1-78</v>
      </c>
      <c r="P177" s="369">
        <v>78</v>
      </c>
      <c r="Q177" s="369" t="str">
        <f>LEFT(coder1_YH!AK177,1)</f>
        <v>0</v>
      </c>
      <c r="R177" s="369" t="str">
        <f>LEFT(coder1_YH!AL177,1)</f>
        <v>0</v>
      </c>
      <c r="S177" s="369" t="str">
        <f>coder1_YH!AJ177</f>
        <v>text comprehension - story (April, EOY)</v>
      </c>
      <c r="T177" s="370" t="str">
        <f>coder1_YH!AN177</f>
        <v>NA</v>
      </c>
      <c r="U177" s="370" t="str">
        <f>coder1_YH!AO177</f>
        <v>NA</v>
      </c>
      <c r="V177" s="370" t="str">
        <f>coder1_YH!AP177</f>
        <v>NA</v>
      </c>
      <c r="W177" s="370">
        <f>coder1_YH!AQ177</f>
        <v>5.9</v>
      </c>
      <c r="X177" s="370">
        <f>coder1_YH!AR177</f>
        <v>1.61</v>
      </c>
      <c r="Y177" s="370">
        <f>coder1_YH!AS177</f>
        <v>40</v>
      </c>
      <c r="Z177" s="371" t="str">
        <f t="shared" si="18"/>
        <v>NA</v>
      </c>
      <c r="AA177" s="371" t="str">
        <f t="shared" si="19"/>
        <v>NA</v>
      </c>
      <c r="AB177" s="371" t="str">
        <f t="shared" si="20"/>
        <v>NA</v>
      </c>
      <c r="AC177" s="371">
        <f t="shared" si="21"/>
        <v>4.67</v>
      </c>
      <c r="AD177" s="371">
        <f t="shared" si="22"/>
        <v>1.44</v>
      </c>
      <c r="AE177" s="371">
        <f t="shared" si="23"/>
        <v>42</v>
      </c>
    </row>
    <row r="178" spans="1:31" x14ac:dyDescent="0.2">
      <c r="A178">
        <f>coder1_YH!B178</f>
        <v>0</v>
      </c>
      <c r="B178">
        <f>coder1_YH!C178</f>
        <v>178</v>
      </c>
      <c r="C178">
        <f>coder1_YH!D178</f>
        <v>0</v>
      </c>
      <c r="D178" t="str">
        <f>coder1_YH!E178</f>
        <v/>
      </c>
      <c r="E178" t="str">
        <f>coder1_YH!F178</f>
        <v/>
      </c>
      <c r="G178" t="str">
        <f>IF(coder1_YH!G178="",G177, coder1_YH!G178)</f>
        <v>Guthrie et al., 1998</v>
      </c>
      <c r="H178" s="405" t="str">
        <f>clean_mod!I178</f>
        <v>1998</v>
      </c>
      <c r="I178" t="str">
        <f>clean_mod!G178</f>
        <v>129</v>
      </c>
      <c r="J178">
        <f>clean_mod!H178</f>
        <v>129.19999999999999</v>
      </c>
      <c r="K178">
        <f>IF(coder1_YH!P178="",K177, coder1_YH!P178)</f>
        <v>1</v>
      </c>
      <c r="L178" s="324" t="str">
        <f>IF(clean_mod!AF178="",L177,clean_mod!AF178)</f>
        <v xml:space="preserve">129.2-Nm </v>
      </c>
      <c r="M178" s="324" t="str">
        <f>IF(clean_mod!AG178="",M177,clean_mod!AG178)</f>
        <v>129.2-N_R</v>
      </c>
      <c r="N178" s="372" t="str">
        <f t="shared" si="16"/>
        <v>129-ctl-79</v>
      </c>
      <c r="O178" s="372" t="str">
        <f t="shared" si="17"/>
        <v>129-1-79</v>
      </c>
      <c r="P178" s="369">
        <v>79</v>
      </c>
      <c r="Q178" s="369" t="str">
        <f>LEFT(coder1_YH!AK178,1)</f>
        <v>0</v>
      </c>
      <c r="R178" s="369" t="str">
        <f>LEFT(coder1_YH!AL178,1)</f>
        <v>0</v>
      </c>
      <c r="S178" s="369" t="str">
        <f>coder1_YH!AJ178</f>
        <v>text comprehension - informational text (April, EOY)</v>
      </c>
      <c r="T178" s="370" t="str">
        <f>coder1_YH!AN178</f>
        <v>NA</v>
      </c>
      <c r="U178" s="370" t="str">
        <f>coder1_YH!AO178</f>
        <v>NA</v>
      </c>
      <c r="V178" s="370" t="str">
        <f>coder1_YH!AP178</f>
        <v>NA</v>
      </c>
      <c r="W178" s="370">
        <f>coder1_YH!AQ178</f>
        <v>8.7100000000000009</v>
      </c>
      <c r="X178" s="370">
        <f>coder1_YH!AR178</f>
        <v>1.47</v>
      </c>
      <c r="Y178" s="370">
        <f>coder1_YH!AS178</f>
        <v>40</v>
      </c>
      <c r="Z178" s="371" t="str">
        <f t="shared" si="18"/>
        <v>NA</v>
      </c>
      <c r="AA178" s="371" t="str">
        <f t="shared" si="19"/>
        <v>NA</v>
      </c>
      <c r="AB178" s="371" t="str">
        <f t="shared" si="20"/>
        <v>NA</v>
      </c>
      <c r="AC178" s="371">
        <f t="shared" si="21"/>
        <v>8.65</v>
      </c>
      <c r="AD178" s="371">
        <f t="shared" si="22"/>
        <v>1.51</v>
      </c>
      <c r="AE178" s="371">
        <f t="shared" si="23"/>
        <v>42</v>
      </c>
    </row>
    <row r="179" spans="1:31" x14ac:dyDescent="0.2">
      <c r="A179">
        <f>coder1_YH!B179</f>
        <v>0</v>
      </c>
      <c r="B179">
        <f>coder1_YH!C179</f>
        <v>179</v>
      </c>
      <c r="C179">
        <f>coder1_YH!D179</f>
        <v>0</v>
      </c>
      <c r="D179" t="str">
        <f>coder1_YH!E179</f>
        <v/>
      </c>
      <c r="E179" t="str">
        <f>coder1_YH!F179</f>
        <v/>
      </c>
      <c r="G179" t="str">
        <f>IF(coder1_YH!G179="",G178, coder1_YH!G179)</f>
        <v>Guthrie et al., 1998</v>
      </c>
      <c r="H179" s="405" t="str">
        <f>clean_mod!I179</f>
        <v>1998</v>
      </c>
      <c r="I179" t="str">
        <f>clean_mod!G179</f>
        <v>129</v>
      </c>
      <c r="J179">
        <f>clean_mod!H179</f>
        <v>129.19999999999999</v>
      </c>
      <c r="K179">
        <f>IF(coder1_YH!P179="",K178, coder1_YH!P179)</f>
        <v>1</v>
      </c>
      <c r="L179" s="324" t="str">
        <f>IF(clean_mod!AF179="",L178,clean_mod!AF179)</f>
        <v xml:space="preserve">129.2-Nm </v>
      </c>
      <c r="M179" s="324" t="str">
        <f>IF(clean_mod!AG179="",M178,clean_mod!AG179)</f>
        <v>129.2-N_R</v>
      </c>
      <c r="N179" s="372" t="str">
        <f t="shared" si="16"/>
        <v>129-ctl-80</v>
      </c>
      <c r="O179" s="372" t="str">
        <f t="shared" si="17"/>
        <v>129-1-80</v>
      </c>
      <c r="P179" s="369">
        <v>80</v>
      </c>
      <c r="Q179" s="369" t="str">
        <f>LEFT(coder1_YH!AK179,1)</f>
        <v>0</v>
      </c>
      <c r="R179" s="369" t="str">
        <f>LEFT(coder1_YH!AL179,1)</f>
        <v>0</v>
      </c>
      <c r="S179" s="369" t="str">
        <f>coder1_YH!AJ179</f>
        <v>Past achievement (pretest ONLY, BOY)</v>
      </c>
      <c r="T179" s="370">
        <f>coder1_YH!AN179</f>
        <v>7.06</v>
      </c>
      <c r="U179" s="370">
        <f>coder1_YH!AO179</f>
        <v>2.56</v>
      </c>
      <c r="V179" s="370">
        <f>coder1_YH!AP179</f>
        <v>40</v>
      </c>
      <c r="W179" s="370" t="str">
        <f>coder1_YH!AQ179</f>
        <v>NA</v>
      </c>
      <c r="X179" s="370" t="str">
        <f>coder1_YH!AR179</f>
        <v>NA</v>
      </c>
      <c r="Y179" s="370" t="str">
        <f>coder1_YH!AS179</f>
        <v>NA</v>
      </c>
      <c r="Z179" s="371">
        <f t="shared" si="18"/>
        <v>6.65</v>
      </c>
      <c r="AA179" s="371">
        <f t="shared" si="19"/>
        <v>1.87</v>
      </c>
      <c r="AB179" s="371">
        <f t="shared" si="20"/>
        <v>42</v>
      </c>
      <c r="AC179" s="371" t="str">
        <f t="shared" si="21"/>
        <v>NA</v>
      </c>
      <c r="AD179" s="371" t="str">
        <f t="shared" si="22"/>
        <v>NA</v>
      </c>
      <c r="AE179" s="371" t="str">
        <f t="shared" si="23"/>
        <v>NA</v>
      </c>
    </row>
    <row r="180" spans="1:31" x14ac:dyDescent="0.2">
      <c r="A180">
        <f>coder1_YH!B180</f>
        <v>0</v>
      </c>
      <c r="B180">
        <f>coder1_YH!C180</f>
        <v>180</v>
      </c>
      <c r="C180">
        <f>coder1_YH!D180</f>
        <v>0</v>
      </c>
      <c r="D180" t="str">
        <f>coder1_YH!E180</f>
        <v/>
      </c>
      <c r="E180" t="str">
        <f>coder1_YH!F180</f>
        <v/>
      </c>
      <c r="G180" t="str">
        <f>IF(coder1_YH!G180="",G179, coder1_YH!G180)</f>
        <v>Guthrie et al., 1998</v>
      </c>
      <c r="H180" s="405" t="str">
        <f>clean_mod!I180</f>
        <v>1998</v>
      </c>
      <c r="I180" t="str">
        <f>clean_mod!G180</f>
        <v>129</v>
      </c>
      <c r="J180">
        <f>clean_mod!H180</f>
        <v>129.19999999999999</v>
      </c>
      <c r="K180">
        <f>IF(coder1_YH!P180="",K179, coder1_YH!P180)</f>
        <v>1</v>
      </c>
      <c r="L180" s="324" t="str">
        <f>IF(clean_mod!AF180="",L179,clean_mod!AF180)</f>
        <v xml:space="preserve">129.2-Nm </v>
      </c>
      <c r="M180" s="324" t="str">
        <f>IF(clean_mod!AG180="",M179,clean_mod!AG180)</f>
        <v>129.2-N_R</v>
      </c>
      <c r="N180" s="372" t="str">
        <f t="shared" si="16"/>
        <v>129-ctl-81</v>
      </c>
      <c r="O180" s="372" t="str">
        <f t="shared" si="17"/>
        <v>129-1-81</v>
      </c>
      <c r="P180" s="369">
        <v>81</v>
      </c>
      <c r="Q180" s="369" t="str">
        <f>LEFT(coder1_YH!AK180,1)</f>
        <v>0</v>
      </c>
      <c r="R180" s="369" t="str">
        <f>LEFT(coder1_YH!AL180,1)</f>
        <v>0</v>
      </c>
      <c r="S180" s="369" t="str">
        <f>coder1_YH!AJ180</f>
        <v>Literacy level (pretest ONLY, BOY)</v>
      </c>
      <c r="T180" s="370">
        <f>coder1_YH!AN180</f>
        <v>3.31</v>
      </c>
      <c r="U180" s="370">
        <f>coder1_YH!AO180</f>
        <v>1.49</v>
      </c>
      <c r="V180" s="370">
        <f>coder1_YH!AP180</f>
        <v>40</v>
      </c>
      <c r="W180" s="370" t="str">
        <f>coder1_YH!AQ180</f>
        <v>NA</v>
      </c>
      <c r="X180" s="370" t="str">
        <f>coder1_YH!AR180</f>
        <v>NA</v>
      </c>
      <c r="Y180" s="370" t="str">
        <f>coder1_YH!AS180</f>
        <v>NA</v>
      </c>
      <c r="Z180" s="371">
        <f t="shared" si="18"/>
        <v>3.35</v>
      </c>
      <c r="AA180" s="371">
        <f t="shared" si="19"/>
        <v>0.89</v>
      </c>
      <c r="AB180" s="371">
        <f t="shared" si="20"/>
        <v>42</v>
      </c>
      <c r="AC180" s="371" t="str">
        <f t="shared" si="21"/>
        <v>NA</v>
      </c>
      <c r="AD180" s="371" t="str">
        <f t="shared" si="22"/>
        <v>NA</v>
      </c>
      <c r="AE180" s="371" t="str">
        <f t="shared" si="23"/>
        <v>NA</v>
      </c>
    </row>
    <row r="181" spans="1:31" x14ac:dyDescent="0.2">
      <c r="A181">
        <f>coder1_YH!B181</f>
        <v>0</v>
      </c>
      <c r="B181">
        <f>coder1_YH!C181</f>
        <v>181</v>
      </c>
      <c r="C181">
        <f>coder1_YH!D181</f>
        <v>0</v>
      </c>
      <c r="D181" t="str">
        <f>coder1_YH!E181</f>
        <v/>
      </c>
      <c r="E181" t="b">
        <f>coder1_YH!F181</f>
        <v>1</v>
      </c>
      <c r="G181" t="str">
        <f>IF(coder1_YH!G181="",G180, coder1_YH!G181)</f>
        <v>Guthrie et al., 1998</v>
      </c>
      <c r="H181" s="405" t="str">
        <f>clean_mod!I181</f>
        <v>1998</v>
      </c>
      <c r="I181" t="str">
        <f>clean_mod!G181</f>
        <v>129</v>
      </c>
      <c r="J181">
        <f>clean_mod!H181</f>
        <v>129.19999999999999</v>
      </c>
      <c r="K181" t="str">
        <f>IF(coder1_YH!P181="",K180, coder1_YH!P181)</f>
        <v>ctl</v>
      </c>
      <c r="L181" s="324" t="str">
        <f>IF(clean_mod!AF181="",L180,clean_mod!AF181)</f>
        <v>129.2-..</v>
      </c>
      <c r="M181" s="324" t="str">
        <f>IF(clean_mod!AG181="",M180,clean_mod!AG181)</f>
        <v>129.2-BAU</v>
      </c>
      <c r="N181" s="372" t="str">
        <f t="shared" si="16"/>
        <v>129-ctl-77</v>
      </c>
      <c r="O181" s="372" t="str">
        <f t="shared" si="17"/>
        <v>129-ctl-77</v>
      </c>
      <c r="P181" s="369">
        <v>77</v>
      </c>
      <c r="Q181" s="369" t="str">
        <f>LEFT(coder1_YH!AK181,1)</f>
        <v>0</v>
      </c>
      <c r="R181" s="369" t="str">
        <f>LEFT(coder1_YH!AL181,1)</f>
        <v>1</v>
      </c>
      <c r="S181" s="369" t="str">
        <f>coder1_YH!AJ181</f>
        <v>text comprehension - total (April, EOY)</v>
      </c>
      <c r="T181" s="370" t="str">
        <f>coder1_YH!AN181</f>
        <v>NA</v>
      </c>
      <c r="U181" s="370" t="str">
        <f>coder1_YH!AO181</f>
        <v>NA</v>
      </c>
      <c r="V181" s="370" t="str">
        <f>coder1_YH!AP181</f>
        <v>NA</v>
      </c>
      <c r="W181" s="370">
        <f>coder1_YH!AQ181</f>
        <v>13.61</v>
      </c>
      <c r="X181" s="370">
        <f>coder1_YH!AR181</f>
        <v>1.98</v>
      </c>
      <c r="Y181" s="370">
        <f>coder1_YH!AS181</f>
        <v>42</v>
      </c>
      <c r="Z181" s="371" t="str">
        <f t="shared" si="18"/>
        <v>NA</v>
      </c>
      <c r="AA181" s="371" t="str">
        <f t="shared" si="19"/>
        <v>NA</v>
      </c>
      <c r="AB181" s="371" t="str">
        <f t="shared" si="20"/>
        <v>NA</v>
      </c>
      <c r="AC181" s="371">
        <f t="shared" si="21"/>
        <v>13.61</v>
      </c>
      <c r="AD181" s="371">
        <f t="shared" si="22"/>
        <v>1.98</v>
      </c>
      <c r="AE181" s="371">
        <f t="shared" si="23"/>
        <v>42</v>
      </c>
    </row>
    <row r="182" spans="1:31" x14ac:dyDescent="0.2">
      <c r="A182">
        <f>coder1_YH!B182</f>
        <v>0</v>
      </c>
      <c r="B182">
        <f>coder1_YH!C182</f>
        <v>182</v>
      </c>
      <c r="C182">
        <f>coder1_YH!D182</f>
        <v>0</v>
      </c>
      <c r="D182" t="str">
        <f>coder1_YH!E182</f>
        <v/>
      </c>
      <c r="E182" t="str">
        <f>coder1_YH!F182</f>
        <v/>
      </c>
      <c r="G182" t="str">
        <f>IF(coder1_YH!G182="",G181, coder1_YH!G182)</f>
        <v>Guthrie et al., 1998</v>
      </c>
      <c r="H182" s="405" t="str">
        <f>clean_mod!I182</f>
        <v>1998</v>
      </c>
      <c r="I182" t="str">
        <f>clean_mod!G182</f>
        <v>129</v>
      </c>
      <c r="J182">
        <f>clean_mod!H182</f>
        <v>129.19999999999999</v>
      </c>
      <c r="K182" t="str">
        <f>IF(coder1_YH!P182="",K181, coder1_YH!P182)</f>
        <v>ctl</v>
      </c>
      <c r="L182" s="324" t="str">
        <f>IF(clean_mod!AF182="",L181,clean_mod!AF182)</f>
        <v>129.2-..</v>
      </c>
      <c r="M182" s="324" t="str">
        <f>IF(clean_mod!AG182="",M181,clean_mod!AG182)</f>
        <v>129.2-BAU</v>
      </c>
      <c r="N182" s="372" t="str">
        <f t="shared" si="16"/>
        <v>129-ctl-78</v>
      </c>
      <c r="O182" s="372" t="str">
        <f t="shared" si="17"/>
        <v>129-ctl-78</v>
      </c>
      <c r="P182" s="369">
        <v>78</v>
      </c>
      <c r="Q182" s="369" t="str">
        <f>LEFT(coder1_YH!AK182,1)</f>
        <v>0</v>
      </c>
      <c r="R182" s="369" t="str">
        <f>LEFT(coder1_YH!AL182,1)</f>
        <v>1</v>
      </c>
      <c r="S182" s="369" t="str">
        <f>coder1_YH!AJ182</f>
        <v>text comprehension - story (April, EOY)</v>
      </c>
      <c r="T182" s="370" t="str">
        <f>coder1_YH!AN182</f>
        <v>NA</v>
      </c>
      <c r="U182" s="370" t="str">
        <f>coder1_YH!AO182</f>
        <v>NA</v>
      </c>
      <c r="V182" s="370" t="str">
        <f>coder1_YH!AP182</f>
        <v>NA</v>
      </c>
      <c r="W182" s="370">
        <f>coder1_YH!AQ182</f>
        <v>4.67</v>
      </c>
      <c r="X182" s="370">
        <f>coder1_YH!AR182</f>
        <v>1.44</v>
      </c>
      <c r="Y182" s="370">
        <f>coder1_YH!AS182</f>
        <v>42</v>
      </c>
      <c r="Z182" s="371" t="str">
        <f t="shared" si="18"/>
        <v>NA</v>
      </c>
      <c r="AA182" s="371" t="str">
        <f t="shared" si="19"/>
        <v>NA</v>
      </c>
      <c r="AB182" s="371" t="str">
        <f t="shared" si="20"/>
        <v>NA</v>
      </c>
      <c r="AC182" s="371">
        <f t="shared" si="21"/>
        <v>4.67</v>
      </c>
      <c r="AD182" s="371">
        <f t="shared" si="22"/>
        <v>1.44</v>
      </c>
      <c r="AE182" s="371">
        <f t="shared" si="23"/>
        <v>42</v>
      </c>
    </row>
    <row r="183" spans="1:31" x14ac:dyDescent="0.2">
      <c r="A183">
        <f>coder1_YH!B183</f>
        <v>0</v>
      </c>
      <c r="B183">
        <f>coder1_YH!C183</f>
        <v>183</v>
      </c>
      <c r="C183">
        <f>coder1_YH!D183</f>
        <v>0</v>
      </c>
      <c r="D183" t="str">
        <f>coder1_YH!E183</f>
        <v/>
      </c>
      <c r="E183" t="str">
        <f>coder1_YH!F183</f>
        <v/>
      </c>
      <c r="G183" t="str">
        <f>IF(coder1_YH!G183="",G182, coder1_YH!G183)</f>
        <v>Guthrie et al., 1998</v>
      </c>
      <c r="H183" s="405" t="str">
        <f>clean_mod!I183</f>
        <v>1998</v>
      </c>
      <c r="I183" t="str">
        <f>clean_mod!G183</f>
        <v>129</v>
      </c>
      <c r="J183">
        <f>clean_mod!H183</f>
        <v>129.19999999999999</v>
      </c>
      <c r="K183" t="str">
        <f>IF(coder1_YH!P183="",K182, coder1_YH!P183)</f>
        <v>ctl</v>
      </c>
      <c r="L183" s="324" t="str">
        <f>IF(clean_mod!AF183="",L182,clean_mod!AF183)</f>
        <v>129.2-..</v>
      </c>
      <c r="M183" s="324" t="str">
        <f>IF(clean_mod!AG183="",M182,clean_mod!AG183)</f>
        <v>129.2-BAU</v>
      </c>
      <c r="N183" s="372" t="str">
        <f t="shared" si="16"/>
        <v>129-ctl-79</v>
      </c>
      <c r="O183" s="372" t="str">
        <f t="shared" si="17"/>
        <v>129-ctl-79</v>
      </c>
      <c r="P183" s="369">
        <v>79</v>
      </c>
      <c r="Q183" s="369" t="str">
        <f>LEFT(coder1_YH!AK183,1)</f>
        <v>0</v>
      </c>
      <c r="R183" s="369" t="str">
        <f>LEFT(coder1_YH!AL183,1)</f>
        <v>1</v>
      </c>
      <c r="S183" s="369" t="str">
        <f>coder1_YH!AJ183</f>
        <v>text comprehension - informational text (April, EOY)</v>
      </c>
      <c r="T183" s="370" t="str">
        <f>coder1_YH!AN183</f>
        <v>NA</v>
      </c>
      <c r="U183" s="370" t="str">
        <f>coder1_YH!AO183</f>
        <v>NA</v>
      </c>
      <c r="V183" s="370" t="str">
        <f>coder1_YH!AP183</f>
        <v>NA</v>
      </c>
      <c r="W183" s="370">
        <f>coder1_YH!AQ183</f>
        <v>8.65</v>
      </c>
      <c r="X183" s="370">
        <f>coder1_YH!AR183</f>
        <v>1.51</v>
      </c>
      <c r="Y183" s="370">
        <f>coder1_YH!AS183</f>
        <v>42</v>
      </c>
      <c r="Z183" s="371" t="str">
        <f t="shared" si="18"/>
        <v>NA</v>
      </c>
      <c r="AA183" s="371" t="str">
        <f t="shared" si="19"/>
        <v>NA</v>
      </c>
      <c r="AB183" s="371" t="str">
        <f t="shared" si="20"/>
        <v>NA</v>
      </c>
      <c r="AC183" s="371">
        <f t="shared" si="21"/>
        <v>8.65</v>
      </c>
      <c r="AD183" s="371">
        <f t="shared" si="22"/>
        <v>1.51</v>
      </c>
      <c r="AE183" s="371">
        <f t="shared" si="23"/>
        <v>42</v>
      </c>
    </row>
    <row r="184" spans="1:31" x14ac:dyDescent="0.2">
      <c r="A184">
        <f>coder1_YH!B184</f>
        <v>0</v>
      </c>
      <c r="B184">
        <f>coder1_YH!C184</f>
        <v>184</v>
      </c>
      <c r="C184">
        <f>coder1_YH!D184</f>
        <v>0</v>
      </c>
      <c r="D184" t="str">
        <f>coder1_YH!E184</f>
        <v/>
      </c>
      <c r="E184" t="str">
        <f>coder1_YH!F184</f>
        <v/>
      </c>
      <c r="G184" t="str">
        <f>IF(coder1_YH!G184="",G183, coder1_YH!G184)</f>
        <v>Guthrie et al., 1998</v>
      </c>
      <c r="H184" s="405" t="str">
        <f>clean_mod!I184</f>
        <v>1998</v>
      </c>
      <c r="I184" t="str">
        <f>clean_mod!G184</f>
        <v>129</v>
      </c>
      <c r="J184">
        <f>clean_mod!H184</f>
        <v>129.19999999999999</v>
      </c>
      <c r="K184" t="str">
        <f>IF(coder1_YH!P184="",K183, coder1_YH!P184)</f>
        <v>ctl</v>
      </c>
      <c r="L184" s="324" t="str">
        <f>IF(clean_mod!AF184="",L183,clean_mod!AF184)</f>
        <v>129.2-..</v>
      </c>
      <c r="M184" s="324" t="str">
        <f>IF(clean_mod!AG184="",M183,clean_mod!AG184)</f>
        <v>129.2-BAU</v>
      </c>
      <c r="N184" s="372" t="str">
        <f t="shared" si="16"/>
        <v>129-ctl-80</v>
      </c>
      <c r="O184" s="372" t="str">
        <f t="shared" si="17"/>
        <v>129-ctl-80</v>
      </c>
      <c r="P184" s="369">
        <v>80</v>
      </c>
      <c r="Q184" s="369" t="str">
        <f>LEFT(coder1_YH!AK184,1)</f>
        <v>0</v>
      </c>
      <c r="R184" s="369" t="str">
        <f>LEFT(coder1_YH!AL184,1)</f>
        <v>1</v>
      </c>
      <c r="S184" s="369" t="str">
        <f>coder1_YH!AJ184</f>
        <v>Past achievement (pretest ONLY, BOY)</v>
      </c>
      <c r="T184" s="370">
        <f>coder1_YH!AN184</f>
        <v>6.65</v>
      </c>
      <c r="U184" s="370">
        <f>coder1_YH!AO184</f>
        <v>1.87</v>
      </c>
      <c r="V184" s="370">
        <f>coder1_YH!AP184</f>
        <v>42</v>
      </c>
      <c r="W184" s="370" t="str">
        <f>coder1_YH!AQ184</f>
        <v>NA</v>
      </c>
      <c r="X184" s="370" t="str">
        <f>coder1_YH!AR184</f>
        <v>NA</v>
      </c>
      <c r="Y184" s="370" t="str">
        <f>coder1_YH!AS184</f>
        <v>NA</v>
      </c>
      <c r="Z184" s="371">
        <f t="shared" si="18"/>
        <v>6.65</v>
      </c>
      <c r="AA184" s="371">
        <f t="shared" si="19"/>
        <v>1.87</v>
      </c>
      <c r="AB184" s="371">
        <f t="shared" si="20"/>
        <v>42</v>
      </c>
      <c r="AC184" s="371" t="str">
        <f t="shared" si="21"/>
        <v>NA</v>
      </c>
      <c r="AD184" s="371" t="str">
        <f t="shared" si="22"/>
        <v>NA</v>
      </c>
      <c r="AE184" s="371" t="str">
        <f t="shared" si="23"/>
        <v>NA</v>
      </c>
    </row>
    <row r="185" spans="1:31" x14ac:dyDescent="0.2">
      <c r="A185">
        <f>coder1_YH!B185</f>
        <v>0</v>
      </c>
      <c r="B185">
        <f>coder1_YH!C185</f>
        <v>185</v>
      </c>
      <c r="C185">
        <f>coder1_YH!D185</f>
        <v>0</v>
      </c>
      <c r="D185" t="str">
        <f>coder1_YH!E185</f>
        <v/>
      </c>
      <c r="E185" t="str">
        <f>coder1_YH!F185</f>
        <v/>
      </c>
      <c r="G185" t="str">
        <f>IF(coder1_YH!G185="",G184, coder1_YH!G185)</f>
        <v>Guthrie et al., 1998</v>
      </c>
      <c r="H185" s="405" t="str">
        <f>clean_mod!I185</f>
        <v>1998</v>
      </c>
      <c r="I185" t="str">
        <f>clean_mod!G185</f>
        <v>129</v>
      </c>
      <c r="J185">
        <f>clean_mod!H185</f>
        <v>129.19999999999999</v>
      </c>
      <c r="K185" t="str">
        <f>IF(coder1_YH!P185="",K184, coder1_YH!P185)</f>
        <v>ctl</v>
      </c>
      <c r="L185" s="324" t="str">
        <f>IF(clean_mod!AF185="",L184,clean_mod!AF185)</f>
        <v>129.2-..</v>
      </c>
      <c r="M185" s="324" t="str">
        <f>IF(clean_mod!AG185="",M184,clean_mod!AG185)</f>
        <v>129.2-BAU</v>
      </c>
      <c r="N185" s="372" t="str">
        <f t="shared" si="16"/>
        <v>129-ctl-81</v>
      </c>
      <c r="O185" s="372" t="str">
        <f t="shared" si="17"/>
        <v>129-ctl-81</v>
      </c>
      <c r="P185" s="369">
        <v>81</v>
      </c>
      <c r="Q185" s="369" t="str">
        <f>LEFT(coder1_YH!AK185,1)</f>
        <v>0</v>
      </c>
      <c r="R185" s="369" t="str">
        <f>LEFT(coder1_YH!AL185,1)</f>
        <v>1</v>
      </c>
      <c r="S185" s="369" t="str">
        <f>coder1_YH!AJ185</f>
        <v>Literacy level (pretest ONLY, BOY)</v>
      </c>
      <c r="T185" s="370">
        <f>coder1_YH!AN185</f>
        <v>3.35</v>
      </c>
      <c r="U185" s="370">
        <f>coder1_YH!AO185</f>
        <v>0.89</v>
      </c>
      <c r="V185" s="370">
        <f>coder1_YH!AP185</f>
        <v>42</v>
      </c>
      <c r="W185" s="370" t="str">
        <f>coder1_YH!AQ185</f>
        <v>NA</v>
      </c>
      <c r="X185" s="370" t="str">
        <f>coder1_YH!AR185</f>
        <v>NA</v>
      </c>
      <c r="Y185" s="370" t="str">
        <f>coder1_YH!AS185</f>
        <v>NA</v>
      </c>
      <c r="Z185" s="371">
        <f t="shared" si="18"/>
        <v>3.35</v>
      </c>
      <c r="AA185" s="371">
        <f t="shared" si="19"/>
        <v>0.89</v>
      </c>
      <c r="AB185" s="371">
        <f t="shared" si="20"/>
        <v>42</v>
      </c>
      <c r="AC185" s="371" t="str">
        <f t="shared" si="21"/>
        <v>NA</v>
      </c>
      <c r="AD185" s="371" t="str">
        <f t="shared" si="22"/>
        <v>NA</v>
      </c>
      <c r="AE185" s="371" t="str">
        <f t="shared" si="23"/>
        <v>NA</v>
      </c>
    </row>
    <row r="186" spans="1:31" x14ac:dyDescent="0.2">
      <c r="A186">
        <f>coder1_YH!B186</f>
        <v>0</v>
      </c>
      <c r="B186">
        <f>coder1_YH!C186</f>
        <v>186</v>
      </c>
      <c r="C186" t="b">
        <f>coder1_YH!D186</f>
        <v>1</v>
      </c>
      <c r="D186" t="b">
        <f>coder1_YH!E186</f>
        <v>1</v>
      </c>
      <c r="E186" t="b">
        <f>coder1_YH!F186</f>
        <v>1</v>
      </c>
      <c r="G186" t="str">
        <f>IF(coder1_YH!G186="",G185, coder1_YH!G186)</f>
        <v>Tijims et al., 2018</v>
      </c>
      <c r="H186" s="405" t="str">
        <f>clean_mod!I186</f>
        <v>2018</v>
      </c>
      <c r="I186" t="str">
        <f>clean_mod!G186</f>
        <v>130</v>
      </c>
      <c r="J186">
        <f>clean_mod!H186</f>
        <v>130</v>
      </c>
      <c r="K186">
        <f>IF(coder1_YH!P186="",K185, coder1_YH!P186)</f>
        <v>1</v>
      </c>
      <c r="L186" s="324" t="str">
        <f>IF(clean_mod!AF186="",L185,clean_mod!AF186)</f>
        <v xml:space="preserve">130-Nm </v>
      </c>
      <c r="M186" s="324" t="str">
        <f>IF(clean_mod!AG186="",M185,clean_mod!AG186)</f>
        <v>130-N_R</v>
      </c>
      <c r="N186" s="372" t="str">
        <f t="shared" si="16"/>
        <v>130-ctl-82</v>
      </c>
      <c r="O186" s="372" t="str">
        <f t="shared" si="17"/>
        <v>130-1-82</v>
      </c>
      <c r="P186" s="369">
        <v>82</v>
      </c>
      <c r="Q186" s="369" t="str">
        <f>LEFT(coder1_YH!AK186,1)</f>
        <v>1</v>
      </c>
      <c r="R186" s="369" t="str">
        <f>LEFT(coder1_YH!AL186,1)</f>
        <v>S</v>
      </c>
      <c r="S186" s="369" t="str">
        <f>coder1_YH!AJ186</f>
        <v>reading comprehension (Vlaamse
Test Begrijpend Lezen version grade 6)</v>
      </c>
      <c r="T186" s="370">
        <f>coder1_YH!AN186</f>
        <v>12.73</v>
      </c>
      <c r="U186" s="370">
        <f>coder1_YH!AO186</f>
        <v>4.38</v>
      </c>
      <c r="V186" s="370">
        <f>coder1_YH!AP186</f>
        <v>40</v>
      </c>
      <c r="W186" s="370">
        <f>coder1_YH!AQ186</f>
        <v>13.77</v>
      </c>
      <c r="X186" s="370">
        <f>coder1_YH!AR186</f>
        <v>4.9400000000000004</v>
      </c>
      <c r="Y186" s="370">
        <f>coder1_YH!AS186</f>
        <v>40</v>
      </c>
      <c r="Z186" s="371">
        <f t="shared" si="18"/>
        <v>13.14</v>
      </c>
      <c r="AA186" s="371">
        <f t="shared" si="19"/>
        <v>4.5199999999999996</v>
      </c>
      <c r="AB186" s="371">
        <f t="shared" si="20"/>
        <v>50</v>
      </c>
      <c r="AC186" s="371">
        <f t="shared" si="21"/>
        <v>11.96</v>
      </c>
      <c r="AD186" s="371">
        <f t="shared" si="22"/>
        <v>5.32</v>
      </c>
      <c r="AE186" s="371">
        <f t="shared" si="23"/>
        <v>50</v>
      </c>
    </row>
    <row r="187" spans="1:31" x14ac:dyDescent="0.2">
      <c r="A187">
        <f>coder1_YH!B187</f>
        <v>0</v>
      </c>
      <c r="B187">
        <f>coder1_YH!C187</f>
        <v>187</v>
      </c>
      <c r="C187">
        <f>coder1_YH!D187</f>
        <v>0</v>
      </c>
      <c r="D187" t="str">
        <f>coder1_YH!E187</f>
        <v/>
      </c>
      <c r="E187" t="b">
        <f>coder1_YH!F187</f>
        <v>1</v>
      </c>
      <c r="G187" t="str">
        <f>IF(coder1_YH!G187="",G186, coder1_YH!G187)</f>
        <v>Tijims et al., 2018</v>
      </c>
      <c r="H187" s="405" t="str">
        <f>clean_mod!I187</f>
        <v>2018</v>
      </c>
      <c r="I187" t="str">
        <f>clean_mod!G187</f>
        <v>130</v>
      </c>
      <c r="J187">
        <f>clean_mod!H187</f>
        <v>130</v>
      </c>
      <c r="K187" t="str">
        <f>IF(coder1_YH!P187="",K186, coder1_YH!P187)</f>
        <v>ctl</v>
      </c>
      <c r="L187" s="324" t="str">
        <f>IF(clean_mod!AF187="",L186,clean_mod!AF187)</f>
        <v>130-..</v>
      </c>
      <c r="M187" s="324" t="str">
        <f>IF(clean_mod!AG187="",M186,clean_mod!AG187)</f>
        <v>130-BAU</v>
      </c>
      <c r="N187" s="372" t="str">
        <f t="shared" si="16"/>
        <v>130-ctl-82</v>
      </c>
      <c r="O187" s="372" t="str">
        <f t="shared" si="17"/>
        <v>130-ctl-82</v>
      </c>
      <c r="P187" s="369">
        <v>82</v>
      </c>
      <c r="Q187" s="369" t="str">
        <f>LEFT(coder1_YH!AK187,1)</f>
        <v>1</v>
      </c>
      <c r="R187" s="369" t="str">
        <f>LEFT(coder1_YH!AL187,1)</f>
        <v>S</v>
      </c>
      <c r="S187" s="369" t="str">
        <f>coder1_YH!AJ187</f>
        <v>reading comprehension (Vlaamse
Test Begrijpend Lezen version grade 6)</v>
      </c>
      <c r="T187" s="370">
        <f>coder1_YH!AN187</f>
        <v>13.14</v>
      </c>
      <c r="U187" s="370">
        <f>coder1_YH!AO187</f>
        <v>4.5199999999999996</v>
      </c>
      <c r="V187" s="370">
        <f>coder1_YH!AP187</f>
        <v>50</v>
      </c>
      <c r="W187" s="370">
        <f>coder1_YH!AQ187</f>
        <v>11.96</v>
      </c>
      <c r="X187" s="370">
        <f>coder1_YH!AR187</f>
        <v>5.32</v>
      </c>
      <c r="Y187" s="370">
        <f>coder1_YH!AS187</f>
        <v>50</v>
      </c>
      <c r="Z187" s="371">
        <f t="shared" si="18"/>
        <v>13.14</v>
      </c>
      <c r="AA187" s="371">
        <f t="shared" si="19"/>
        <v>4.5199999999999996</v>
      </c>
      <c r="AB187" s="371">
        <f t="shared" si="20"/>
        <v>50</v>
      </c>
      <c r="AC187" s="371">
        <f t="shared" si="21"/>
        <v>11.96</v>
      </c>
      <c r="AD187" s="371">
        <f t="shared" si="22"/>
        <v>5.32</v>
      </c>
      <c r="AE187" s="371">
        <f t="shared" si="23"/>
        <v>50</v>
      </c>
    </row>
    <row r="188" spans="1:31" x14ac:dyDescent="0.2">
      <c r="A188">
        <f>coder1_YH!B188</f>
        <v>0</v>
      </c>
      <c r="B188">
        <f>coder1_YH!C188</f>
        <v>188</v>
      </c>
      <c r="C188" t="b">
        <f>coder1_YH!D188</f>
        <v>1</v>
      </c>
      <c r="D188" t="b">
        <f>coder1_YH!E188</f>
        <v>1</v>
      </c>
      <c r="E188" t="b">
        <f>coder1_YH!F188</f>
        <v>1</v>
      </c>
      <c r="G188" t="str">
        <f>IF(coder1_YH!G188="",G187, coder1_YH!G188)</f>
        <v>Schunk &amp; Rice. (S1), 1987</v>
      </c>
      <c r="H188" s="405" t="str">
        <f>clean_mod!I188</f>
        <v>1987</v>
      </c>
      <c r="I188" t="str">
        <f>clean_mod!G188</f>
        <v>131</v>
      </c>
      <c r="J188">
        <f>clean_mod!H188</f>
        <v>131</v>
      </c>
      <c r="K188">
        <f>IF(coder1_YH!P188="",K187, coder1_YH!P188)</f>
        <v>1</v>
      </c>
      <c r="L188" s="324" t="str">
        <f>IF(clean_mod!AF188="",L187,clean_mod!AF188)</f>
        <v xml:space="preserve">131-Vm </v>
      </c>
      <c r="M188" s="324" t="str">
        <f>IF(clean_mod!AG188="",M187,clean_mod!AG188)</f>
        <v>131-V_R</v>
      </c>
      <c r="N188" s="372" t="str">
        <f t="shared" si="16"/>
        <v>131-ctl-83</v>
      </c>
      <c r="O188" s="372" t="str">
        <f t="shared" si="17"/>
        <v>131-1-83</v>
      </c>
      <c r="P188" s="369">
        <v>83</v>
      </c>
      <c r="Q188" s="369" t="str">
        <f>LEFT(coder1_YH!AK188,1)</f>
        <v>0</v>
      </c>
      <c r="R188" s="369" t="str">
        <f>LEFT(coder1_YH!AL188,1)</f>
        <v>0</v>
      </c>
      <c r="S188" s="369" t="str">
        <f>coder1_YH!AJ188</f>
        <v>comprehension skill test</v>
      </c>
      <c r="T188" s="370">
        <f>coder1_YH!AN188</f>
        <v>4.5</v>
      </c>
      <c r="U188" s="370">
        <f>coder1_YH!AO188</f>
        <v>2.7</v>
      </c>
      <c r="V188" s="370">
        <f>coder1_YH!AP188</f>
        <v>10</v>
      </c>
      <c r="W188" s="370">
        <f>coder1_YH!AQ188</f>
        <v>6.3</v>
      </c>
      <c r="X188" s="370">
        <f>coder1_YH!AR188</f>
        <v>3.1</v>
      </c>
      <c r="Y188" s="370">
        <f>coder1_YH!AS188</f>
        <v>10</v>
      </c>
      <c r="Z188" s="371">
        <f t="shared" si="18"/>
        <v>4.3</v>
      </c>
      <c r="AA188" s="371">
        <f t="shared" si="19"/>
        <v>2.2000000000000002</v>
      </c>
      <c r="AB188" s="371">
        <f t="shared" si="20"/>
        <v>10</v>
      </c>
      <c r="AC188" s="371">
        <f t="shared" si="21"/>
        <v>6.3</v>
      </c>
      <c r="AD188" s="371">
        <f t="shared" si="22"/>
        <v>2.5</v>
      </c>
      <c r="AE188" s="371">
        <f t="shared" si="23"/>
        <v>10</v>
      </c>
    </row>
    <row r="189" spans="1:31" x14ac:dyDescent="0.2">
      <c r="A189">
        <f>coder1_YH!B189</f>
        <v>0</v>
      </c>
      <c r="B189">
        <f>coder1_YH!C189</f>
        <v>189</v>
      </c>
      <c r="C189">
        <f>coder1_YH!D189</f>
        <v>0</v>
      </c>
      <c r="D189" t="b">
        <f>coder1_YH!E189</f>
        <v>1</v>
      </c>
      <c r="E189" t="b">
        <f>coder1_YH!F189</f>
        <v>1</v>
      </c>
      <c r="G189" t="str">
        <f>IF(coder1_YH!G189="",G188, coder1_YH!G189)</f>
        <v>Schunk &amp; Rice. (S1), 1987</v>
      </c>
      <c r="H189" s="405" t="str">
        <f>clean_mod!I189</f>
        <v>1987</v>
      </c>
      <c r="I189" t="str">
        <f>clean_mod!G189</f>
        <v>131</v>
      </c>
      <c r="J189">
        <f>clean_mod!H189</f>
        <v>131</v>
      </c>
      <c r="K189">
        <f>IF(coder1_YH!P189="",K188, coder1_YH!P189)</f>
        <v>2</v>
      </c>
      <c r="L189" s="324" t="str">
        <f>IF(clean_mod!AF189="",L188,clean_mod!AF189)</f>
        <v xml:space="preserve">131-Vm </v>
      </c>
      <c r="M189" s="324" t="str">
        <f>IF(clean_mod!AG189="",M188,clean_mod!AG189)</f>
        <v>131-V_R</v>
      </c>
      <c r="N189" s="372" t="str">
        <f t="shared" si="16"/>
        <v>131-ctl-83</v>
      </c>
      <c r="O189" s="372" t="str">
        <f t="shared" si="17"/>
        <v>131-2-83</v>
      </c>
      <c r="P189" s="369">
        <v>83</v>
      </c>
      <c r="Q189" s="369" t="str">
        <f>LEFT(coder1_YH!AK189,1)</f>
        <v>0</v>
      </c>
      <c r="R189" s="369" t="str">
        <f>LEFT(coder1_YH!AL189,1)</f>
        <v>0</v>
      </c>
      <c r="S189" s="369" t="str">
        <f>coder1_YH!AJ189</f>
        <v>comprehension skill test</v>
      </c>
      <c r="T189" s="370">
        <f>coder1_YH!AN189</f>
        <v>4.5</v>
      </c>
      <c r="U189" s="370">
        <f>coder1_YH!AO189</f>
        <v>2.8</v>
      </c>
      <c r="V189" s="370">
        <f>coder1_YH!AP189</f>
        <v>10</v>
      </c>
      <c r="W189" s="370">
        <f>coder1_YH!AQ189</f>
        <v>6.2</v>
      </c>
      <c r="X189" s="370">
        <f>coder1_YH!AR189</f>
        <v>4.9000000000000004</v>
      </c>
      <c r="Y189" s="370">
        <f>coder1_YH!AS189</f>
        <v>10</v>
      </c>
      <c r="Z189" s="371">
        <f t="shared" si="18"/>
        <v>4.3</v>
      </c>
      <c r="AA189" s="371">
        <f t="shared" si="19"/>
        <v>2.2000000000000002</v>
      </c>
      <c r="AB189" s="371">
        <f t="shared" si="20"/>
        <v>10</v>
      </c>
      <c r="AC189" s="371">
        <f t="shared" si="21"/>
        <v>6.3</v>
      </c>
      <c r="AD189" s="371">
        <f t="shared" si="22"/>
        <v>2.5</v>
      </c>
      <c r="AE189" s="371">
        <f t="shared" si="23"/>
        <v>10</v>
      </c>
    </row>
    <row r="190" spans="1:31" x14ac:dyDescent="0.2">
      <c r="A190">
        <f>coder1_YH!B190</f>
        <v>0</v>
      </c>
      <c r="B190">
        <f>coder1_YH!C190</f>
        <v>190</v>
      </c>
      <c r="C190">
        <f>coder1_YH!D190</f>
        <v>0</v>
      </c>
      <c r="D190" t="b">
        <f>coder1_YH!E190</f>
        <v>1</v>
      </c>
      <c r="E190" t="b">
        <f>coder1_YH!F190</f>
        <v>1</v>
      </c>
      <c r="G190" t="str">
        <f>IF(coder1_YH!G190="",G189, coder1_YH!G190)</f>
        <v>Schunk &amp; Rice. (S1), 1987</v>
      </c>
      <c r="H190" s="405" t="str">
        <f>clean_mod!I190</f>
        <v>1987</v>
      </c>
      <c r="I190" t="str">
        <f>clean_mod!G190</f>
        <v>131</v>
      </c>
      <c r="J190">
        <f>clean_mod!H190</f>
        <v>131</v>
      </c>
      <c r="K190">
        <f>IF(coder1_YH!P190="",K189, coder1_YH!P190)</f>
        <v>3</v>
      </c>
      <c r="L190" s="324" t="str">
        <f>IF(clean_mod!AF190="",L189,clean_mod!AF190)</f>
        <v xml:space="preserve">131-Vm </v>
      </c>
      <c r="M190" s="324" t="str">
        <f>IF(clean_mod!AG190="",M189,clean_mod!AG190)</f>
        <v>131-V_R</v>
      </c>
      <c r="N190" s="372" t="str">
        <f t="shared" si="16"/>
        <v>131-ctl-83</v>
      </c>
      <c r="O190" s="372" t="str">
        <f t="shared" si="17"/>
        <v>131-3-83</v>
      </c>
      <c r="P190" s="369">
        <v>83</v>
      </c>
      <c r="Q190" s="369" t="str">
        <f>LEFT(coder1_YH!AK190,1)</f>
        <v>0</v>
      </c>
      <c r="R190" s="369" t="str">
        <f>LEFT(coder1_YH!AL190,1)</f>
        <v>0</v>
      </c>
      <c r="S190" s="369" t="str">
        <f>coder1_YH!AJ190</f>
        <v>comprehension skill test</v>
      </c>
      <c r="T190" s="370">
        <f>coder1_YH!AN190</f>
        <v>4.9000000000000004</v>
      </c>
      <c r="U190" s="370">
        <f>coder1_YH!AO190</f>
        <v>1.9</v>
      </c>
      <c r="V190" s="370">
        <f>coder1_YH!AP190</f>
        <v>10</v>
      </c>
      <c r="W190" s="370">
        <f>coder1_YH!AQ190</f>
        <v>11.2</v>
      </c>
      <c r="X190" s="370">
        <f>coder1_YH!AR190</f>
        <v>4.9000000000000004</v>
      </c>
      <c r="Y190" s="370">
        <f>coder1_YH!AS190</f>
        <v>10</v>
      </c>
      <c r="Z190" s="371">
        <f t="shared" si="18"/>
        <v>4.3</v>
      </c>
      <c r="AA190" s="371">
        <f t="shared" si="19"/>
        <v>2.2000000000000002</v>
      </c>
      <c r="AB190" s="371">
        <f t="shared" si="20"/>
        <v>10</v>
      </c>
      <c r="AC190" s="371">
        <f t="shared" si="21"/>
        <v>6.3</v>
      </c>
      <c r="AD190" s="371">
        <f t="shared" si="22"/>
        <v>2.5</v>
      </c>
      <c r="AE190" s="371">
        <f t="shared" si="23"/>
        <v>10</v>
      </c>
    </row>
    <row r="191" spans="1:31" x14ac:dyDescent="0.2">
      <c r="A191">
        <f>coder1_YH!B191</f>
        <v>0</v>
      </c>
      <c r="B191">
        <f>coder1_YH!C191</f>
        <v>191</v>
      </c>
      <c r="C191">
        <f>coder1_YH!D191</f>
        <v>0</v>
      </c>
      <c r="D191" t="b">
        <f>coder1_YH!E191</f>
        <v>1</v>
      </c>
      <c r="E191" t="b">
        <f>coder1_YH!F191</f>
        <v>1</v>
      </c>
      <c r="G191" t="str">
        <f>IF(coder1_YH!G191="",G190, coder1_YH!G191)</f>
        <v>Schunk &amp; Rice. (S1), 1987</v>
      </c>
      <c r="H191" s="405" t="str">
        <f>clean_mod!I191</f>
        <v>1987</v>
      </c>
      <c r="I191" t="str">
        <f>clean_mod!G191</f>
        <v>131</v>
      </c>
      <c r="J191">
        <f>clean_mod!H191</f>
        <v>131</v>
      </c>
      <c r="K191" t="str">
        <f>IF(coder1_YH!P191="",K190, coder1_YH!P191)</f>
        <v>ctl</v>
      </c>
      <c r="L191" s="324" t="str">
        <f>IF(clean_mod!AF191="",L190,clean_mod!AF191)</f>
        <v xml:space="preserve">131-.m </v>
      </c>
      <c r="M191" s="324" t="str">
        <f>IF(clean_mod!AG191="",M190,clean_mod!AG191)</f>
        <v>131-R</v>
      </c>
      <c r="N191" s="372" t="str">
        <f t="shared" si="16"/>
        <v>131-ctl-83</v>
      </c>
      <c r="O191" s="372" t="str">
        <f t="shared" si="17"/>
        <v>131-ctl-83</v>
      </c>
      <c r="P191" s="369">
        <v>83</v>
      </c>
      <c r="Q191" s="369" t="str">
        <f>LEFT(coder1_YH!AK191,1)</f>
        <v>0</v>
      </c>
      <c r="R191" s="369" t="str">
        <f>LEFT(coder1_YH!AL191,1)</f>
        <v>0</v>
      </c>
      <c r="S191" s="369" t="str">
        <f>coder1_YH!AJ191</f>
        <v>comprehension skill test</v>
      </c>
      <c r="T191" s="370">
        <f>coder1_YH!AN191</f>
        <v>4.3</v>
      </c>
      <c r="U191" s="370">
        <f>coder1_YH!AO191</f>
        <v>2.2000000000000002</v>
      </c>
      <c r="V191" s="370">
        <f>coder1_YH!AP191</f>
        <v>10</v>
      </c>
      <c r="W191" s="370">
        <f>coder1_YH!AQ191</f>
        <v>6.3</v>
      </c>
      <c r="X191" s="370">
        <f>coder1_YH!AR191</f>
        <v>2.5</v>
      </c>
      <c r="Y191" s="370">
        <f>coder1_YH!AS191</f>
        <v>10</v>
      </c>
      <c r="Z191" s="371">
        <f t="shared" si="18"/>
        <v>4.3</v>
      </c>
      <c r="AA191" s="371">
        <f t="shared" si="19"/>
        <v>2.2000000000000002</v>
      </c>
      <c r="AB191" s="371">
        <f t="shared" si="20"/>
        <v>10</v>
      </c>
      <c r="AC191" s="371">
        <f t="shared" si="21"/>
        <v>6.3</v>
      </c>
      <c r="AD191" s="371">
        <f t="shared" si="22"/>
        <v>2.5</v>
      </c>
      <c r="AE191" s="371">
        <f t="shared" si="23"/>
        <v>10</v>
      </c>
    </row>
    <row r="192" spans="1:31" x14ac:dyDescent="0.2">
      <c r="A192">
        <f>coder1_YH!B192</f>
        <v>0</v>
      </c>
      <c r="B192">
        <f>coder1_YH!C192</f>
        <v>192</v>
      </c>
      <c r="C192" t="b">
        <f>coder1_YH!D192</f>
        <v>1</v>
      </c>
      <c r="D192" t="b">
        <f>coder1_YH!E192</f>
        <v>1</v>
      </c>
      <c r="E192" t="b">
        <f>coder1_YH!F192</f>
        <v>1</v>
      </c>
      <c r="G192" t="str">
        <f>IF(coder1_YH!G192="",G191, coder1_YH!G192)</f>
        <v>Schunk &amp; Rice. (S2), 1987</v>
      </c>
      <c r="H192" s="405" t="str">
        <f>clean_mod!I192</f>
        <v>1987</v>
      </c>
      <c r="I192" t="str">
        <f>clean_mod!G192</f>
        <v>132</v>
      </c>
      <c r="J192">
        <f>clean_mod!H192</f>
        <v>132</v>
      </c>
      <c r="K192">
        <f>IF(coder1_YH!P192="",K191, coder1_YH!P192)</f>
        <v>1</v>
      </c>
      <c r="L192" s="324" t="str">
        <f>IF(clean_mod!AF192="",L191,clean_mod!AF192)</f>
        <v xml:space="preserve">132-Vm </v>
      </c>
      <c r="M192" s="324" t="str">
        <f>IF(clean_mod!AG192="",M191,clean_mod!AG192)</f>
        <v>132-V_R</v>
      </c>
      <c r="N192" s="372" t="str">
        <f t="shared" si="16"/>
        <v>132-ctl-84</v>
      </c>
      <c r="O192" s="372" t="str">
        <f t="shared" si="17"/>
        <v>132-1-84</v>
      </c>
      <c r="P192" s="369">
        <v>84</v>
      </c>
      <c r="Q192" s="369" t="str">
        <f>LEFT(coder1_YH!AK192,1)</f>
        <v>0</v>
      </c>
      <c r="R192" s="369" t="str">
        <f>LEFT(coder1_YH!AL192,1)</f>
        <v>0</v>
      </c>
      <c r="S192" s="369" t="str">
        <f>coder1_YH!AJ192</f>
        <v>comprehension skill test</v>
      </c>
      <c r="T192" s="370">
        <f>coder1_YH!AN192</f>
        <v>4.5</v>
      </c>
      <c r="U192" s="370">
        <f>coder1_YH!AO192</f>
        <v>2</v>
      </c>
      <c r="V192" s="370">
        <f>coder1_YH!AP192</f>
        <v>10</v>
      </c>
      <c r="W192" s="370">
        <f>coder1_YH!AQ192</f>
        <v>8.1</v>
      </c>
      <c r="X192" s="370">
        <f>coder1_YH!AR192</f>
        <v>2.6</v>
      </c>
      <c r="Y192" s="370">
        <f>coder1_YH!AS192</f>
        <v>10</v>
      </c>
      <c r="Z192" s="371">
        <f t="shared" si="18"/>
        <v>5.9</v>
      </c>
      <c r="AA192" s="371">
        <f t="shared" si="19"/>
        <v>2.2999999999999998</v>
      </c>
      <c r="AB192" s="371">
        <f t="shared" si="20"/>
        <v>10</v>
      </c>
      <c r="AC192" s="371">
        <f t="shared" si="21"/>
        <v>7.7</v>
      </c>
      <c r="AD192" s="371">
        <f t="shared" si="22"/>
        <v>3.1</v>
      </c>
      <c r="AE192" s="371">
        <f t="shared" si="23"/>
        <v>10</v>
      </c>
    </row>
    <row r="193" spans="1:31" x14ac:dyDescent="0.2">
      <c r="A193">
        <f>coder1_YH!B193</f>
        <v>0</v>
      </c>
      <c r="B193">
        <f>coder1_YH!C193</f>
        <v>193</v>
      </c>
      <c r="C193">
        <f>coder1_YH!D193</f>
        <v>0</v>
      </c>
      <c r="D193">
        <f>coder1_YH!E193</f>
        <v>0</v>
      </c>
      <c r="E193" t="b">
        <f>coder1_YH!F193</f>
        <v>1</v>
      </c>
      <c r="G193" t="str">
        <f>IF(coder1_YH!G193="",G192, coder1_YH!G193)</f>
        <v>Schunk &amp; Rice. (S2), 1987</v>
      </c>
      <c r="H193" s="405" t="str">
        <f>clean_mod!I193</f>
        <v>1987</v>
      </c>
      <c r="I193" t="str">
        <f>clean_mod!G193</f>
        <v>132</v>
      </c>
      <c r="J193">
        <f>clean_mod!H193</f>
        <v>132</v>
      </c>
      <c r="K193" t="str">
        <f>IF(coder1_YH!P193="",K192, coder1_YH!P193)</f>
        <v>ctl</v>
      </c>
      <c r="L193" s="324" t="str">
        <f>IF(clean_mod!AF193="",L192,clean_mod!AF193)</f>
        <v xml:space="preserve">132-Tm </v>
      </c>
      <c r="M193" s="324" t="str">
        <f>IF(clean_mod!AG193="",M192,clean_mod!AG193)</f>
        <v>132-T_R</v>
      </c>
      <c r="N193" s="372" t="str">
        <f t="shared" si="16"/>
        <v>132-ctl-84</v>
      </c>
      <c r="O193" s="372" t="str">
        <f t="shared" si="17"/>
        <v>132-ctl-84</v>
      </c>
      <c r="P193" s="369">
        <v>84</v>
      </c>
      <c r="Q193" s="369" t="str">
        <f>LEFT(coder1_YH!AK193,1)</f>
        <v>0</v>
      </c>
      <c r="R193" s="369" t="str">
        <f>LEFT(coder1_YH!AL193,1)</f>
        <v>0</v>
      </c>
      <c r="S193" s="369" t="str">
        <f>coder1_YH!AJ193</f>
        <v>comprehension skill test</v>
      </c>
      <c r="T193" s="370">
        <f>coder1_YH!AN193</f>
        <v>5.9</v>
      </c>
      <c r="U193" s="370">
        <f>coder1_YH!AO193</f>
        <v>2.2999999999999998</v>
      </c>
      <c r="V193" s="370">
        <f>coder1_YH!AP193</f>
        <v>10</v>
      </c>
      <c r="W193" s="370">
        <f>coder1_YH!AQ193</f>
        <v>7.7</v>
      </c>
      <c r="X193" s="370">
        <f>coder1_YH!AR193</f>
        <v>3.1</v>
      </c>
      <c r="Y193" s="370">
        <f>coder1_YH!AS193</f>
        <v>10</v>
      </c>
      <c r="Z193" s="371">
        <f t="shared" si="18"/>
        <v>5.9</v>
      </c>
      <c r="AA193" s="371">
        <f t="shared" si="19"/>
        <v>2.2999999999999998</v>
      </c>
      <c r="AB193" s="371">
        <f t="shared" si="20"/>
        <v>10</v>
      </c>
      <c r="AC193" s="371">
        <f t="shared" si="21"/>
        <v>7.7</v>
      </c>
      <c r="AD193" s="371">
        <f t="shared" si="22"/>
        <v>3.1</v>
      </c>
      <c r="AE193" s="371">
        <f t="shared" si="23"/>
        <v>10</v>
      </c>
    </row>
    <row r="194" spans="1:31" x14ac:dyDescent="0.2">
      <c r="A194" t="str">
        <f>coder1_YH!B194</f>
        <v>EX</v>
      </c>
      <c r="B194">
        <f>coder1_YH!C194</f>
        <v>194</v>
      </c>
      <c r="C194">
        <f>coder1_YH!D194</f>
        <v>0</v>
      </c>
      <c r="D194">
        <f>coder1_YH!E194</f>
        <v>0</v>
      </c>
      <c r="E194" t="b">
        <f>coder1_YH!F194</f>
        <v>1</v>
      </c>
      <c r="G194" t="str">
        <f>IF(coder1_YH!G194="",G193, coder1_YH!G194)</f>
        <v>Schunk &amp; Rice. (S2), 1987</v>
      </c>
      <c r="H194" s="405" t="str">
        <f>clean_mod!I194</f>
        <v>1987</v>
      </c>
      <c r="I194" t="str">
        <f>clean_mod!G194</f>
        <v>132</v>
      </c>
      <c r="J194">
        <f>clean_mod!H194</f>
        <v>132</v>
      </c>
      <c r="K194">
        <f>IF(coder1_YH!P194="",K193, coder1_YH!P194)</f>
        <v>2</v>
      </c>
      <c r="L194" s="324" t="str">
        <f>IF(clean_mod!AF194="",L193,clean_mod!AF194)</f>
        <v xml:space="preserve">132-VTm </v>
      </c>
      <c r="M194" s="324" t="str">
        <f>IF(clean_mod!AG194="",M193,clean_mod!AG194)</f>
        <v>132-VT_R</v>
      </c>
      <c r="N194" s="372" t="str">
        <f t="shared" ref="N194:N257" si="24">I194&amp;"-"&amp;"ctl"&amp;"-"&amp;P194</f>
        <v>132-ctl-84</v>
      </c>
      <c r="O194" s="372" t="str">
        <f t="shared" ref="O194:O257" si="25">I194&amp;"-"&amp;K194&amp;"-"&amp;P194</f>
        <v>132-2-84</v>
      </c>
      <c r="P194" s="369">
        <v>84</v>
      </c>
      <c r="Q194" s="369" t="str">
        <f>LEFT(coder1_YH!AK194,1)</f>
        <v>0</v>
      </c>
      <c r="R194" s="369" t="str">
        <f>LEFT(coder1_YH!AL194,1)</f>
        <v>0</v>
      </c>
      <c r="S194" s="369" t="str">
        <f>coder1_YH!AJ194</f>
        <v>comprehension skill test</v>
      </c>
      <c r="T194" s="370">
        <f>coder1_YH!AN194</f>
        <v>5.5</v>
      </c>
      <c r="U194" s="370">
        <f>coder1_YH!AO194</f>
        <v>1.5</v>
      </c>
      <c r="V194" s="370">
        <f>coder1_YH!AP194</f>
        <v>10</v>
      </c>
      <c r="W194" s="370">
        <f>coder1_YH!AQ194</f>
        <v>13.5</v>
      </c>
      <c r="X194" s="370">
        <f>coder1_YH!AR194</f>
        <v>2.2999999999999998</v>
      </c>
      <c r="Y194" s="370">
        <f>coder1_YH!AS194</f>
        <v>10</v>
      </c>
      <c r="Z194" s="371">
        <f t="shared" ref="Z194:Z257" si="26">VLOOKUP($N194,$O:$Y,6,0)</f>
        <v>5.9</v>
      </c>
      <c r="AA194" s="371">
        <f t="shared" ref="AA194:AA257" si="27">VLOOKUP($N194,$O:$Y,7,0)</f>
        <v>2.2999999999999998</v>
      </c>
      <c r="AB194" s="371">
        <f t="shared" ref="AB194:AB257" si="28">VLOOKUP($N194,$O:$Y,8,0)</f>
        <v>10</v>
      </c>
      <c r="AC194" s="371">
        <f t="shared" ref="AC194:AC257" si="29">VLOOKUP($N194,$O:$Y,9,0)</f>
        <v>7.7</v>
      </c>
      <c r="AD194" s="371">
        <f t="shared" ref="AD194:AD257" si="30">VLOOKUP($N194,$O:$Y,10,0)</f>
        <v>3.1</v>
      </c>
      <c r="AE194" s="371">
        <f t="shared" ref="AE194:AE257" si="31">VLOOKUP($N194,$O:$Y,11,0)</f>
        <v>10</v>
      </c>
    </row>
    <row r="195" spans="1:31" x14ac:dyDescent="0.2">
      <c r="A195">
        <f>coder1_YH!B195</f>
        <v>0</v>
      </c>
      <c r="B195">
        <f>coder1_YH!C195</f>
        <v>195</v>
      </c>
      <c r="C195" t="b">
        <f>coder1_YH!D195</f>
        <v>1</v>
      </c>
      <c r="D195" t="b">
        <f>coder1_YH!E195</f>
        <v>1</v>
      </c>
      <c r="E195" t="b">
        <f>coder1_YH!F195</f>
        <v>1</v>
      </c>
      <c r="G195" t="str">
        <f>IF(coder1_YH!G195="",G194, coder1_YH!G195)</f>
        <v>Orkin, 2013</v>
      </c>
      <c r="H195" s="405" t="str">
        <f>clean_mod!I195</f>
        <v>2013</v>
      </c>
      <c r="I195" t="str">
        <f>clean_mod!G195</f>
        <v>133</v>
      </c>
      <c r="J195">
        <f>clean_mod!H195</f>
        <v>133</v>
      </c>
      <c r="K195">
        <f>IF(coder1_YH!P195="",K194, coder1_YH!P195)</f>
        <v>1</v>
      </c>
      <c r="L195" s="324" t="str">
        <f>IF(clean_mod!AF195="",L194,clean_mod!AF195)</f>
        <v xml:space="preserve">133-NGc </v>
      </c>
      <c r="M195" s="324" t="str">
        <f>IF(clean_mod!AG195="",M194,clean_mod!AG195)</f>
        <v>133-NG_R</v>
      </c>
      <c r="N195" s="372" t="str">
        <f t="shared" si="24"/>
        <v>133-ctl-85</v>
      </c>
      <c r="O195" s="372" t="str">
        <f t="shared" si="25"/>
        <v>133-1-85</v>
      </c>
      <c r="P195" s="369">
        <v>85</v>
      </c>
      <c r="Q195" s="369" t="str">
        <f>LEFT(coder1_YH!AK195,1)</f>
        <v>1</v>
      </c>
      <c r="R195" s="369" t="str">
        <f>LEFT(coder1_YH!AL195,1)</f>
        <v>0</v>
      </c>
      <c r="S195" s="369" t="str">
        <f>coder1_YH!AJ195</f>
        <v>Passage Comprehension (SRI)</v>
      </c>
      <c r="T195" s="370">
        <f>coder1_YH!AN195</f>
        <v>7.75</v>
      </c>
      <c r="U195" s="370">
        <f>coder1_YH!AO195</f>
        <v>2.41</v>
      </c>
      <c r="V195" s="370">
        <f>coder1_YH!AP195</f>
        <v>12</v>
      </c>
      <c r="W195" s="370">
        <f>coder1_YH!AQ195</f>
        <v>7.75</v>
      </c>
      <c r="X195" s="370">
        <f>coder1_YH!AR195</f>
        <v>2.56</v>
      </c>
      <c r="Y195" s="370">
        <f>coder1_YH!AS195</f>
        <v>12</v>
      </c>
      <c r="Z195" s="371">
        <f t="shared" si="26"/>
        <v>8.25</v>
      </c>
      <c r="AA195" s="371">
        <f t="shared" si="27"/>
        <v>2.41</v>
      </c>
      <c r="AB195" s="371">
        <f t="shared" si="28"/>
        <v>12</v>
      </c>
      <c r="AC195" s="371">
        <f t="shared" si="29"/>
        <v>8.5</v>
      </c>
      <c r="AD195" s="371">
        <f t="shared" si="30"/>
        <v>2.2799999999999998</v>
      </c>
      <c r="AE195" s="371">
        <f t="shared" si="31"/>
        <v>12</v>
      </c>
    </row>
    <row r="196" spans="1:31" x14ac:dyDescent="0.2">
      <c r="A196">
        <f>coder1_YH!B196</f>
        <v>0</v>
      </c>
      <c r="B196">
        <f>coder1_YH!C196</f>
        <v>196</v>
      </c>
      <c r="C196">
        <f>coder1_YH!D196</f>
        <v>0</v>
      </c>
      <c r="D196" t="str">
        <f>coder1_YH!E196</f>
        <v/>
      </c>
      <c r="E196" t="b">
        <f>coder1_YH!F196</f>
        <v>1</v>
      </c>
      <c r="G196" t="str">
        <f>IF(coder1_YH!G196="",G195, coder1_YH!G196)</f>
        <v>Orkin, 2013</v>
      </c>
      <c r="H196" s="405" t="str">
        <f>clean_mod!I196</f>
        <v>2013</v>
      </c>
      <c r="I196" t="str">
        <f>clean_mod!G196</f>
        <v>133</v>
      </c>
      <c r="J196">
        <f>clean_mod!H196</f>
        <v>133</v>
      </c>
      <c r="K196" t="str">
        <f>IF(coder1_YH!P196="",K195, coder1_YH!P196)</f>
        <v>ctl</v>
      </c>
      <c r="L196" s="324" t="str">
        <f>IF(clean_mod!AF196="",L195,clean_mod!AF196)</f>
        <v xml:space="preserve">133-.c </v>
      </c>
      <c r="M196" s="324" t="str">
        <f>IF(clean_mod!AG196="",M195,clean_mod!AG196)</f>
        <v>133-R</v>
      </c>
      <c r="N196" s="372" t="str">
        <f t="shared" si="24"/>
        <v>133-ctl-85</v>
      </c>
      <c r="O196" s="372" t="str">
        <f t="shared" si="25"/>
        <v>133-ctl-85</v>
      </c>
      <c r="P196" s="369">
        <v>85</v>
      </c>
      <c r="Q196" s="369" t="str">
        <f>LEFT(coder1_YH!AK196,1)</f>
        <v>1</v>
      </c>
      <c r="R196" s="369" t="str">
        <f>LEFT(coder1_YH!AL196,1)</f>
        <v>0</v>
      </c>
      <c r="S196" s="369" t="str">
        <f>coder1_YH!AJ196</f>
        <v>Passage Comprehension (SRI)</v>
      </c>
      <c r="T196" s="370">
        <f>coder1_YH!AN196</f>
        <v>8.25</v>
      </c>
      <c r="U196" s="370">
        <f>coder1_YH!AO196</f>
        <v>2.41</v>
      </c>
      <c r="V196" s="370">
        <f>coder1_YH!AP196</f>
        <v>12</v>
      </c>
      <c r="W196" s="370">
        <f>coder1_YH!AQ196</f>
        <v>8.5</v>
      </c>
      <c r="X196" s="370">
        <f>coder1_YH!AR196</f>
        <v>2.2799999999999998</v>
      </c>
      <c r="Y196" s="370">
        <f>coder1_YH!AS196</f>
        <v>12</v>
      </c>
      <c r="Z196" s="371">
        <f t="shared" si="26"/>
        <v>8.25</v>
      </c>
      <c r="AA196" s="371">
        <f t="shared" si="27"/>
        <v>2.41</v>
      </c>
      <c r="AB196" s="371">
        <f t="shared" si="28"/>
        <v>12</v>
      </c>
      <c r="AC196" s="371">
        <f t="shared" si="29"/>
        <v>8.5</v>
      </c>
      <c r="AD196" s="371">
        <f t="shared" si="30"/>
        <v>2.2799999999999998</v>
      </c>
      <c r="AE196" s="371">
        <f t="shared" si="31"/>
        <v>12</v>
      </c>
    </row>
    <row r="197" spans="1:31" x14ac:dyDescent="0.2">
      <c r="A197" t="str">
        <f>coder1_YH!B197</f>
        <v>EX</v>
      </c>
      <c r="B197">
        <f>coder1_YH!C197</f>
        <v>197</v>
      </c>
      <c r="C197" t="b">
        <f>coder1_YH!D197</f>
        <v>1</v>
      </c>
      <c r="D197" t="b">
        <f>coder1_YH!E197</f>
        <v>1</v>
      </c>
      <c r="E197" t="b">
        <f>coder1_YH!F197</f>
        <v>1</v>
      </c>
      <c r="G197" t="str">
        <f>IF(coder1_YH!G197="",G196, coder1_YH!G197)</f>
        <v>Fogarty et al., 2020</v>
      </c>
      <c r="H197" s="405" t="str">
        <f>clean_mod!I197</f>
        <v>2020</v>
      </c>
      <c r="I197" t="str">
        <f>clean_mod!G197</f>
        <v xml:space="preserve">EX </v>
      </c>
      <c r="J197" t="str">
        <f>clean_mod!H197</f>
        <v>EX 134</v>
      </c>
      <c r="K197">
        <f>IF(coder1_YH!P197="",K196, coder1_YH!P197)</f>
        <v>1</v>
      </c>
      <c r="L197" s="324" t="str">
        <f>IF(clean_mod!AF197="",L196,clean_mod!AF197)</f>
        <v xml:space="preserve">EX 134-.c </v>
      </c>
      <c r="M197" s="324" t="str">
        <f>IF(clean_mod!AG197="",M196,clean_mod!AG197)</f>
        <v>EX 134-R</v>
      </c>
      <c r="N197" s="372" t="str">
        <f t="shared" si="24"/>
        <v>EX -ctl-86</v>
      </c>
      <c r="O197" s="372" t="str">
        <f t="shared" si="25"/>
        <v>EX -1-86</v>
      </c>
      <c r="P197" s="369">
        <v>86</v>
      </c>
      <c r="Q197" s="369" t="str">
        <f>LEFT(coder1_YH!AK197,1)</f>
        <v>1</v>
      </c>
      <c r="R197" s="369" t="str">
        <f>LEFT(coder1_YH!AL197,1)</f>
        <v>S</v>
      </c>
      <c r="S197" s="369" t="str">
        <f>coder1_YH!AJ197</f>
        <v>Gates MacGinitie Reading Test, 4th ed., Comprehension Subtest.</v>
      </c>
      <c r="T197" s="370">
        <f>coder1_YH!AN197</f>
        <v>86.56</v>
      </c>
      <c r="U197" s="370">
        <f>coder1_YH!AO197</f>
        <v>7.88</v>
      </c>
      <c r="V197" s="370">
        <f>coder1_YH!AP197</f>
        <v>100</v>
      </c>
      <c r="W197" s="370">
        <f>coder1_YH!AQ197</f>
        <v>86.13</v>
      </c>
      <c r="X197" s="370">
        <f>coder1_YH!AR197</f>
        <v>10.74</v>
      </c>
      <c r="Y197" s="370">
        <f>coder1_YH!AS197</f>
        <v>92</v>
      </c>
      <c r="Z197" s="371">
        <f t="shared" si="26"/>
        <v>84.64</v>
      </c>
      <c r="AA197" s="371">
        <f t="shared" si="27"/>
        <v>8.6300000000000008</v>
      </c>
      <c r="AB197" s="371">
        <f t="shared" si="28"/>
        <v>100</v>
      </c>
      <c r="AC197" s="371">
        <f t="shared" si="29"/>
        <v>85.14</v>
      </c>
      <c r="AD197" s="371">
        <f t="shared" si="30"/>
        <v>12.78</v>
      </c>
      <c r="AE197" s="371">
        <f t="shared" si="31"/>
        <v>92</v>
      </c>
    </row>
    <row r="198" spans="1:31" x14ac:dyDescent="0.2">
      <c r="A198" t="str">
        <f>coder1_YH!B198</f>
        <v>EX</v>
      </c>
      <c r="B198">
        <f>coder1_YH!C198</f>
        <v>198</v>
      </c>
      <c r="C198">
        <f>coder1_YH!D198</f>
        <v>0</v>
      </c>
      <c r="D198" t="str">
        <f>coder1_YH!E198</f>
        <v/>
      </c>
      <c r="E198" t="b">
        <f>coder1_YH!F198</f>
        <v>1</v>
      </c>
      <c r="G198" t="str">
        <f>IF(coder1_YH!G198="",G197, coder1_YH!G198)</f>
        <v>Fogarty et al., 2020</v>
      </c>
      <c r="H198" s="405" t="str">
        <f>clean_mod!I198</f>
        <v>2020</v>
      </c>
      <c r="I198" t="str">
        <f>clean_mod!G198</f>
        <v xml:space="preserve">EX </v>
      </c>
      <c r="J198" t="str">
        <f>clean_mod!H198</f>
        <v>EX 134</v>
      </c>
      <c r="K198" t="str">
        <f>IF(coder1_YH!P198="",K197, coder1_YH!P198)</f>
        <v>ctl</v>
      </c>
      <c r="L198" s="324" t="str">
        <f>IF(clean_mod!AF198="",L197,clean_mod!AF198)</f>
        <v xml:space="preserve">EX 134-.c </v>
      </c>
      <c r="M198" s="324" t="str">
        <f>IF(clean_mod!AG198="",M197,clean_mod!AG198)</f>
        <v>EX 134-R</v>
      </c>
      <c r="N198" s="372" t="str">
        <f t="shared" si="24"/>
        <v>EX -ctl-86</v>
      </c>
      <c r="O198" s="372" t="str">
        <f t="shared" si="25"/>
        <v>EX -ctl-86</v>
      </c>
      <c r="P198" s="369">
        <v>86</v>
      </c>
      <c r="Q198" s="369" t="str">
        <f>LEFT(coder1_YH!AK198,1)</f>
        <v>1</v>
      </c>
      <c r="R198" s="369" t="str">
        <f>LEFT(coder1_YH!AL198,1)</f>
        <v>S</v>
      </c>
      <c r="S198" s="369" t="str">
        <f>coder1_YH!AJ198</f>
        <v>Gates MacGinitie Reading Test, 4th ed., Comprehension Subtest.</v>
      </c>
      <c r="T198" s="370">
        <f>coder1_YH!AN198</f>
        <v>84.64</v>
      </c>
      <c r="U198" s="370">
        <f>coder1_YH!AO198</f>
        <v>8.6300000000000008</v>
      </c>
      <c r="V198" s="370">
        <f>coder1_YH!AP198</f>
        <v>100</v>
      </c>
      <c r="W198" s="370">
        <f>coder1_YH!AQ198</f>
        <v>85.14</v>
      </c>
      <c r="X198" s="370">
        <f>coder1_YH!AR198</f>
        <v>12.78</v>
      </c>
      <c r="Y198" s="370">
        <f>coder1_YH!AS198</f>
        <v>92</v>
      </c>
      <c r="Z198" s="371">
        <f t="shared" si="26"/>
        <v>84.64</v>
      </c>
      <c r="AA198" s="371">
        <f t="shared" si="27"/>
        <v>8.6300000000000008</v>
      </c>
      <c r="AB198" s="371">
        <f t="shared" si="28"/>
        <v>100</v>
      </c>
      <c r="AC198" s="371">
        <f t="shared" si="29"/>
        <v>85.14</v>
      </c>
      <c r="AD198" s="371">
        <f t="shared" si="30"/>
        <v>12.78</v>
      </c>
      <c r="AE198" s="371">
        <f t="shared" si="31"/>
        <v>92</v>
      </c>
    </row>
    <row r="199" spans="1:31" x14ac:dyDescent="0.2">
      <c r="A199">
        <f>coder1_YH!B199</f>
        <v>0</v>
      </c>
      <c r="B199">
        <f>coder1_YH!C199</f>
        <v>199</v>
      </c>
      <c r="C199" t="b">
        <f>coder1_YH!D199</f>
        <v>1</v>
      </c>
      <c r="D199" t="b">
        <f>coder1_YH!E199</f>
        <v>1</v>
      </c>
      <c r="E199" t="b">
        <f>coder1_YH!F199</f>
        <v>1</v>
      </c>
      <c r="G199" t="str">
        <f>IF(coder1_YH!G199="",G198, coder1_YH!G199)</f>
        <v>Hock et al., 2017</v>
      </c>
      <c r="H199" s="405" t="str">
        <f>clean_mod!I199</f>
        <v>2017</v>
      </c>
      <c r="I199" t="str">
        <f>clean_mod!G199</f>
        <v>135</v>
      </c>
      <c r="J199">
        <f>clean_mod!H199</f>
        <v>135</v>
      </c>
      <c r="K199">
        <f>IF(coder1_YH!P199="",K198, coder1_YH!P199)</f>
        <v>1</v>
      </c>
      <c r="L199" s="324" t="str">
        <f>IF(clean_mod!AF199="",L198,clean_mod!AF199)</f>
        <v>135-NVGcm</v>
      </c>
      <c r="M199" s="324" t="str">
        <f>IF(clean_mod!AG199="",M198,clean_mod!AG199)</f>
        <v>135-NVG_R</v>
      </c>
      <c r="N199" s="372" t="str">
        <f t="shared" si="24"/>
        <v>135-ctl-87</v>
      </c>
      <c r="O199" s="372" t="str">
        <f t="shared" si="25"/>
        <v>135-1-87</v>
      </c>
      <c r="P199" s="369">
        <v>87</v>
      </c>
      <c r="Q199" s="369" t="str">
        <f>LEFT(coder1_YH!AK199,1)</f>
        <v>1</v>
      </c>
      <c r="R199" s="369" t="str">
        <f>LEFT(coder1_YH!AL199,1)</f>
        <v>S</v>
      </c>
      <c r="S199" s="369" t="str">
        <f>coder1_YH!AJ199</f>
        <v>Sentence Comprehension (SC)</v>
      </c>
      <c r="T199" s="370">
        <f>coder1_YH!AN199</f>
        <v>4.8499999999999996</v>
      </c>
      <c r="U199" s="370">
        <f>coder1_YH!AO199</f>
        <v>2.11</v>
      </c>
      <c r="V199" s="370">
        <f>coder1_YH!AP199</f>
        <v>20</v>
      </c>
      <c r="W199" s="370">
        <f>coder1_YH!AQ199</f>
        <v>7.8</v>
      </c>
      <c r="X199" s="370">
        <f>coder1_YH!AR199</f>
        <v>2.61</v>
      </c>
      <c r="Y199" s="370">
        <f>coder1_YH!AS199</f>
        <v>20</v>
      </c>
      <c r="Z199" s="371">
        <f t="shared" si="26"/>
        <v>4.4000000000000004</v>
      </c>
      <c r="AA199" s="371">
        <f t="shared" si="27"/>
        <v>2.19</v>
      </c>
      <c r="AB199" s="371">
        <f t="shared" si="28"/>
        <v>20</v>
      </c>
      <c r="AC199" s="371">
        <f t="shared" si="29"/>
        <v>5.2</v>
      </c>
      <c r="AD199" s="371">
        <f t="shared" si="30"/>
        <v>1.85</v>
      </c>
      <c r="AE199" s="371">
        <f t="shared" si="31"/>
        <v>20</v>
      </c>
    </row>
    <row r="200" spans="1:31" x14ac:dyDescent="0.2">
      <c r="A200">
        <f>coder1_YH!B200</f>
        <v>0</v>
      </c>
      <c r="B200">
        <f>coder1_YH!C200</f>
        <v>200</v>
      </c>
      <c r="C200">
        <f>coder1_YH!D200</f>
        <v>0</v>
      </c>
      <c r="D200" t="str">
        <f>coder1_YH!E200</f>
        <v/>
      </c>
      <c r="E200" t="str">
        <f>coder1_YH!F200</f>
        <v/>
      </c>
      <c r="G200" t="str">
        <f>IF(coder1_YH!G200="",G199, coder1_YH!G200)</f>
        <v>Hock et al., 2017</v>
      </c>
      <c r="H200" s="405" t="str">
        <f>clean_mod!I200</f>
        <v>2017</v>
      </c>
      <c r="I200" t="str">
        <f>clean_mod!G200</f>
        <v>135</v>
      </c>
      <c r="J200">
        <f>clean_mod!H200</f>
        <v>135</v>
      </c>
      <c r="K200">
        <f>IF(coder1_YH!P200="",K199, coder1_YH!P200)</f>
        <v>1</v>
      </c>
      <c r="L200" s="324" t="str">
        <f>IF(clean_mod!AF200="",L199,clean_mod!AF200)</f>
        <v>135-NVGcm</v>
      </c>
      <c r="M200" s="324" t="str">
        <f>IF(clean_mod!AG200="",M199,clean_mod!AG200)</f>
        <v>135-NVG_R</v>
      </c>
      <c r="N200" s="372" t="str">
        <f t="shared" si="24"/>
        <v>135-ctl-88</v>
      </c>
      <c r="O200" s="372" t="str">
        <f t="shared" si="25"/>
        <v>135-1-88</v>
      </c>
      <c r="P200" s="369">
        <v>88</v>
      </c>
      <c r="Q200" s="369" t="str">
        <f>LEFT(coder1_YH!AK200,1)</f>
        <v>1</v>
      </c>
      <c r="R200" s="369" t="str">
        <f>LEFT(coder1_YH!AL200,1)</f>
        <v>S</v>
      </c>
      <c r="S200" s="369" t="str">
        <f>coder1_YH!AJ200</f>
        <v xml:space="preserve"> Passage Comprehension (PCO)</v>
      </c>
      <c r="T200" s="370">
        <f>coder1_YH!AN200</f>
        <v>7.65</v>
      </c>
      <c r="U200" s="370">
        <f>coder1_YH!AO200</f>
        <v>2.5</v>
      </c>
      <c r="V200" s="370">
        <f>coder1_YH!AP200</f>
        <v>20</v>
      </c>
      <c r="W200" s="370">
        <f>coder1_YH!AQ200</f>
        <v>12</v>
      </c>
      <c r="X200" s="370">
        <f>coder1_YH!AR200</f>
        <v>4.4400000000000004</v>
      </c>
      <c r="Y200" s="370">
        <f>coder1_YH!AS200</f>
        <v>20</v>
      </c>
      <c r="Z200" s="371">
        <f t="shared" si="26"/>
        <v>8.5</v>
      </c>
      <c r="AA200" s="371">
        <f t="shared" si="27"/>
        <v>3.02</v>
      </c>
      <c r="AB200" s="371">
        <f t="shared" si="28"/>
        <v>20</v>
      </c>
      <c r="AC200" s="371">
        <f t="shared" si="29"/>
        <v>7.8</v>
      </c>
      <c r="AD200" s="371">
        <f t="shared" si="30"/>
        <v>4.7</v>
      </c>
      <c r="AE200" s="371">
        <f t="shared" si="31"/>
        <v>20</v>
      </c>
    </row>
    <row r="201" spans="1:31" x14ac:dyDescent="0.2">
      <c r="A201">
        <f>coder1_YH!B201</f>
        <v>0</v>
      </c>
      <c r="B201">
        <f>coder1_YH!C201</f>
        <v>201</v>
      </c>
      <c r="C201">
        <f>coder1_YH!D201</f>
        <v>0</v>
      </c>
      <c r="D201" t="str">
        <f>coder1_YH!E201</f>
        <v/>
      </c>
      <c r="E201" t="str">
        <f>coder1_YH!F201</f>
        <v/>
      </c>
      <c r="G201" t="str">
        <f>IF(coder1_YH!G201="",G200, coder1_YH!G201)</f>
        <v>Hock et al., 2017</v>
      </c>
      <c r="H201" s="405" t="str">
        <f>clean_mod!I201</f>
        <v>2017</v>
      </c>
      <c r="I201" t="str">
        <f>clean_mod!G201</f>
        <v>135</v>
      </c>
      <c r="J201">
        <f>clean_mod!H201</f>
        <v>135</v>
      </c>
      <c r="K201">
        <f>IF(coder1_YH!P201="",K200, coder1_YH!P201)</f>
        <v>1</v>
      </c>
      <c r="L201" s="324" t="str">
        <f>IF(clean_mod!AF201="",L200,clean_mod!AF201)</f>
        <v>135-NVGcm</v>
      </c>
      <c r="M201" s="324" t="str">
        <f>IF(clean_mod!AG201="",M200,clean_mod!AG201)</f>
        <v>135-NVG_R</v>
      </c>
      <c r="N201" s="372" t="str">
        <f t="shared" si="24"/>
        <v>135-ctl-89</v>
      </c>
      <c r="O201" s="372" t="str">
        <f t="shared" si="25"/>
        <v>135-1-89</v>
      </c>
      <c r="P201" s="369">
        <v>89</v>
      </c>
      <c r="Q201" s="369" t="str">
        <f>LEFT(coder1_YH!AK201,1)</f>
        <v>1</v>
      </c>
      <c r="R201" s="369" t="str">
        <f>LEFT(coder1_YH!AL201,1)</f>
        <v>S</v>
      </c>
      <c r="S201" s="369" t="str">
        <f>coder1_YH!AJ201</f>
        <v>* MAP composite</v>
      </c>
      <c r="T201" s="370">
        <f>coder1_YH!AN201</f>
        <v>186.2</v>
      </c>
      <c r="U201" s="370">
        <f>coder1_YH!AO201</f>
        <v>11.12</v>
      </c>
      <c r="V201" s="370">
        <f>coder1_YH!AP201</f>
        <v>20</v>
      </c>
      <c r="W201" s="370">
        <f>coder1_YH!AQ201</f>
        <v>195.79</v>
      </c>
      <c r="X201" s="370">
        <f>coder1_YH!AR201</f>
        <v>6.9</v>
      </c>
      <c r="Y201" s="370">
        <f>coder1_YH!AS201</f>
        <v>20</v>
      </c>
      <c r="Z201" s="371">
        <f t="shared" si="26"/>
        <v>185.47</v>
      </c>
      <c r="AA201" s="371">
        <f t="shared" si="27"/>
        <v>9.02</v>
      </c>
      <c r="AB201" s="371">
        <f t="shared" si="28"/>
        <v>20</v>
      </c>
      <c r="AC201" s="371">
        <f t="shared" si="29"/>
        <v>188.94</v>
      </c>
      <c r="AD201" s="371">
        <f t="shared" si="30"/>
        <v>9.4</v>
      </c>
      <c r="AE201" s="371">
        <f t="shared" si="31"/>
        <v>20</v>
      </c>
    </row>
    <row r="202" spans="1:31" x14ac:dyDescent="0.2">
      <c r="A202">
        <f>coder1_YH!B202</f>
        <v>0</v>
      </c>
      <c r="B202">
        <f>coder1_YH!C202</f>
        <v>202</v>
      </c>
      <c r="C202">
        <f>coder1_YH!D202</f>
        <v>0</v>
      </c>
      <c r="D202" t="str">
        <f>coder1_YH!E202</f>
        <v/>
      </c>
      <c r="E202" t="b">
        <f>coder1_YH!F202</f>
        <v>1</v>
      </c>
      <c r="G202" t="str">
        <f>IF(coder1_YH!G202="",G201, coder1_YH!G202)</f>
        <v>Hock et al., 2017</v>
      </c>
      <c r="H202" s="405" t="str">
        <f>clean_mod!I202</f>
        <v>2017</v>
      </c>
      <c r="I202" t="str">
        <f>clean_mod!G202</f>
        <v>135</v>
      </c>
      <c r="J202">
        <f>clean_mod!H202</f>
        <v>135</v>
      </c>
      <c r="K202" t="str">
        <f>IF(coder1_YH!P202="",K201, coder1_YH!P202)</f>
        <v>ctl</v>
      </c>
      <c r="L202" s="324" t="str">
        <f>IF(clean_mod!AF202="",L201,clean_mod!AF202)</f>
        <v xml:space="preserve">135-.m </v>
      </c>
      <c r="M202" s="324" t="str">
        <f>IF(clean_mod!AG202="",M201,clean_mod!AG202)</f>
        <v>135-R</v>
      </c>
      <c r="N202" s="372" t="str">
        <f t="shared" si="24"/>
        <v>135-ctl-87</v>
      </c>
      <c r="O202" s="372" t="str">
        <f t="shared" si="25"/>
        <v>135-ctl-87</v>
      </c>
      <c r="P202" s="369">
        <v>87</v>
      </c>
      <c r="Q202" s="369" t="str">
        <f>LEFT(coder1_YH!AK202,1)</f>
        <v>1</v>
      </c>
      <c r="R202" s="369" t="str">
        <f>LEFT(coder1_YH!AL202,1)</f>
        <v>S</v>
      </c>
      <c r="S202" s="369" t="str">
        <f>coder1_YH!AJ202</f>
        <v>Sentence Comprehension (SC)</v>
      </c>
      <c r="T202" s="370">
        <f>coder1_YH!AN202</f>
        <v>4.4000000000000004</v>
      </c>
      <c r="U202" s="370">
        <f>coder1_YH!AO202</f>
        <v>2.19</v>
      </c>
      <c r="V202" s="370">
        <f>coder1_YH!AP202</f>
        <v>20</v>
      </c>
      <c r="W202" s="370">
        <f>coder1_YH!AQ202</f>
        <v>5.2</v>
      </c>
      <c r="X202" s="370">
        <f>coder1_YH!AR202</f>
        <v>1.85</v>
      </c>
      <c r="Y202" s="370">
        <f>coder1_YH!AS202</f>
        <v>20</v>
      </c>
      <c r="Z202" s="371">
        <f t="shared" si="26"/>
        <v>4.4000000000000004</v>
      </c>
      <c r="AA202" s="371">
        <f t="shared" si="27"/>
        <v>2.19</v>
      </c>
      <c r="AB202" s="371">
        <f t="shared" si="28"/>
        <v>20</v>
      </c>
      <c r="AC202" s="371">
        <f t="shared" si="29"/>
        <v>5.2</v>
      </c>
      <c r="AD202" s="371">
        <f t="shared" si="30"/>
        <v>1.85</v>
      </c>
      <c r="AE202" s="371">
        <f t="shared" si="31"/>
        <v>20</v>
      </c>
    </row>
    <row r="203" spans="1:31" x14ac:dyDescent="0.2">
      <c r="A203">
        <f>coder1_YH!B203</f>
        <v>0</v>
      </c>
      <c r="B203">
        <f>coder1_YH!C203</f>
        <v>203</v>
      </c>
      <c r="C203">
        <f>coder1_YH!D203</f>
        <v>0</v>
      </c>
      <c r="D203" t="str">
        <f>coder1_YH!E203</f>
        <v/>
      </c>
      <c r="E203" t="str">
        <f>coder1_YH!F203</f>
        <v/>
      </c>
      <c r="G203" t="str">
        <f>IF(coder1_YH!G203="",G202, coder1_YH!G203)</f>
        <v>Hock et al., 2017</v>
      </c>
      <c r="H203" s="405" t="str">
        <f>clean_mod!I203</f>
        <v>2017</v>
      </c>
      <c r="I203" t="str">
        <f>clean_mod!G203</f>
        <v>135</v>
      </c>
      <c r="J203">
        <f>clean_mod!H203</f>
        <v>135</v>
      </c>
      <c r="K203" t="str">
        <f>IF(coder1_YH!P203="",K202, coder1_YH!P203)</f>
        <v>ctl</v>
      </c>
      <c r="L203" s="324" t="str">
        <f>IF(clean_mod!AF203="",L202,clean_mod!AF203)</f>
        <v xml:space="preserve">135-.m </v>
      </c>
      <c r="M203" s="324" t="str">
        <f>IF(clean_mod!AG203="",M202,clean_mod!AG203)</f>
        <v>135-R</v>
      </c>
      <c r="N203" s="372" t="str">
        <f t="shared" si="24"/>
        <v>135-ctl-88</v>
      </c>
      <c r="O203" s="372" t="str">
        <f t="shared" si="25"/>
        <v>135-ctl-88</v>
      </c>
      <c r="P203" s="369">
        <v>88</v>
      </c>
      <c r="Q203" s="369" t="str">
        <f>LEFT(coder1_YH!AK203,1)</f>
        <v>1</v>
      </c>
      <c r="R203" s="369" t="str">
        <f>LEFT(coder1_YH!AL203,1)</f>
        <v>S</v>
      </c>
      <c r="S203" s="369" t="str">
        <f>coder1_YH!AJ203</f>
        <v xml:space="preserve"> Passage Comprehension (PCO)</v>
      </c>
      <c r="T203" s="370">
        <f>coder1_YH!AN203</f>
        <v>8.5</v>
      </c>
      <c r="U203" s="370">
        <f>coder1_YH!AO203</f>
        <v>3.02</v>
      </c>
      <c r="V203" s="370">
        <f>coder1_YH!AP203</f>
        <v>20</v>
      </c>
      <c r="W203" s="370">
        <f>coder1_YH!AQ203</f>
        <v>7.8</v>
      </c>
      <c r="X203" s="370">
        <f>coder1_YH!AR203</f>
        <v>4.7</v>
      </c>
      <c r="Y203" s="370">
        <f>coder1_YH!AS203</f>
        <v>20</v>
      </c>
      <c r="Z203" s="371">
        <f t="shared" si="26"/>
        <v>8.5</v>
      </c>
      <c r="AA203" s="371">
        <f t="shared" si="27"/>
        <v>3.02</v>
      </c>
      <c r="AB203" s="371">
        <f t="shared" si="28"/>
        <v>20</v>
      </c>
      <c r="AC203" s="371">
        <f t="shared" si="29"/>
        <v>7.8</v>
      </c>
      <c r="AD203" s="371">
        <f t="shared" si="30"/>
        <v>4.7</v>
      </c>
      <c r="AE203" s="371">
        <f t="shared" si="31"/>
        <v>20</v>
      </c>
    </row>
    <row r="204" spans="1:31" x14ac:dyDescent="0.2">
      <c r="A204">
        <f>coder1_YH!B204</f>
        <v>0</v>
      </c>
      <c r="B204">
        <f>coder1_YH!C204</f>
        <v>204</v>
      </c>
      <c r="C204">
        <f>coder1_YH!D204</f>
        <v>0</v>
      </c>
      <c r="D204" t="str">
        <f>coder1_YH!E204</f>
        <v/>
      </c>
      <c r="E204" t="str">
        <f>coder1_YH!F204</f>
        <v/>
      </c>
      <c r="G204" t="str">
        <f>IF(coder1_YH!G204="",G203, coder1_YH!G204)</f>
        <v>Hock et al., 2017</v>
      </c>
      <c r="H204" s="405" t="str">
        <f>clean_mod!I204</f>
        <v>2017</v>
      </c>
      <c r="I204" t="str">
        <f>clean_mod!G204</f>
        <v>135</v>
      </c>
      <c r="J204">
        <f>clean_mod!H204</f>
        <v>135</v>
      </c>
      <c r="K204" t="str">
        <f>IF(coder1_YH!P204="",K203, coder1_YH!P204)</f>
        <v>ctl</v>
      </c>
      <c r="L204" s="324" t="str">
        <f>IF(clean_mod!AF204="",L203,clean_mod!AF204)</f>
        <v xml:space="preserve">135-.m </v>
      </c>
      <c r="M204" s="324" t="str">
        <f>IF(clean_mod!AG204="",M203,clean_mod!AG204)</f>
        <v>135-R</v>
      </c>
      <c r="N204" s="372" t="str">
        <f t="shared" si="24"/>
        <v>135-ctl-89</v>
      </c>
      <c r="O204" s="372" t="str">
        <f t="shared" si="25"/>
        <v>135-ctl-89</v>
      </c>
      <c r="P204" s="369">
        <v>89</v>
      </c>
      <c r="Q204" s="369" t="str">
        <f>LEFT(coder1_YH!AK204,1)</f>
        <v>1</v>
      </c>
      <c r="R204" s="369" t="str">
        <f>LEFT(coder1_YH!AL204,1)</f>
        <v>S</v>
      </c>
      <c r="S204" s="369" t="str">
        <f>coder1_YH!AJ204</f>
        <v>* MAP composite</v>
      </c>
      <c r="T204" s="370">
        <f>coder1_YH!AN204</f>
        <v>185.47</v>
      </c>
      <c r="U204" s="370">
        <f>coder1_YH!AO204</f>
        <v>9.02</v>
      </c>
      <c r="V204" s="370">
        <f>coder1_YH!AP204</f>
        <v>20</v>
      </c>
      <c r="W204" s="370">
        <f>coder1_YH!AQ204</f>
        <v>188.94</v>
      </c>
      <c r="X204" s="370">
        <f>coder1_YH!AR204</f>
        <v>9.4</v>
      </c>
      <c r="Y204" s="370">
        <f>coder1_YH!AS204</f>
        <v>20</v>
      </c>
      <c r="Z204" s="371">
        <f t="shared" si="26"/>
        <v>185.47</v>
      </c>
      <c r="AA204" s="371">
        <f t="shared" si="27"/>
        <v>9.02</v>
      </c>
      <c r="AB204" s="371">
        <f t="shared" si="28"/>
        <v>20</v>
      </c>
      <c r="AC204" s="371">
        <f t="shared" si="29"/>
        <v>188.94</v>
      </c>
      <c r="AD204" s="371">
        <f t="shared" si="30"/>
        <v>9.4</v>
      </c>
      <c r="AE204" s="371">
        <f t="shared" si="31"/>
        <v>20</v>
      </c>
    </row>
    <row r="205" spans="1:31" x14ac:dyDescent="0.2">
      <c r="A205">
        <f>coder1_YH!B205</f>
        <v>0</v>
      </c>
      <c r="B205">
        <f>coder1_YH!C205</f>
        <v>205</v>
      </c>
      <c r="C205">
        <f>coder1_YH!D205</f>
        <v>0</v>
      </c>
      <c r="D205">
        <f>coder1_YH!E205</f>
        <v>0</v>
      </c>
      <c r="E205" t="b">
        <f>coder1_YH!F205</f>
        <v>1</v>
      </c>
      <c r="G205" t="str">
        <f>IF(coder1_YH!G205="",G204, coder1_YH!G205)</f>
        <v>Schunk et al., 1996</v>
      </c>
      <c r="H205" s="405" t="str">
        <f>clean_mod!I205</f>
        <v>1996</v>
      </c>
      <c r="I205" t="str">
        <f>clean_mod!G205</f>
        <v>136</v>
      </c>
      <c r="J205">
        <f>clean_mod!H205</f>
        <v>136</v>
      </c>
      <c r="K205">
        <f>IF(coder1_YH!P205="",K204, coder1_YH!P205)</f>
        <v>1</v>
      </c>
      <c r="L205" s="324" t="str">
        <f>IF(clean_mod!AF205="",L204,clean_mod!AF205)</f>
        <v xml:space="preserve">136-.m </v>
      </c>
      <c r="M205" s="324" t="str">
        <f>IF(clean_mod!AG205="",M204,clean_mod!AG205)</f>
        <v>136-R</v>
      </c>
      <c r="N205" s="372" t="str">
        <f t="shared" si="24"/>
        <v>136-ctl-90</v>
      </c>
      <c r="O205" s="372" t="str">
        <f t="shared" si="25"/>
        <v>136-1-90</v>
      </c>
      <c r="P205" s="369">
        <v>90</v>
      </c>
      <c r="Q205" s="369" t="str">
        <f>LEFT(coder1_YH!AK205,1)</f>
        <v>0</v>
      </c>
      <c r="R205" s="369" t="str">
        <f>LEFT(coder1_YH!AL205,1)</f>
        <v>0</v>
      </c>
      <c r="S205" s="369" t="str">
        <f>coder1_YH!AJ205</f>
        <v>comprehension skill test</v>
      </c>
      <c r="T205" s="370">
        <f>coder1_YH!AN205</f>
        <v>5.6</v>
      </c>
      <c r="U205" s="370">
        <f>coder1_YH!AO205</f>
        <v>1.4</v>
      </c>
      <c r="V205" s="370">
        <f>coder1_YH!AP205</f>
        <v>11</v>
      </c>
      <c r="W205" s="370">
        <f>coder1_YH!AQ205</f>
        <v>12.1</v>
      </c>
      <c r="X205" s="370">
        <f>coder1_YH!AR205</f>
        <v>2.6</v>
      </c>
      <c r="Y205" s="370">
        <f>coder1_YH!AS205</f>
        <v>11</v>
      </c>
      <c r="Z205" s="371">
        <f t="shared" si="26"/>
        <v>5.5</v>
      </c>
      <c r="AA205" s="371">
        <f t="shared" si="27"/>
        <v>3.2</v>
      </c>
      <c r="AB205" s="371">
        <f t="shared" si="28"/>
        <v>11</v>
      </c>
      <c r="AC205" s="371">
        <f t="shared" si="29"/>
        <v>7.1</v>
      </c>
      <c r="AD205" s="371">
        <f t="shared" si="30"/>
        <v>2.1</v>
      </c>
      <c r="AE205" s="371">
        <f t="shared" si="31"/>
        <v>11</v>
      </c>
    </row>
    <row r="206" spans="1:31" x14ac:dyDescent="0.2">
      <c r="A206">
        <f>coder1_YH!B206</f>
        <v>0</v>
      </c>
      <c r="B206">
        <f>coder1_YH!C206</f>
        <v>206</v>
      </c>
      <c r="C206" t="b">
        <f>coder1_YH!D206</f>
        <v>1</v>
      </c>
      <c r="D206" t="b">
        <f>coder1_YH!E206</f>
        <v>1</v>
      </c>
      <c r="E206" t="b">
        <f>coder1_YH!F206</f>
        <v>1</v>
      </c>
      <c r="G206" t="str">
        <f>IF(coder1_YH!G206="",G205, coder1_YH!G206)</f>
        <v>Schunk et al., 1996</v>
      </c>
      <c r="H206" s="405" t="str">
        <f>clean_mod!I206</f>
        <v>1996</v>
      </c>
      <c r="I206" t="str">
        <f>clean_mod!G206</f>
        <v>136</v>
      </c>
      <c r="J206">
        <f>clean_mod!H206</f>
        <v>136</v>
      </c>
      <c r="K206">
        <f>IF(coder1_YH!P206="",K205, coder1_YH!P206)</f>
        <v>2</v>
      </c>
      <c r="L206" s="324" t="str">
        <f>IF(clean_mod!AF206="",L205,clean_mod!AF206)</f>
        <v xml:space="preserve">136-VTm </v>
      </c>
      <c r="M206" s="324" t="str">
        <f>IF(clean_mod!AG206="",M205,clean_mod!AG206)</f>
        <v>136-VT_R</v>
      </c>
      <c r="N206" s="372" t="str">
        <f t="shared" si="24"/>
        <v>136-ctl-90</v>
      </c>
      <c r="O206" s="372" t="str">
        <f t="shared" si="25"/>
        <v>136-2-90</v>
      </c>
      <c r="P206" s="369">
        <v>90</v>
      </c>
      <c r="Q206" s="369" t="str">
        <f>LEFT(coder1_YH!AK206,1)</f>
        <v>0</v>
      </c>
      <c r="R206" s="369" t="str">
        <f>LEFT(coder1_YH!AL206,1)</f>
        <v>0</v>
      </c>
      <c r="S206" s="369" t="str">
        <f>coder1_YH!AJ206</f>
        <v>comprehension skill test</v>
      </c>
      <c r="T206" s="370">
        <f>coder1_YH!AN206</f>
        <v>5.4</v>
      </c>
      <c r="U206" s="370">
        <f>coder1_YH!AO206</f>
        <v>1.2</v>
      </c>
      <c r="V206" s="370">
        <f>coder1_YH!AP206</f>
        <v>11</v>
      </c>
      <c r="W206" s="370">
        <f>coder1_YH!AQ206</f>
        <v>10</v>
      </c>
      <c r="X206" s="370">
        <f>coder1_YH!AR206</f>
        <v>1.9</v>
      </c>
      <c r="Y206" s="370">
        <f>coder1_YH!AS206</f>
        <v>11</v>
      </c>
      <c r="Z206" s="371">
        <f t="shared" si="26"/>
        <v>5.5</v>
      </c>
      <c r="AA206" s="371">
        <f t="shared" si="27"/>
        <v>3.2</v>
      </c>
      <c r="AB206" s="371">
        <f t="shared" si="28"/>
        <v>11</v>
      </c>
      <c r="AC206" s="371">
        <f t="shared" si="29"/>
        <v>7.1</v>
      </c>
      <c r="AD206" s="371">
        <f t="shared" si="30"/>
        <v>2.1</v>
      </c>
      <c r="AE206" s="371">
        <f t="shared" si="31"/>
        <v>11</v>
      </c>
    </row>
    <row r="207" spans="1:31" x14ac:dyDescent="0.2">
      <c r="A207" t="str">
        <f>coder1_YH!B207</f>
        <v>EX</v>
      </c>
      <c r="B207">
        <f>coder1_YH!C207</f>
        <v>207</v>
      </c>
      <c r="C207">
        <f>coder1_YH!D207</f>
        <v>0</v>
      </c>
      <c r="D207">
        <f>coder1_YH!E207</f>
        <v>0</v>
      </c>
      <c r="E207" t="b">
        <f>coder1_YH!F207</f>
        <v>1</v>
      </c>
      <c r="G207" t="str">
        <f>IF(coder1_YH!G207="",G206, coder1_YH!G207)</f>
        <v>Schunk et al., 1996</v>
      </c>
      <c r="H207" s="405" t="str">
        <f>clean_mod!I207</f>
        <v>1996</v>
      </c>
      <c r="I207" t="str">
        <f>clean_mod!G207</f>
        <v>136</v>
      </c>
      <c r="J207">
        <f>clean_mod!H207</f>
        <v>136</v>
      </c>
      <c r="K207">
        <f>IF(coder1_YH!P207="",K206, coder1_YH!P207)</f>
        <v>3</v>
      </c>
      <c r="L207" s="324" t="str">
        <f>IF(clean_mod!AF207="",L206,clean_mod!AF207)</f>
        <v xml:space="preserve">136-VTm </v>
      </c>
      <c r="M207" s="324" t="str">
        <f>IF(clean_mod!AG207="",M206,clean_mod!AG207)</f>
        <v>136-VT_R</v>
      </c>
      <c r="N207" s="372" t="str">
        <f t="shared" si="24"/>
        <v>136-ctl-90</v>
      </c>
      <c r="O207" s="372" t="str">
        <f t="shared" si="25"/>
        <v>136-3-90</v>
      </c>
      <c r="P207" s="369">
        <v>90</v>
      </c>
      <c r="Q207" s="369" t="str">
        <f>LEFT(coder1_YH!AK207,1)</f>
        <v>0</v>
      </c>
      <c r="R207" s="369" t="str">
        <f>LEFT(coder1_YH!AL207,1)</f>
        <v>0</v>
      </c>
      <c r="S207" s="369" t="str">
        <f>coder1_YH!AJ207</f>
        <v>comprehension skill test</v>
      </c>
      <c r="T207" s="370">
        <f>coder1_YH!AN207</f>
        <v>5.8</v>
      </c>
      <c r="U207" s="370">
        <f>coder1_YH!AO207</f>
        <v>1.5</v>
      </c>
      <c r="V207" s="370">
        <f>coder1_YH!AP207</f>
        <v>11</v>
      </c>
      <c r="W207" s="370">
        <f>coder1_YH!AQ207</f>
        <v>13.1</v>
      </c>
      <c r="X207" s="370">
        <f>coder1_YH!AR207</f>
        <v>2.4</v>
      </c>
      <c r="Y207" s="370">
        <f>coder1_YH!AS207</f>
        <v>11</v>
      </c>
      <c r="Z207" s="371">
        <f t="shared" si="26"/>
        <v>5.5</v>
      </c>
      <c r="AA207" s="371">
        <f t="shared" si="27"/>
        <v>3.2</v>
      </c>
      <c r="AB207" s="371">
        <f t="shared" si="28"/>
        <v>11</v>
      </c>
      <c r="AC207" s="371">
        <f t="shared" si="29"/>
        <v>7.1</v>
      </c>
      <c r="AD207" s="371">
        <f t="shared" si="30"/>
        <v>2.1</v>
      </c>
      <c r="AE207" s="371">
        <f t="shared" si="31"/>
        <v>11</v>
      </c>
    </row>
    <row r="208" spans="1:31" x14ac:dyDescent="0.2">
      <c r="A208">
        <f>coder1_YH!B208</f>
        <v>0</v>
      </c>
      <c r="B208">
        <f>coder1_YH!C208</f>
        <v>208</v>
      </c>
      <c r="C208">
        <f>coder1_YH!D208</f>
        <v>0</v>
      </c>
      <c r="D208">
        <f>coder1_YH!E208</f>
        <v>0</v>
      </c>
      <c r="E208" t="b">
        <f>coder1_YH!F208</f>
        <v>1</v>
      </c>
      <c r="G208" t="str">
        <f>IF(coder1_YH!G208="",G207, coder1_YH!G208)</f>
        <v>Schunk et al., 1996</v>
      </c>
      <c r="H208" s="405" t="str">
        <f>clean_mod!I208</f>
        <v>1996</v>
      </c>
      <c r="I208" t="str">
        <f>clean_mod!G208</f>
        <v>136</v>
      </c>
      <c r="J208">
        <f>clean_mod!H208</f>
        <v>136</v>
      </c>
      <c r="K208" t="str">
        <f>IF(coder1_YH!P208="",K207, coder1_YH!P208)</f>
        <v>ctl</v>
      </c>
      <c r="L208" s="324" t="str">
        <f>IF(clean_mod!AF208="",L207,clean_mod!AF208)</f>
        <v xml:space="preserve">136-.m </v>
      </c>
      <c r="M208" s="324" t="str">
        <f>IF(clean_mod!AG208="",M207,clean_mod!AG208)</f>
        <v>136-R</v>
      </c>
      <c r="N208" s="372" t="str">
        <f t="shared" si="24"/>
        <v>136-ctl-90</v>
      </c>
      <c r="O208" s="372" t="str">
        <f t="shared" si="25"/>
        <v>136-ctl-90</v>
      </c>
      <c r="P208" s="369">
        <v>90</v>
      </c>
      <c r="Q208" s="369" t="str">
        <f>LEFT(coder1_YH!AK208,1)</f>
        <v>0</v>
      </c>
      <c r="R208" s="369" t="str">
        <f>LEFT(coder1_YH!AL208,1)</f>
        <v>0</v>
      </c>
      <c r="S208" s="369" t="str">
        <f>coder1_YH!AJ208</f>
        <v>comprehension skill test</v>
      </c>
      <c r="T208" s="370">
        <f>coder1_YH!AN208</f>
        <v>5.5</v>
      </c>
      <c r="U208" s="370">
        <f>coder1_YH!AO208</f>
        <v>3.2</v>
      </c>
      <c r="V208" s="370">
        <f>coder1_YH!AP208</f>
        <v>11</v>
      </c>
      <c r="W208" s="370">
        <f>coder1_YH!AQ208</f>
        <v>7.1</v>
      </c>
      <c r="X208" s="370">
        <f>coder1_YH!AR208</f>
        <v>2.1</v>
      </c>
      <c r="Y208" s="370">
        <f>coder1_YH!AS208</f>
        <v>11</v>
      </c>
      <c r="Z208" s="371">
        <f t="shared" si="26"/>
        <v>5.5</v>
      </c>
      <c r="AA208" s="371">
        <f t="shared" si="27"/>
        <v>3.2</v>
      </c>
      <c r="AB208" s="371">
        <f t="shared" si="28"/>
        <v>11</v>
      </c>
      <c r="AC208" s="371">
        <f t="shared" si="29"/>
        <v>7.1</v>
      </c>
      <c r="AD208" s="371">
        <f t="shared" si="30"/>
        <v>2.1</v>
      </c>
      <c r="AE208" s="371">
        <f t="shared" si="31"/>
        <v>11</v>
      </c>
    </row>
    <row r="209" spans="1:31" x14ac:dyDescent="0.2">
      <c r="A209">
        <f>coder1_YH!B209</f>
        <v>0</v>
      </c>
      <c r="B209">
        <f>coder1_YH!C209</f>
        <v>209</v>
      </c>
      <c r="C209">
        <f>coder1_YH!D209</f>
        <v>0</v>
      </c>
      <c r="D209">
        <f>coder1_YH!E209</f>
        <v>0</v>
      </c>
      <c r="E209" t="b">
        <f>coder1_YH!F209</f>
        <v>1</v>
      </c>
      <c r="G209" t="str">
        <f>IF(coder1_YH!G209="",G208, coder1_YH!G209)</f>
        <v>Schunk &amp; Rice., 1992</v>
      </c>
      <c r="H209" s="405" t="str">
        <f>clean_mod!I209</f>
        <v>1992</v>
      </c>
      <c r="I209" t="str">
        <f>clean_mod!G209</f>
        <v>137</v>
      </c>
      <c r="J209">
        <f>clean_mod!H209</f>
        <v>137</v>
      </c>
      <c r="K209">
        <f>IF(coder1_YH!P209="",K208, coder1_YH!P209)</f>
        <v>1</v>
      </c>
      <c r="L209" s="324" t="str">
        <f>IF(clean_mod!AF209="",L208,clean_mod!AF209)</f>
        <v xml:space="preserve">137-Nm </v>
      </c>
      <c r="M209" s="324" t="str">
        <f>IF(clean_mod!AG209="",M208,clean_mod!AG209)</f>
        <v>137-N_R</v>
      </c>
      <c r="N209" s="372" t="str">
        <f t="shared" si="24"/>
        <v>137-ctl-91</v>
      </c>
      <c r="O209" s="372" t="str">
        <f t="shared" si="25"/>
        <v>137-1-91</v>
      </c>
      <c r="P209" s="369">
        <v>91</v>
      </c>
      <c r="Q209" s="369" t="str">
        <f>LEFT(coder1_YH!AK209,1)</f>
        <v>0</v>
      </c>
      <c r="R209" s="369" t="str">
        <f>LEFT(coder1_YH!AL209,1)</f>
        <v>0</v>
      </c>
      <c r="S209" s="369" t="str">
        <f>coder1_YH!AJ209</f>
        <v>comprehension skill test</v>
      </c>
      <c r="T209" s="370">
        <f>coder1_YH!AN209</f>
        <v>5.7</v>
      </c>
      <c r="U209" s="370">
        <f>coder1_YH!AO209</f>
        <v>1.7</v>
      </c>
      <c r="V209" s="370">
        <f>coder1_YH!AP209</f>
        <v>11</v>
      </c>
      <c r="W209" s="370">
        <f>coder1_YH!AQ209</f>
        <v>7.9</v>
      </c>
      <c r="X209" s="370">
        <f>coder1_YH!AR209</f>
        <v>3.1</v>
      </c>
      <c r="Y209" s="370">
        <f>coder1_YH!AS209</f>
        <v>11</v>
      </c>
      <c r="Z209" s="371">
        <f t="shared" si="26"/>
        <v>6.5</v>
      </c>
      <c r="AA209" s="371">
        <f t="shared" si="27"/>
        <v>2.9</v>
      </c>
      <c r="AB209" s="371">
        <f t="shared" si="28"/>
        <v>11</v>
      </c>
      <c r="AC209" s="371">
        <f t="shared" si="29"/>
        <v>7.2</v>
      </c>
      <c r="AD209" s="371">
        <f t="shared" si="30"/>
        <v>3.3</v>
      </c>
      <c r="AE209" s="371">
        <f t="shared" si="31"/>
        <v>11</v>
      </c>
    </row>
    <row r="210" spans="1:31" x14ac:dyDescent="0.2">
      <c r="A210">
        <f>coder1_YH!B210</f>
        <v>0</v>
      </c>
      <c r="B210">
        <f>coder1_YH!C210</f>
        <v>210</v>
      </c>
      <c r="C210" t="b">
        <f>coder1_YH!D210</f>
        <v>1</v>
      </c>
      <c r="D210" t="b">
        <f>coder1_YH!E210</f>
        <v>1</v>
      </c>
      <c r="E210" t="b">
        <f>coder1_YH!F210</f>
        <v>1</v>
      </c>
      <c r="G210" t="str">
        <f>IF(coder1_YH!G210="",G209, coder1_YH!G210)</f>
        <v>Schunk &amp; Rice., 1992</v>
      </c>
      <c r="H210" s="405" t="str">
        <f>clean_mod!I210</f>
        <v>1992</v>
      </c>
      <c r="I210" t="str">
        <f>clean_mod!G210</f>
        <v>137</v>
      </c>
      <c r="J210">
        <f>clean_mod!H210</f>
        <v>137</v>
      </c>
      <c r="K210">
        <f>IF(coder1_YH!P210="",K209, coder1_YH!P210)</f>
        <v>2</v>
      </c>
      <c r="L210" s="324" t="str">
        <f>IF(clean_mod!AF210="",L209,clean_mod!AF210)</f>
        <v xml:space="preserve">137-NVTm </v>
      </c>
      <c r="M210" s="324" t="str">
        <f>IF(clean_mod!AG210="",M209,clean_mod!AG210)</f>
        <v>137-NVT_R</v>
      </c>
      <c r="N210" s="372" t="str">
        <f t="shared" si="24"/>
        <v>137-ctl-91</v>
      </c>
      <c r="O210" s="372" t="str">
        <f t="shared" si="25"/>
        <v>137-2-91</v>
      </c>
      <c r="P210" s="369">
        <v>91</v>
      </c>
      <c r="Q210" s="369" t="str">
        <f>LEFT(coder1_YH!AK210,1)</f>
        <v>0</v>
      </c>
      <c r="R210" s="369" t="str">
        <f>LEFT(coder1_YH!AL210,1)</f>
        <v>0</v>
      </c>
      <c r="S210" s="369" t="str">
        <f>coder1_YH!AJ210</f>
        <v>comprehension skill test</v>
      </c>
      <c r="T210" s="370">
        <f>coder1_YH!AN210</f>
        <v>6.4</v>
      </c>
      <c r="U210" s="370">
        <f>coder1_YH!AO210</f>
        <v>1.7</v>
      </c>
      <c r="V210" s="370">
        <f>coder1_YH!AP210</f>
        <v>11</v>
      </c>
      <c r="W210" s="370">
        <f>coder1_YH!AQ210</f>
        <v>10.8</v>
      </c>
      <c r="X210" s="370">
        <f>coder1_YH!AR210</f>
        <v>2.2000000000000002</v>
      </c>
      <c r="Y210" s="370">
        <f>coder1_YH!AS210</f>
        <v>11</v>
      </c>
      <c r="Z210" s="371">
        <f t="shared" si="26"/>
        <v>6.5</v>
      </c>
      <c r="AA210" s="371">
        <f t="shared" si="27"/>
        <v>2.9</v>
      </c>
      <c r="AB210" s="371">
        <f t="shared" si="28"/>
        <v>11</v>
      </c>
      <c r="AC210" s="371">
        <f t="shared" si="29"/>
        <v>7.2</v>
      </c>
      <c r="AD210" s="371">
        <f t="shared" si="30"/>
        <v>3.3</v>
      </c>
      <c r="AE210" s="371">
        <f t="shared" si="31"/>
        <v>11</v>
      </c>
    </row>
    <row r="211" spans="1:31" x14ac:dyDescent="0.2">
      <c r="A211">
        <f>coder1_YH!B211</f>
        <v>0</v>
      </c>
      <c r="B211">
        <f>coder1_YH!C211</f>
        <v>211</v>
      </c>
      <c r="C211">
        <f>coder1_YH!D211</f>
        <v>0</v>
      </c>
      <c r="D211" t="str">
        <f>coder1_YH!E211</f>
        <v/>
      </c>
      <c r="E211" t="b">
        <f>coder1_YH!F211</f>
        <v>1</v>
      </c>
      <c r="G211" t="str">
        <f>IF(coder1_YH!G211="",G210, coder1_YH!G211)</f>
        <v>Schunk &amp; Rice., 1992</v>
      </c>
      <c r="H211" s="405" t="str">
        <f>clean_mod!I211</f>
        <v>1992</v>
      </c>
      <c r="I211" t="str">
        <f>clean_mod!G211</f>
        <v>137</v>
      </c>
      <c r="J211">
        <f>clean_mod!H211</f>
        <v>137</v>
      </c>
      <c r="K211" t="str">
        <f>IF(coder1_YH!P211="",K210, coder1_YH!P211)</f>
        <v>ctl</v>
      </c>
      <c r="L211" s="324" t="str">
        <f>IF(clean_mod!AF211="",L210,clean_mod!AF211)</f>
        <v xml:space="preserve">137-.m </v>
      </c>
      <c r="M211" s="324" t="str">
        <f>IF(clean_mod!AG211="",M210,clean_mod!AG211)</f>
        <v>137-R</v>
      </c>
      <c r="N211" s="372" t="str">
        <f t="shared" si="24"/>
        <v>137-ctl-91</v>
      </c>
      <c r="O211" s="372" t="str">
        <f t="shared" si="25"/>
        <v>137-ctl-91</v>
      </c>
      <c r="P211" s="369">
        <v>91</v>
      </c>
      <c r="Q211" s="369" t="str">
        <f>LEFT(coder1_YH!AK211,1)</f>
        <v>0</v>
      </c>
      <c r="R211" s="369" t="str">
        <f>LEFT(coder1_YH!AL211,1)</f>
        <v>0</v>
      </c>
      <c r="S211" s="369" t="str">
        <f>coder1_YH!AJ211</f>
        <v>comprehension skill test</v>
      </c>
      <c r="T211" s="370">
        <f>coder1_YH!AN211</f>
        <v>6.5</v>
      </c>
      <c r="U211" s="370">
        <f>coder1_YH!AO211</f>
        <v>2.9</v>
      </c>
      <c r="V211" s="370">
        <f>coder1_YH!AP211</f>
        <v>11</v>
      </c>
      <c r="W211" s="370">
        <f>coder1_YH!AQ211</f>
        <v>7.2</v>
      </c>
      <c r="X211" s="370">
        <f>coder1_YH!AR211</f>
        <v>3.3</v>
      </c>
      <c r="Y211" s="370">
        <f>coder1_YH!AS211</f>
        <v>11</v>
      </c>
      <c r="Z211" s="371">
        <f t="shared" si="26"/>
        <v>6.5</v>
      </c>
      <c r="AA211" s="371">
        <f t="shared" si="27"/>
        <v>2.9</v>
      </c>
      <c r="AB211" s="371">
        <f t="shared" si="28"/>
        <v>11</v>
      </c>
      <c r="AC211" s="371">
        <f t="shared" si="29"/>
        <v>7.2</v>
      </c>
      <c r="AD211" s="371">
        <f t="shared" si="30"/>
        <v>3.3</v>
      </c>
      <c r="AE211" s="371">
        <f t="shared" si="31"/>
        <v>11</v>
      </c>
    </row>
    <row r="212" spans="1:31" x14ac:dyDescent="0.2">
      <c r="A212">
        <f>coder1_YH!B212</f>
        <v>0</v>
      </c>
      <c r="B212">
        <f>coder1_YH!C212</f>
        <v>212</v>
      </c>
      <c r="C212" t="b">
        <f>coder1_YH!D212</f>
        <v>1</v>
      </c>
      <c r="D212" t="b">
        <f>coder1_YH!E212</f>
        <v>1</v>
      </c>
      <c r="E212" t="b">
        <f>coder1_YH!F212</f>
        <v>1</v>
      </c>
      <c r="G212" t="str">
        <f>IF(coder1_YH!G212="",G211, coder1_YH!G212)</f>
        <v>van Rijk et al., 2017</v>
      </c>
      <c r="H212" s="405" t="str">
        <f>clean_mod!I212</f>
        <v>2017</v>
      </c>
      <c r="I212" t="str">
        <f>clean_mod!G212</f>
        <v>138</v>
      </c>
      <c r="J212">
        <f>clean_mod!H212</f>
        <v>138</v>
      </c>
      <c r="K212">
        <f>IF(coder1_YH!P212="",K211, coder1_YH!P212)</f>
        <v>1</v>
      </c>
      <c r="L212" s="324" t="str">
        <f>IF(clean_mod!AF212="",L211,clean_mod!AF212)</f>
        <v xml:space="preserve">138-Nm </v>
      </c>
      <c r="M212" s="324" t="str">
        <f>IF(clean_mod!AG212="",M211,clean_mod!AG212)</f>
        <v>138-N_R</v>
      </c>
      <c r="N212" s="372" t="str">
        <f t="shared" si="24"/>
        <v>138-ctl-92</v>
      </c>
      <c r="O212" s="372" t="str">
        <f t="shared" si="25"/>
        <v>138-1-92</v>
      </c>
      <c r="P212" s="369">
        <v>92</v>
      </c>
      <c r="Q212" s="369" t="str">
        <f>LEFT(coder1_YH!AK212,1)</f>
        <v>0</v>
      </c>
      <c r="R212" s="369" t="str">
        <f>LEFT(coder1_YH!AL212,1)</f>
        <v>0</v>
      </c>
      <c r="S212" s="369" t="str">
        <f>coder1_YH!AJ212</f>
        <v>PIRLS Read comprehension</v>
      </c>
      <c r="T212" s="370">
        <f>coder1_YH!AN212</f>
        <v>7.33</v>
      </c>
      <c r="U212" s="370">
        <f>coder1_YH!AO212</f>
        <v>3.09</v>
      </c>
      <c r="V212" s="370">
        <f>coder1_YH!AP212</f>
        <v>248</v>
      </c>
      <c r="W212" s="370">
        <f>coder1_YH!AQ212</f>
        <v>9.26</v>
      </c>
      <c r="X212" s="370">
        <f>coder1_YH!AR212</f>
        <v>3.43</v>
      </c>
      <c r="Y212" s="370">
        <f>coder1_YH!AS212</f>
        <v>243</v>
      </c>
      <c r="Z212" s="371">
        <f t="shared" si="26"/>
        <v>6.93</v>
      </c>
      <c r="AA212" s="371">
        <f t="shared" si="27"/>
        <v>2.96</v>
      </c>
      <c r="AB212" s="371">
        <f t="shared" si="28"/>
        <v>293</v>
      </c>
      <c r="AC212" s="371">
        <f t="shared" si="29"/>
        <v>9.6199999999999992</v>
      </c>
      <c r="AD212" s="371">
        <f t="shared" si="30"/>
        <v>3.41</v>
      </c>
      <c r="AE212" s="371">
        <f t="shared" si="31"/>
        <v>291</v>
      </c>
    </row>
    <row r="213" spans="1:31" x14ac:dyDescent="0.2">
      <c r="A213">
        <f>coder1_YH!B213</f>
        <v>0</v>
      </c>
      <c r="B213">
        <f>coder1_YH!C213</f>
        <v>213</v>
      </c>
      <c r="C213">
        <f>coder1_YH!D213</f>
        <v>0</v>
      </c>
      <c r="D213" t="str">
        <f>coder1_YH!E213</f>
        <v/>
      </c>
      <c r="E213" t="b">
        <f>coder1_YH!F213</f>
        <v>1</v>
      </c>
      <c r="G213" t="str">
        <f>IF(coder1_YH!G213="",G212, coder1_YH!G213)</f>
        <v>van Rijk et al., 2017</v>
      </c>
      <c r="H213" s="405" t="str">
        <f>clean_mod!I213</f>
        <v>2017</v>
      </c>
      <c r="I213" t="str">
        <f>clean_mod!G213</f>
        <v>138</v>
      </c>
      <c r="J213">
        <f>clean_mod!H213</f>
        <v>138</v>
      </c>
      <c r="K213" t="str">
        <f>IF(coder1_YH!P213="",K212, coder1_YH!P213)</f>
        <v>ctl</v>
      </c>
      <c r="L213" s="324" t="str">
        <f>IF(clean_mod!AF213="",L212,clean_mod!AF213)</f>
        <v xml:space="preserve">138-.m </v>
      </c>
      <c r="M213" s="324" t="str">
        <f>IF(clean_mod!AG213="",M212,clean_mod!AG213)</f>
        <v>138-R</v>
      </c>
      <c r="N213" s="372" t="str">
        <f t="shared" si="24"/>
        <v>138-ctl-92</v>
      </c>
      <c r="O213" s="372" t="str">
        <f t="shared" si="25"/>
        <v>138-ctl-92</v>
      </c>
      <c r="P213" s="369">
        <v>92</v>
      </c>
      <c r="Q213" s="369" t="str">
        <f>LEFT(coder1_YH!AK213,1)</f>
        <v>0</v>
      </c>
      <c r="R213" s="369" t="str">
        <f>LEFT(coder1_YH!AL213,1)</f>
        <v>0</v>
      </c>
      <c r="S213" s="369" t="str">
        <f>coder1_YH!AJ213</f>
        <v>PIRLS Read comprehension</v>
      </c>
      <c r="T213" s="370">
        <f>coder1_YH!AN213</f>
        <v>6.93</v>
      </c>
      <c r="U213" s="370">
        <f>coder1_YH!AO213</f>
        <v>2.96</v>
      </c>
      <c r="V213" s="370">
        <f>coder1_YH!AP213</f>
        <v>293</v>
      </c>
      <c r="W213" s="370">
        <f>coder1_YH!AQ213</f>
        <v>9.6199999999999992</v>
      </c>
      <c r="X213" s="370">
        <f>coder1_YH!AR213</f>
        <v>3.41</v>
      </c>
      <c r="Y213" s="370">
        <f>coder1_YH!AS213</f>
        <v>291</v>
      </c>
      <c r="Z213" s="371">
        <f t="shared" si="26"/>
        <v>6.93</v>
      </c>
      <c r="AA213" s="371">
        <f t="shared" si="27"/>
        <v>2.96</v>
      </c>
      <c r="AB213" s="371">
        <f t="shared" si="28"/>
        <v>293</v>
      </c>
      <c r="AC213" s="371">
        <f t="shared" si="29"/>
        <v>9.6199999999999992</v>
      </c>
      <c r="AD213" s="371">
        <f t="shared" si="30"/>
        <v>3.41</v>
      </c>
      <c r="AE213" s="371">
        <f t="shared" si="31"/>
        <v>291</v>
      </c>
    </row>
    <row r="214" spans="1:31" x14ac:dyDescent="0.2">
      <c r="A214">
        <f>coder1_YH!B214</f>
        <v>0</v>
      </c>
      <c r="B214">
        <f>coder1_YH!C214</f>
        <v>214</v>
      </c>
      <c r="C214" t="b">
        <f>coder1_YH!D214</f>
        <v>1</v>
      </c>
      <c r="D214" t="b">
        <f>coder1_YH!E214</f>
        <v>1</v>
      </c>
      <c r="E214" t="b">
        <f>coder1_YH!F214</f>
        <v>1</v>
      </c>
      <c r="G214" t="str">
        <f>IF(coder1_YH!G214="",G213, coder1_YH!G214)</f>
        <v>McBreen &amp; Savage, 2022</v>
      </c>
      <c r="H214" s="405" t="str">
        <f>clean_mod!I214</f>
        <v>2022</v>
      </c>
      <c r="I214" t="str">
        <f>clean_mod!G214</f>
        <v>139</v>
      </c>
      <c r="J214">
        <f>clean_mod!H214</f>
        <v>139</v>
      </c>
      <c r="K214">
        <f>IF(coder1_YH!P214="",K213, coder1_YH!P214)</f>
        <v>1</v>
      </c>
      <c r="L214" s="324" t="str">
        <f>IF(clean_mod!AF214="",L213,clean_mod!AF214)</f>
        <v>139-NGTcm</v>
      </c>
      <c r="M214" s="324" t="str">
        <f>IF(clean_mod!AG214="",M213,clean_mod!AG214)</f>
        <v>139-NGT_R</v>
      </c>
      <c r="N214" s="372" t="str">
        <f t="shared" si="24"/>
        <v>139-ctl-93</v>
      </c>
      <c r="O214" s="372" t="str">
        <f t="shared" si="25"/>
        <v>139-1-93</v>
      </c>
      <c r="P214" s="369">
        <v>93</v>
      </c>
      <c r="Q214" s="369" t="str">
        <f>LEFT(coder1_YH!AK214,1)</f>
        <v>1</v>
      </c>
      <c r="R214" s="369" t="str">
        <f>LEFT(coder1_YH!AL214,1)</f>
        <v>S</v>
      </c>
      <c r="S214" s="369" t="str">
        <f>coder1_YH!AJ214</f>
        <v>GRADE Sentence Comprehension subtest</v>
      </c>
      <c r="T214" s="370">
        <f>coder1_YH!AN214</f>
        <v>2.5499999999999998</v>
      </c>
      <c r="U214" s="370">
        <f>coder1_YH!AO214</f>
        <v>0.93</v>
      </c>
      <c r="V214" s="370">
        <f>coder1_YH!AP214</f>
        <v>14</v>
      </c>
      <c r="W214" s="370">
        <f>coder1_YH!AQ214</f>
        <v>2.36</v>
      </c>
      <c r="X214" s="370">
        <f>coder1_YH!AR214</f>
        <v>1.03</v>
      </c>
      <c r="Y214" s="370">
        <f>coder1_YH!AS214</f>
        <v>14</v>
      </c>
      <c r="Z214" s="371">
        <f t="shared" si="26"/>
        <v>1.86</v>
      </c>
      <c r="AA214" s="371">
        <f t="shared" si="27"/>
        <v>0.95</v>
      </c>
      <c r="AB214" s="371">
        <f t="shared" si="28"/>
        <v>11</v>
      </c>
      <c r="AC214" s="371">
        <f t="shared" si="29"/>
        <v>2.29</v>
      </c>
      <c r="AD214" s="371">
        <f t="shared" si="30"/>
        <v>1.2</v>
      </c>
      <c r="AE214" s="371">
        <f t="shared" si="31"/>
        <v>11</v>
      </c>
    </row>
    <row r="215" spans="1:31" x14ac:dyDescent="0.2">
      <c r="A215">
        <f>coder1_YH!B215</f>
        <v>0</v>
      </c>
      <c r="B215">
        <f>coder1_YH!C215</f>
        <v>215</v>
      </c>
      <c r="C215">
        <f>coder1_YH!D215</f>
        <v>0</v>
      </c>
      <c r="D215" t="str">
        <f>coder1_YH!E215</f>
        <v/>
      </c>
      <c r="E215" t="b">
        <f>coder1_YH!F215</f>
        <v>1</v>
      </c>
      <c r="G215" t="str">
        <f>IF(coder1_YH!G215="",G214, coder1_YH!G215)</f>
        <v>McBreen &amp; Savage, 2022</v>
      </c>
      <c r="H215" s="405" t="str">
        <f>clean_mod!I215</f>
        <v>2022</v>
      </c>
      <c r="I215" t="str">
        <f>clean_mod!G215</f>
        <v>139</v>
      </c>
      <c r="J215">
        <f>clean_mod!H215</f>
        <v>139</v>
      </c>
      <c r="K215" t="str">
        <f>IF(coder1_YH!P215="",K214, coder1_YH!P215)</f>
        <v>ctl</v>
      </c>
      <c r="L215" s="324" t="str">
        <f>IF(clean_mod!AF215="",L214,clean_mod!AF215)</f>
        <v>139-.cm</v>
      </c>
      <c r="M215" s="324" t="str">
        <f>IF(clean_mod!AG215="",M214,clean_mod!AG215)</f>
        <v>139-R</v>
      </c>
      <c r="N215" s="372" t="str">
        <f t="shared" si="24"/>
        <v>139-ctl-93</v>
      </c>
      <c r="O215" s="372" t="str">
        <f t="shared" si="25"/>
        <v>139-ctl-93</v>
      </c>
      <c r="P215" s="369">
        <v>93</v>
      </c>
      <c r="Q215" s="369" t="str">
        <f>LEFT(coder1_YH!AK215,1)</f>
        <v>1</v>
      </c>
      <c r="R215" s="369" t="str">
        <f>LEFT(coder1_YH!AL215,1)</f>
        <v>S</v>
      </c>
      <c r="S215" s="369" t="str">
        <f>coder1_YH!AJ215</f>
        <v>GRADE Sentence Comprehension subtest</v>
      </c>
      <c r="T215" s="370">
        <f>coder1_YH!AN215</f>
        <v>1.86</v>
      </c>
      <c r="U215" s="370">
        <f>coder1_YH!AO215</f>
        <v>0.95</v>
      </c>
      <c r="V215" s="370">
        <f>coder1_YH!AP215</f>
        <v>11</v>
      </c>
      <c r="W215" s="370">
        <f>coder1_YH!AQ215</f>
        <v>2.29</v>
      </c>
      <c r="X215" s="370">
        <f>coder1_YH!AR215</f>
        <v>1.2</v>
      </c>
      <c r="Y215" s="370">
        <f>coder1_YH!AS215</f>
        <v>11</v>
      </c>
      <c r="Z215" s="371">
        <f t="shared" si="26"/>
        <v>1.86</v>
      </c>
      <c r="AA215" s="371">
        <f t="shared" si="27"/>
        <v>0.95</v>
      </c>
      <c r="AB215" s="371">
        <f t="shared" si="28"/>
        <v>11</v>
      </c>
      <c r="AC215" s="371">
        <f t="shared" si="29"/>
        <v>2.29</v>
      </c>
      <c r="AD215" s="371">
        <f t="shared" si="30"/>
        <v>1.2</v>
      </c>
      <c r="AE215" s="371">
        <f t="shared" si="31"/>
        <v>11</v>
      </c>
    </row>
    <row r="216" spans="1:31" x14ac:dyDescent="0.2">
      <c r="A216">
        <f>coder1_YH!B216</f>
        <v>0</v>
      </c>
      <c r="B216">
        <f>coder1_YH!C216</f>
        <v>216</v>
      </c>
      <c r="C216" t="b">
        <f>coder1_YH!D216</f>
        <v>1</v>
      </c>
      <c r="D216" t="b">
        <f>coder1_YH!E216</f>
        <v>1</v>
      </c>
      <c r="E216" t="b">
        <f>coder1_YH!F216</f>
        <v>1</v>
      </c>
      <c r="G216" t="str">
        <f>IF(coder1_YH!G216="",G215, coder1_YH!G216)</f>
        <v>Alhaidari, 2006</v>
      </c>
      <c r="H216" s="405" t="str">
        <f>clean_mod!I216</f>
        <v>2006</v>
      </c>
      <c r="I216" t="str">
        <f>clean_mod!G216</f>
        <v>140</v>
      </c>
      <c r="J216">
        <f>clean_mod!H216</f>
        <v>140.1</v>
      </c>
      <c r="K216">
        <f>IF(coder1_YH!P216="",K215, coder1_YH!P216)</f>
        <v>1</v>
      </c>
      <c r="L216" s="324" t="str">
        <f>IF(clean_mod!AF216="",L215,clean_mod!AF216)</f>
        <v>140.1-Ncm</v>
      </c>
      <c r="M216" s="324" t="str">
        <f>IF(clean_mod!AG216="",M215,clean_mod!AG216)</f>
        <v>140.1-N_R</v>
      </c>
      <c r="N216" s="372" t="str">
        <f t="shared" si="24"/>
        <v>140-ctl-94</v>
      </c>
      <c r="O216" s="372" t="str">
        <f t="shared" si="25"/>
        <v>140-1-94</v>
      </c>
      <c r="P216" s="369">
        <v>94</v>
      </c>
      <c r="Q216" s="369" t="str">
        <f>LEFT(coder1_YH!AK216,1)</f>
        <v>0</v>
      </c>
      <c r="R216" s="369" t="str">
        <f>LEFT(coder1_YH!AL216,1)</f>
        <v>0</v>
      </c>
      <c r="S216" s="369" t="str">
        <f>coder1_YH!AJ216</f>
        <v>Reading Comprehension Tests</v>
      </c>
      <c r="T216" s="370">
        <f>coder1_YH!AN216</f>
        <v>7.82</v>
      </c>
      <c r="U216" s="370">
        <f>coder1_YH!AO216</f>
        <v>3.7</v>
      </c>
      <c r="V216" s="370">
        <f>coder1_YH!AP216</f>
        <v>17</v>
      </c>
      <c r="W216" s="370">
        <f>coder1_YH!AQ216</f>
        <v>8.4700000000000006</v>
      </c>
      <c r="X216" s="370">
        <f>coder1_YH!AR216</f>
        <v>3.52</v>
      </c>
      <c r="Y216" s="370">
        <f>coder1_YH!AS216</f>
        <v>17</v>
      </c>
      <c r="Z216" s="371">
        <f t="shared" si="26"/>
        <v>7.64</v>
      </c>
      <c r="AA216" s="371">
        <f t="shared" si="27"/>
        <v>3.65</v>
      </c>
      <c r="AB216" s="371">
        <f t="shared" si="28"/>
        <v>14</v>
      </c>
      <c r="AC216" s="371">
        <f t="shared" si="29"/>
        <v>8</v>
      </c>
      <c r="AD216" s="371">
        <f t="shared" si="30"/>
        <v>3.4</v>
      </c>
      <c r="AE216" s="371">
        <f t="shared" si="31"/>
        <v>14</v>
      </c>
    </row>
    <row r="217" spans="1:31" x14ac:dyDescent="0.2">
      <c r="A217">
        <f>coder1_YH!B217</f>
        <v>0</v>
      </c>
      <c r="B217">
        <f>coder1_YH!C217</f>
        <v>217</v>
      </c>
      <c r="C217">
        <f>coder1_YH!D217</f>
        <v>0</v>
      </c>
      <c r="D217" t="str">
        <f>coder1_YH!E217</f>
        <v/>
      </c>
      <c r="E217" t="b">
        <f>coder1_YH!F217</f>
        <v>1</v>
      </c>
      <c r="G217" t="str">
        <f>IF(coder1_YH!G217="",G216, coder1_YH!G217)</f>
        <v>Alhaidari, 2006</v>
      </c>
      <c r="H217" s="405" t="str">
        <f>clean_mod!I217</f>
        <v>2006</v>
      </c>
      <c r="I217" t="str">
        <f>clean_mod!G217</f>
        <v>140</v>
      </c>
      <c r="J217">
        <f>clean_mod!H217</f>
        <v>140.1</v>
      </c>
      <c r="K217" t="str">
        <f>IF(coder1_YH!P217="",K216, coder1_YH!P217)</f>
        <v>ctl</v>
      </c>
      <c r="L217" s="324" t="str">
        <f>IF(clean_mod!AF217="",L216,clean_mod!AF217)</f>
        <v>140.1-..</v>
      </c>
      <c r="M217" s="324" t="str">
        <f>IF(clean_mod!AG217="",M216,clean_mod!AG217)</f>
        <v>140.1-BAU</v>
      </c>
      <c r="N217" s="372" t="str">
        <f t="shared" si="24"/>
        <v>140-ctl-94</v>
      </c>
      <c r="O217" s="372" t="str">
        <f t="shared" si="25"/>
        <v>140-ctl-94</v>
      </c>
      <c r="P217" s="369">
        <v>94</v>
      </c>
      <c r="Q217" s="369" t="str">
        <f>LEFT(coder1_YH!AK217,1)</f>
        <v>0</v>
      </c>
      <c r="R217" s="369" t="str">
        <f>LEFT(coder1_YH!AL217,1)</f>
        <v>0</v>
      </c>
      <c r="S217" s="369" t="str">
        <f>coder1_YH!AJ217</f>
        <v>Reading Comprehension Tests</v>
      </c>
      <c r="T217" s="370">
        <f>coder1_YH!AN217</f>
        <v>7.64</v>
      </c>
      <c r="U217" s="370">
        <f>coder1_YH!AO217</f>
        <v>3.65</v>
      </c>
      <c r="V217" s="370">
        <f>coder1_YH!AP217</f>
        <v>14</v>
      </c>
      <c r="W217" s="370">
        <f>coder1_YH!AQ217</f>
        <v>8</v>
      </c>
      <c r="X217" s="370">
        <f>coder1_YH!AR217</f>
        <v>3.4</v>
      </c>
      <c r="Y217" s="370">
        <f>coder1_YH!AS217</f>
        <v>14</v>
      </c>
      <c r="Z217" s="371">
        <f t="shared" si="26"/>
        <v>7.64</v>
      </c>
      <c r="AA217" s="371">
        <f t="shared" si="27"/>
        <v>3.65</v>
      </c>
      <c r="AB217" s="371">
        <f t="shared" si="28"/>
        <v>14</v>
      </c>
      <c r="AC217" s="371">
        <f t="shared" si="29"/>
        <v>8</v>
      </c>
      <c r="AD217" s="371">
        <f t="shared" si="30"/>
        <v>3.4</v>
      </c>
      <c r="AE217" s="371">
        <f t="shared" si="31"/>
        <v>14</v>
      </c>
    </row>
    <row r="218" spans="1:31" x14ac:dyDescent="0.2">
      <c r="A218">
        <f>coder1_YH!B218</f>
        <v>0</v>
      </c>
      <c r="B218">
        <f>coder1_YH!C218</f>
        <v>218</v>
      </c>
      <c r="C218">
        <f>coder1_YH!D218</f>
        <v>0</v>
      </c>
      <c r="D218" t="b">
        <f>coder1_YH!E218</f>
        <v>1</v>
      </c>
      <c r="E218" t="b">
        <f>coder1_YH!F218</f>
        <v>1</v>
      </c>
      <c r="G218" t="str">
        <f>IF(coder1_YH!G218="",G217, coder1_YH!G218)</f>
        <v>Alhaidari, 2006</v>
      </c>
      <c r="H218" s="405" t="str">
        <f>clean_mod!I218</f>
        <v>2006</v>
      </c>
      <c r="I218" t="str">
        <f>clean_mod!G218</f>
        <v>140</v>
      </c>
      <c r="J218">
        <f>clean_mod!H218</f>
        <v>140.19999999999999</v>
      </c>
      <c r="K218">
        <f>IF(coder1_YH!P218="",K217, coder1_YH!P218)</f>
        <v>1</v>
      </c>
      <c r="L218" s="324" t="str">
        <f>IF(clean_mod!AF218="",L217,clean_mod!AF218)</f>
        <v>140.2-Ncm</v>
      </c>
      <c r="M218" s="324" t="str">
        <f>IF(clean_mod!AG218="",M217,clean_mod!AG218)</f>
        <v>140.2-N_R</v>
      </c>
      <c r="N218" s="372" t="str">
        <f t="shared" si="24"/>
        <v>140-ctl-95</v>
      </c>
      <c r="O218" s="372" t="str">
        <f t="shared" si="25"/>
        <v>140-1-95</v>
      </c>
      <c r="P218" s="369">
        <v>95</v>
      </c>
      <c r="Q218" s="369" t="str">
        <f>LEFT(coder1_YH!AK218,1)</f>
        <v>0</v>
      </c>
      <c r="R218" s="369" t="str">
        <f>LEFT(coder1_YH!AL218,1)</f>
        <v>0</v>
      </c>
      <c r="S218" s="369" t="str">
        <f>coder1_YH!AJ218</f>
        <v>Reading Comprehension Tests</v>
      </c>
      <c r="T218" s="370">
        <f>coder1_YH!AN218</f>
        <v>9.67</v>
      </c>
      <c r="U218" s="370">
        <f>coder1_YH!AO218</f>
        <v>3.42</v>
      </c>
      <c r="V218" s="370">
        <f>coder1_YH!AP218</f>
        <v>12</v>
      </c>
      <c r="W218" s="370">
        <f>coder1_YH!AQ218</f>
        <v>11.58</v>
      </c>
      <c r="X218" s="370">
        <f>coder1_YH!AR218</f>
        <v>3.94</v>
      </c>
      <c r="Y218" s="370">
        <f>coder1_YH!AS218</f>
        <v>12</v>
      </c>
      <c r="Z218" s="371">
        <f t="shared" si="26"/>
        <v>9.64</v>
      </c>
      <c r="AA218" s="371">
        <f t="shared" si="27"/>
        <v>3.47</v>
      </c>
      <c r="AB218" s="371">
        <f t="shared" si="28"/>
        <v>14</v>
      </c>
      <c r="AC218" s="371">
        <f t="shared" si="29"/>
        <v>10.86</v>
      </c>
      <c r="AD218" s="371">
        <f t="shared" si="30"/>
        <v>4.05</v>
      </c>
      <c r="AE218" s="371">
        <f t="shared" si="31"/>
        <v>14</v>
      </c>
    </row>
    <row r="219" spans="1:31" x14ac:dyDescent="0.2">
      <c r="A219">
        <f>coder1_YH!B219</f>
        <v>0</v>
      </c>
      <c r="B219">
        <f>coder1_YH!C219</f>
        <v>219</v>
      </c>
      <c r="C219">
        <f>coder1_YH!D219</f>
        <v>0</v>
      </c>
      <c r="D219" t="str">
        <f>coder1_YH!E219</f>
        <v/>
      </c>
      <c r="E219" t="b">
        <f>coder1_YH!F219</f>
        <v>1</v>
      </c>
      <c r="G219" t="str">
        <f>IF(coder1_YH!G219="",G218, coder1_YH!G219)</f>
        <v>Alhaidari, 2006</v>
      </c>
      <c r="H219" s="405" t="str">
        <f>clean_mod!I219</f>
        <v>2006</v>
      </c>
      <c r="I219" t="str">
        <f>clean_mod!G219</f>
        <v>140</v>
      </c>
      <c r="J219">
        <f>clean_mod!H219</f>
        <v>140.19999999999999</v>
      </c>
      <c r="K219" t="str">
        <f>IF(coder1_YH!P219="",K218, coder1_YH!P219)</f>
        <v>ctl</v>
      </c>
      <c r="L219" s="324" t="str">
        <f>IF(clean_mod!AF219="",L218,clean_mod!AF219)</f>
        <v>140.2-..</v>
      </c>
      <c r="M219" s="324" t="str">
        <f>IF(clean_mod!AG219="",M218,clean_mod!AG219)</f>
        <v>140.2-BAU</v>
      </c>
      <c r="N219" s="372" t="str">
        <f t="shared" si="24"/>
        <v>140-ctl-95</v>
      </c>
      <c r="O219" s="372" t="str">
        <f t="shared" si="25"/>
        <v>140-ctl-95</v>
      </c>
      <c r="P219" s="369">
        <v>95</v>
      </c>
      <c r="Q219" s="369" t="str">
        <f>LEFT(coder1_YH!AK219,1)</f>
        <v>0</v>
      </c>
      <c r="R219" s="369" t="str">
        <f>LEFT(coder1_YH!AL219,1)</f>
        <v>0</v>
      </c>
      <c r="S219" s="369" t="str">
        <f>coder1_YH!AJ219</f>
        <v>Reading Comprehension Tests</v>
      </c>
      <c r="T219" s="370">
        <f>coder1_YH!AN219</f>
        <v>9.64</v>
      </c>
      <c r="U219" s="370">
        <f>coder1_YH!AO219</f>
        <v>3.47</v>
      </c>
      <c r="V219" s="370">
        <f>coder1_YH!AP219</f>
        <v>14</v>
      </c>
      <c r="W219" s="370">
        <f>coder1_YH!AQ219</f>
        <v>10.86</v>
      </c>
      <c r="X219" s="370">
        <f>coder1_YH!AR219</f>
        <v>4.05</v>
      </c>
      <c r="Y219" s="370">
        <f>coder1_YH!AS219</f>
        <v>14</v>
      </c>
      <c r="Z219" s="371">
        <f t="shared" si="26"/>
        <v>9.64</v>
      </c>
      <c r="AA219" s="371">
        <f t="shared" si="27"/>
        <v>3.47</v>
      </c>
      <c r="AB219" s="371">
        <f t="shared" si="28"/>
        <v>14</v>
      </c>
      <c r="AC219" s="371">
        <f t="shared" si="29"/>
        <v>10.86</v>
      </c>
      <c r="AD219" s="371">
        <f t="shared" si="30"/>
        <v>4.05</v>
      </c>
      <c r="AE219" s="371">
        <f t="shared" si="31"/>
        <v>14</v>
      </c>
    </row>
    <row r="220" spans="1:31" x14ac:dyDescent="0.2">
      <c r="A220">
        <f>coder1_YH!B220</f>
        <v>0</v>
      </c>
      <c r="B220">
        <f>coder1_YH!C220</f>
        <v>220</v>
      </c>
      <c r="C220" t="b">
        <f>coder1_YH!D220</f>
        <v>1</v>
      </c>
      <c r="D220" t="b">
        <f>coder1_YH!E220</f>
        <v>1</v>
      </c>
      <c r="E220" t="b">
        <f>coder1_YH!F220</f>
        <v>1</v>
      </c>
      <c r="G220" t="str">
        <f>IF(coder1_YH!G220="",G219, coder1_YH!G220)</f>
        <v>Berkeley， 2007</v>
      </c>
      <c r="H220" s="405" t="str">
        <f>clean_mod!I220</f>
        <v>2007</v>
      </c>
      <c r="I220" t="str">
        <f>clean_mod!G220</f>
        <v>141</v>
      </c>
      <c r="J220">
        <f>clean_mod!H220</f>
        <v>141</v>
      </c>
      <c r="K220">
        <f>IF(coder1_YH!P220="",K219, coder1_YH!P220)</f>
        <v>1</v>
      </c>
      <c r="L220" s="324" t="str">
        <f>IF(clean_mod!AF220="",L219,clean_mod!AF220)</f>
        <v xml:space="preserve">141-NTm </v>
      </c>
      <c r="M220" s="324" t="str">
        <f>IF(clean_mod!AG220="",M219,clean_mod!AG220)</f>
        <v>141-NT_R</v>
      </c>
      <c r="N220" s="372" t="str">
        <f t="shared" si="24"/>
        <v>141-ctl-96</v>
      </c>
      <c r="O220" s="372" t="str">
        <f t="shared" si="25"/>
        <v>141-1-96</v>
      </c>
      <c r="P220" s="369">
        <v>96</v>
      </c>
      <c r="Q220" s="369" t="str">
        <f>LEFT(coder1_YH!AK220,1)</f>
        <v>1</v>
      </c>
      <c r="R220" s="369" t="str">
        <f>LEFT(coder1_YH!AL220,1)</f>
        <v>0</v>
      </c>
      <c r="S220" s="369" t="str">
        <f>coder1_YH!AJ220</f>
        <v>Main Idea Test</v>
      </c>
      <c r="T220" s="370">
        <f>coder1_YH!AN220</f>
        <v>3.82</v>
      </c>
      <c r="U220" s="370">
        <f>coder1_YH!AO220</f>
        <v>1.31</v>
      </c>
      <c r="V220" s="370">
        <f>coder1_YH!AP220</f>
        <v>22</v>
      </c>
      <c r="W220" s="370">
        <f>coder1_YH!AQ220</f>
        <v>7.39</v>
      </c>
      <c r="X220" s="370">
        <f>coder1_YH!AR220</f>
        <v>2.17</v>
      </c>
      <c r="Y220" s="370">
        <f>coder1_YH!AS220</f>
        <v>22</v>
      </c>
      <c r="Z220" s="371">
        <f t="shared" si="26"/>
        <v>3.79</v>
      </c>
      <c r="AA220" s="371">
        <f t="shared" si="27"/>
        <v>1.61</v>
      </c>
      <c r="AB220" s="371">
        <f t="shared" si="28"/>
        <v>21</v>
      </c>
      <c r="AC220" s="371">
        <f t="shared" si="29"/>
        <v>4.93</v>
      </c>
      <c r="AD220" s="371">
        <f t="shared" si="30"/>
        <v>1.55</v>
      </c>
      <c r="AE220" s="371">
        <f t="shared" si="31"/>
        <v>21</v>
      </c>
    </row>
    <row r="221" spans="1:31" x14ac:dyDescent="0.2">
      <c r="A221">
        <f>coder1_YH!B221</f>
        <v>0</v>
      </c>
      <c r="B221">
        <f>coder1_YH!C221</f>
        <v>221</v>
      </c>
      <c r="C221">
        <f>coder1_YH!D221</f>
        <v>0</v>
      </c>
      <c r="D221" t="str">
        <f>coder1_YH!E221</f>
        <v/>
      </c>
      <c r="E221" t="str">
        <f>coder1_YH!F221</f>
        <v/>
      </c>
      <c r="G221" t="str">
        <f>IF(coder1_YH!G221="",G220, coder1_YH!G221)</f>
        <v>Berkeley， 2007</v>
      </c>
      <c r="H221" s="405" t="str">
        <f>clean_mod!I221</f>
        <v>2007</v>
      </c>
      <c r="I221" t="str">
        <f>clean_mod!G221</f>
        <v>141</v>
      </c>
      <c r="J221">
        <f>clean_mod!H221</f>
        <v>141</v>
      </c>
      <c r="K221">
        <f>IF(coder1_YH!P221="",K220, coder1_YH!P221)</f>
        <v>1</v>
      </c>
      <c r="L221" s="324" t="str">
        <f>IF(clean_mod!AF221="",L220,clean_mod!AF221)</f>
        <v xml:space="preserve">141-NTm </v>
      </c>
      <c r="M221" s="324" t="str">
        <f>IF(clean_mod!AG221="",M220,clean_mod!AG221)</f>
        <v>141-NT_R</v>
      </c>
      <c r="N221" s="372" t="str">
        <f t="shared" si="24"/>
        <v>141-ctl-97</v>
      </c>
      <c r="O221" s="372" t="str">
        <f t="shared" si="25"/>
        <v>141-1-97</v>
      </c>
      <c r="P221" s="369">
        <v>97</v>
      </c>
      <c r="Q221" s="369" t="str">
        <f>LEFT(coder1_YH!AK221,1)</f>
        <v>0</v>
      </c>
      <c r="R221" s="369" t="str">
        <f>LEFT(coder1_YH!AL221,1)</f>
        <v>0</v>
      </c>
      <c r="S221" s="369" t="str">
        <f>coder1_YH!AJ221</f>
        <v>Passage Specific Test - Passage Production Subtest</v>
      </c>
      <c r="T221" s="370">
        <f>coder1_YH!AN221</f>
        <v>2.14</v>
      </c>
      <c r="U221" s="370">
        <f>coder1_YH!AO221</f>
        <v>1.36</v>
      </c>
      <c r="V221" s="370">
        <f>coder1_YH!AP221</f>
        <v>22</v>
      </c>
      <c r="W221" s="370">
        <f>coder1_YH!AQ221</f>
        <v>3.41</v>
      </c>
      <c r="X221" s="370">
        <f>coder1_YH!AR221</f>
        <v>1.99</v>
      </c>
      <c r="Y221" s="370">
        <f>coder1_YH!AS221</f>
        <v>22</v>
      </c>
      <c r="Z221" s="371">
        <f t="shared" si="26"/>
        <v>1.71</v>
      </c>
      <c r="AA221" s="371">
        <f t="shared" si="27"/>
        <v>1.19</v>
      </c>
      <c r="AB221" s="371">
        <f t="shared" si="28"/>
        <v>21</v>
      </c>
      <c r="AC221" s="371">
        <f t="shared" si="29"/>
        <v>3.05</v>
      </c>
      <c r="AD221" s="371">
        <f t="shared" si="30"/>
        <v>2.11</v>
      </c>
      <c r="AE221" s="371">
        <f t="shared" si="31"/>
        <v>21</v>
      </c>
    </row>
    <row r="222" spans="1:31" x14ac:dyDescent="0.2">
      <c r="A222">
        <f>coder1_YH!B222</f>
        <v>0</v>
      </c>
      <c r="B222">
        <f>coder1_YH!C222</f>
        <v>222</v>
      </c>
      <c r="C222">
        <f>coder1_YH!D222</f>
        <v>0</v>
      </c>
      <c r="D222" t="str">
        <f>coder1_YH!E222</f>
        <v/>
      </c>
      <c r="E222" t="str">
        <f>coder1_YH!F222</f>
        <v/>
      </c>
      <c r="G222" t="str">
        <f>IF(coder1_YH!G222="",G221, coder1_YH!G222)</f>
        <v>Berkeley， 2007</v>
      </c>
      <c r="H222" s="405" t="str">
        <f>clean_mod!I222</f>
        <v>2007</v>
      </c>
      <c r="I222" t="str">
        <f>clean_mod!G222</f>
        <v>141</v>
      </c>
      <c r="J222">
        <f>clean_mod!H222</f>
        <v>141</v>
      </c>
      <c r="K222">
        <f>IF(coder1_YH!P222="",K221, coder1_YH!P222)</f>
        <v>1</v>
      </c>
      <c r="L222" s="324" t="str">
        <f>IF(clean_mod!AF222="",L221,clean_mod!AF222)</f>
        <v xml:space="preserve">141-NTm </v>
      </c>
      <c r="M222" s="324" t="str">
        <f>IF(clean_mod!AG222="",M221,clean_mod!AG222)</f>
        <v>141-NT_R</v>
      </c>
      <c r="N222" s="372" t="str">
        <f t="shared" si="24"/>
        <v>141-ctl-98</v>
      </c>
      <c r="O222" s="372" t="str">
        <f t="shared" si="25"/>
        <v>141-1-98</v>
      </c>
      <c r="P222" s="369">
        <v>98</v>
      </c>
      <c r="Q222" s="369" t="str">
        <f>LEFT(coder1_YH!AK222,1)</f>
        <v>0</v>
      </c>
      <c r="R222" s="369" t="str">
        <f>LEFT(coder1_YH!AL222,1)</f>
        <v>0</v>
      </c>
      <c r="S222" s="369" t="str">
        <f>coder1_YH!AJ222</f>
        <v>Passage Specific Test - Passage Identification Subtest</v>
      </c>
      <c r="T222" s="370">
        <f>coder1_YH!AN222</f>
        <v>4.32</v>
      </c>
      <c r="U222" s="370">
        <f>coder1_YH!AO222</f>
        <v>1.52</v>
      </c>
      <c r="V222" s="370">
        <f>coder1_YH!AP222</f>
        <v>22</v>
      </c>
      <c r="W222" s="370">
        <f>coder1_YH!AQ222</f>
        <v>5.45</v>
      </c>
      <c r="X222" s="370">
        <f>coder1_YH!AR222</f>
        <v>1.65</v>
      </c>
      <c r="Y222" s="370">
        <f>coder1_YH!AS222</f>
        <v>22</v>
      </c>
      <c r="Z222" s="371">
        <f t="shared" si="26"/>
        <v>4.0999999999999996</v>
      </c>
      <c r="AA222" s="371">
        <f t="shared" si="27"/>
        <v>1.22</v>
      </c>
      <c r="AB222" s="371">
        <f t="shared" si="28"/>
        <v>21</v>
      </c>
      <c r="AC222" s="371">
        <f t="shared" si="29"/>
        <v>5.19</v>
      </c>
      <c r="AD222" s="371">
        <f t="shared" si="30"/>
        <v>2.02</v>
      </c>
      <c r="AE222" s="371">
        <f t="shared" si="31"/>
        <v>21</v>
      </c>
    </row>
    <row r="223" spans="1:31" x14ac:dyDescent="0.2">
      <c r="A223">
        <f>coder1_YH!B223</f>
        <v>0</v>
      </c>
      <c r="B223">
        <f>coder1_YH!C223</f>
        <v>223</v>
      </c>
      <c r="C223">
        <f>coder1_YH!D223</f>
        <v>0</v>
      </c>
      <c r="D223" t="str">
        <f>coder1_YH!E223</f>
        <v/>
      </c>
      <c r="E223" t="str">
        <f>coder1_YH!F223</f>
        <v/>
      </c>
      <c r="G223" t="str">
        <f>IF(coder1_YH!G223="",G222, coder1_YH!G223)</f>
        <v>Berkeley， 2007</v>
      </c>
      <c r="H223" s="405" t="str">
        <f>clean_mod!I223</f>
        <v>2007</v>
      </c>
      <c r="I223" t="str">
        <f>clean_mod!G223</f>
        <v>141</v>
      </c>
      <c r="J223">
        <f>clean_mod!H223</f>
        <v>141</v>
      </c>
      <c r="K223">
        <f>IF(coder1_YH!P223="",K222, coder1_YH!P223)</f>
        <v>1</v>
      </c>
      <c r="L223" s="324" t="str">
        <f>IF(clean_mod!AF223="",L222,clean_mod!AF223)</f>
        <v xml:space="preserve">141-NTm </v>
      </c>
      <c r="M223" s="324" t="str">
        <f>IF(clean_mod!AG223="",M222,clean_mod!AG223)</f>
        <v>141-NT_R</v>
      </c>
      <c r="N223" s="372" t="str">
        <f t="shared" si="24"/>
        <v>141-ctl-99</v>
      </c>
      <c r="O223" s="372" t="str">
        <f t="shared" si="25"/>
        <v>141-1-99</v>
      </c>
      <c r="P223" s="369">
        <v>99</v>
      </c>
      <c r="Q223" s="369" t="str">
        <f>LEFT(coder1_YH!AK223,1)</f>
        <v>0</v>
      </c>
      <c r="R223" s="369" t="str">
        <f>LEFT(coder1_YH!AL223,1)</f>
        <v>0</v>
      </c>
      <c r="S223" s="369" t="str">
        <f>coder1_YH!AJ223</f>
        <v>Passage Specific Test - Total Score</v>
      </c>
      <c r="T223" s="370">
        <f>coder1_YH!AN223</f>
        <v>6.45</v>
      </c>
      <c r="U223" s="370">
        <f>coder1_YH!AO223</f>
        <v>2.2400000000000002</v>
      </c>
      <c r="V223" s="370">
        <f>coder1_YH!AP223</f>
        <v>22</v>
      </c>
      <c r="W223" s="370">
        <f>coder1_YH!AQ223</f>
        <v>8.86</v>
      </c>
      <c r="X223" s="370">
        <f>coder1_YH!AR223</f>
        <v>3.39</v>
      </c>
      <c r="Y223" s="370">
        <f>coder1_YH!AS223</f>
        <v>22</v>
      </c>
      <c r="Z223" s="371">
        <f t="shared" si="26"/>
        <v>5.81</v>
      </c>
      <c r="AA223" s="371">
        <f t="shared" si="27"/>
        <v>2.1800000000000002</v>
      </c>
      <c r="AB223" s="371">
        <f t="shared" si="28"/>
        <v>21</v>
      </c>
      <c r="AC223" s="371">
        <f t="shared" si="29"/>
        <v>8.24</v>
      </c>
      <c r="AD223" s="371">
        <f t="shared" si="30"/>
        <v>3.86</v>
      </c>
      <c r="AE223" s="371">
        <f t="shared" si="31"/>
        <v>21</v>
      </c>
    </row>
    <row r="224" spans="1:31" x14ac:dyDescent="0.2">
      <c r="A224">
        <f>coder1_YH!B224</f>
        <v>0</v>
      </c>
      <c r="B224">
        <f>coder1_YH!C224</f>
        <v>224</v>
      </c>
      <c r="C224">
        <f>coder1_YH!D224</f>
        <v>0</v>
      </c>
      <c r="D224" t="str">
        <f>coder1_YH!E224</f>
        <v/>
      </c>
      <c r="E224" t="b">
        <f>coder1_YH!F224</f>
        <v>1</v>
      </c>
      <c r="G224" t="str">
        <f>IF(coder1_YH!G224="",G223, coder1_YH!G224)</f>
        <v>Berkeley， 2007</v>
      </c>
      <c r="H224" s="405" t="str">
        <f>clean_mod!I224</f>
        <v>2007</v>
      </c>
      <c r="I224" t="str">
        <f>clean_mod!G224</f>
        <v>141</v>
      </c>
      <c r="J224">
        <f>clean_mod!H224</f>
        <v>141</v>
      </c>
      <c r="K224">
        <f>IF(coder1_YH!P224="",K223, coder1_YH!P224)</f>
        <v>2</v>
      </c>
      <c r="L224" s="324" t="str">
        <f>IF(clean_mod!AF224="",L223,clean_mod!AF224)</f>
        <v xml:space="preserve">141-Nm </v>
      </c>
      <c r="M224" s="324" t="str">
        <f>IF(clean_mod!AG224="",M223,clean_mod!AG224)</f>
        <v>141-N_R</v>
      </c>
      <c r="N224" s="372" t="str">
        <f t="shared" si="24"/>
        <v>141-ctl-96</v>
      </c>
      <c r="O224" s="372" t="str">
        <f t="shared" si="25"/>
        <v>141-2-96</v>
      </c>
      <c r="P224" s="369">
        <v>96</v>
      </c>
      <c r="Q224" s="369" t="str">
        <f>LEFT(coder1_YH!AK224,1)</f>
        <v>1</v>
      </c>
      <c r="R224" s="369" t="str">
        <f>LEFT(coder1_YH!AL224,1)</f>
        <v>0</v>
      </c>
      <c r="S224" s="369" t="str">
        <f>coder1_YH!AJ224</f>
        <v>Main Idea Test</v>
      </c>
      <c r="T224" s="370">
        <f>coder1_YH!AN224</f>
        <v>3.7</v>
      </c>
      <c r="U224" s="370">
        <f>coder1_YH!AO224</f>
        <v>1.73</v>
      </c>
      <c r="V224" s="370">
        <f>coder1_YH!AP224</f>
        <v>20</v>
      </c>
      <c r="W224" s="370">
        <f>coder1_YH!AQ224</f>
        <v>6.35</v>
      </c>
      <c r="X224" s="370">
        <f>coder1_YH!AR224</f>
        <v>1.78</v>
      </c>
      <c r="Y224" s="370">
        <f>coder1_YH!AS224</f>
        <v>20</v>
      </c>
      <c r="Z224" s="371">
        <f t="shared" si="26"/>
        <v>3.79</v>
      </c>
      <c r="AA224" s="371">
        <f t="shared" si="27"/>
        <v>1.61</v>
      </c>
      <c r="AB224" s="371">
        <f t="shared" si="28"/>
        <v>21</v>
      </c>
      <c r="AC224" s="371">
        <f t="shared" si="29"/>
        <v>4.93</v>
      </c>
      <c r="AD224" s="371">
        <f t="shared" si="30"/>
        <v>1.55</v>
      </c>
      <c r="AE224" s="371">
        <f t="shared" si="31"/>
        <v>21</v>
      </c>
    </row>
    <row r="225" spans="1:31" x14ac:dyDescent="0.2">
      <c r="A225">
        <f>coder1_YH!B225</f>
        <v>0</v>
      </c>
      <c r="B225">
        <f>coder1_YH!C225</f>
        <v>225</v>
      </c>
      <c r="C225">
        <f>coder1_YH!D225</f>
        <v>0</v>
      </c>
      <c r="D225" t="str">
        <f>coder1_YH!E225</f>
        <v/>
      </c>
      <c r="E225" t="str">
        <f>coder1_YH!F225</f>
        <v/>
      </c>
      <c r="G225" t="str">
        <f>IF(coder1_YH!G225="",G224, coder1_YH!G225)</f>
        <v>Berkeley， 2007</v>
      </c>
      <c r="H225" s="405" t="str">
        <f>clean_mod!I225</f>
        <v>2007</v>
      </c>
      <c r="I225" t="str">
        <f>clean_mod!G225</f>
        <v>141</v>
      </c>
      <c r="J225">
        <f>clean_mod!H225</f>
        <v>141</v>
      </c>
      <c r="K225">
        <f>IF(coder1_YH!P225="",K224, coder1_YH!P225)</f>
        <v>2</v>
      </c>
      <c r="L225" s="324" t="str">
        <f>IF(clean_mod!AF225="",L224,clean_mod!AF225)</f>
        <v xml:space="preserve">141-Nm </v>
      </c>
      <c r="M225" s="324" t="str">
        <f>IF(clean_mod!AG225="",M224,clean_mod!AG225)</f>
        <v>141-N_R</v>
      </c>
      <c r="N225" s="372" t="str">
        <f t="shared" si="24"/>
        <v>141-ctl-97</v>
      </c>
      <c r="O225" s="372" t="str">
        <f t="shared" si="25"/>
        <v>141-2-97</v>
      </c>
      <c r="P225" s="369">
        <v>97</v>
      </c>
      <c r="Q225" s="369" t="str">
        <f>LEFT(coder1_YH!AK225,1)</f>
        <v>0</v>
      </c>
      <c r="R225" s="369" t="str">
        <f>LEFT(coder1_YH!AL225,1)</f>
        <v>0</v>
      </c>
      <c r="S225" s="369" t="str">
        <f>coder1_YH!AJ225</f>
        <v>Passage Specific Test - Passage Production Subtest</v>
      </c>
      <c r="T225" s="370">
        <f>coder1_YH!AN225</f>
        <v>1.55</v>
      </c>
      <c r="U225" s="370">
        <f>coder1_YH!AO225</f>
        <v>1.4</v>
      </c>
      <c r="V225" s="370">
        <f>coder1_YH!AP225</f>
        <v>20</v>
      </c>
      <c r="W225" s="370">
        <f>coder1_YH!AQ225</f>
        <v>3</v>
      </c>
      <c r="X225" s="370">
        <f>coder1_YH!AR225</f>
        <v>2.1800000000000002</v>
      </c>
      <c r="Y225" s="370">
        <f>coder1_YH!AS225</f>
        <v>20</v>
      </c>
      <c r="Z225" s="371">
        <f t="shared" si="26"/>
        <v>1.71</v>
      </c>
      <c r="AA225" s="371">
        <f t="shared" si="27"/>
        <v>1.19</v>
      </c>
      <c r="AB225" s="371">
        <f t="shared" si="28"/>
        <v>21</v>
      </c>
      <c r="AC225" s="371">
        <f t="shared" si="29"/>
        <v>3.05</v>
      </c>
      <c r="AD225" s="371">
        <f t="shared" si="30"/>
        <v>2.11</v>
      </c>
      <c r="AE225" s="371">
        <f t="shared" si="31"/>
        <v>21</v>
      </c>
    </row>
    <row r="226" spans="1:31" x14ac:dyDescent="0.2">
      <c r="A226">
        <f>coder1_YH!B226</f>
        <v>0</v>
      </c>
      <c r="B226">
        <f>coder1_YH!C226</f>
        <v>226</v>
      </c>
      <c r="C226">
        <f>coder1_YH!D226</f>
        <v>0</v>
      </c>
      <c r="D226" t="str">
        <f>coder1_YH!E226</f>
        <v/>
      </c>
      <c r="E226" t="str">
        <f>coder1_YH!F226</f>
        <v/>
      </c>
      <c r="G226" t="str">
        <f>IF(coder1_YH!G226="",G225, coder1_YH!G226)</f>
        <v>Berkeley， 2007</v>
      </c>
      <c r="H226" s="405" t="str">
        <f>clean_mod!I226</f>
        <v>2007</v>
      </c>
      <c r="I226" t="str">
        <f>clean_mod!G226</f>
        <v>141</v>
      </c>
      <c r="J226">
        <f>clean_mod!H226</f>
        <v>141</v>
      </c>
      <c r="K226">
        <f>IF(coder1_YH!P226="",K225, coder1_YH!P226)</f>
        <v>2</v>
      </c>
      <c r="L226" s="324" t="str">
        <f>IF(clean_mod!AF226="",L225,clean_mod!AF226)</f>
        <v xml:space="preserve">141-Nm </v>
      </c>
      <c r="M226" s="324" t="str">
        <f>IF(clean_mod!AG226="",M225,clean_mod!AG226)</f>
        <v>141-N_R</v>
      </c>
      <c r="N226" s="372" t="str">
        <f t="shared" si="24"/>
        <v>141-ctl-98</v>
      </c>
      <c r="O226" s="372" t="str">
        <f t="shared" si="25"/>
        <v>141-2-98</v>
      </c>
      <c r="P226" s="369">
        <v>98</v>
      </c>
      <c r="Q226" s="369" t="str">
        <f>LEFT(coder1_YH!AK226,1)</f>
        <v>0</v>
      </c>
      <c r="R226" s="369" t="str">
        <f>LEFT(coder1_YH!AL226,1)</f>
        <v>0</v>
      </c>
      <c r="S226" s="369" t="str">
        <f>coder1_YH!AJ226</f>
        <v>Passage Specific Test - Passage Identification Subtest</v>
      </c>
      <c r="T226" s="370">
        <f>coder1_YH!AN226</f>
        <v>4.2</v>
      </c>
      <c r="U226" s="370">
        <f>coder1_YH!AO226</f>
        <v>1.44</v>
      </c>
      <c r="V226" s="370">
        <f>coder1_YH!AP226</f>
        <v>20</v>
      </c>
      <c r="W226" s="370">
        <f>coder1_YH!AQ226</f>
        <v>4.95</v>
      </c>
      <c r="X226" s="370">
        <f>coder1_YH!AR226</f>
        <v>1.79</v>
      </c>
      <c r="Y226" s="370">
        <f>coder1_YH!AS226</f>
        <v>20</v>
      </c>
      <c r="Z226" s="371">
        <f t="shared" si="26"/>
        <v>4.0999999999999996</v>
      </c>
      <c r="AA226" s="371">
        <f t="shared" si="27"/>
        <v>1.22</v>
      </c>
      <c r="AB226" s="371">
        <f t="shared" si="28"/>
        <v>21</v>
      </c>
      <c r="AC226" s="371">
        <f t="shared" si="29"/>
        <v>5.19</v>
      </c>
      <c r="AD226" s="371">
        <f t="shared" si="30"/>
        <v>2.02</v>
      </c>
      <c r="AE226" s="371">
        <f t="shared" si="31"/>
        <v>21</v>
      </c>
    </row>
    <row r="227" spans="1:31" x14ac:dyDescent="0.2">
      <c r="A227">
        <f>coder1_YH!B227</f>
        <v>0</v>
      </c>
      <c r="B227">
        <f>coder1_YH!C227</f>
        <v>227</v>
      </c>
      <c r="C227">
        <f>coder1_YH!D227</f>
        <v>0</v>
      </c>
      <c r="D227" t="str">
        <f>coder1_YH!E227</f>
        <v/>
      </c>
      <c r="E227" t="str">
        <f>coder1_YH!F227</f>
        <v/>
      </c>
      <c r="G227" t="str">
        <f>IF(coder1_YH!G227="",G226, coder1_YH!G227)</f>
        <v>Berkeley， 2007</v>
      </c>
      <c r="H227" s="405" t="str">
        <f>clean_mod!I227</f>
        <v>2007</v>
      </c>
      <c r="I227" t="str">
        <f>clean_mod!G227</f>
        <v>141</v>
      </c>
      <c r="J227">
        <f>clean_mod!H227</f>
        <v>141</v>
      </c>
      <c r="K227">
        <f>IF(coder1_YH!P227="",K226, coder1_YH!P227)</f>
        <v>2</v>
      </c>
      <c r="L227" s="324" t="str">
        <f>IF(clean_mod!AF227="",L226,clean_mod!AF227)</f>
        <v xml:space="preserve">141-Nm </v>
      </c>
      <c r="M227" s="324" t="str">
        <f>IF(clean_mod!AG227="",M226,clean_mod!AG227)</f>
        <v>141-N_R</v>
      </c>
      <c r="N227" s="372" t="str">
        <f t="shared" si="24"/>
        <v>141-ctl-99</v>
      </c>
      <c r="O227" s="372" t="str">
        <f t="shared" si="25"/>
        <v>141-2-99</v>
      </c>
      <c r="P227" s="369">
        <v>99</v>
      </c>
      <c r="Q227" s="369" t="str">
        <f>LEFT(coder1_YH!AK227,1)</f>
        <v>0</v>
      </c>
      <c r="R227" s="369" t="str">
        <f>LEFT(coder1_YH!AL227,1)</f>
        <v>0</v>
      </c>
      <c r="S227" s="369" t="str">
        <f>coder1_YH!AJ227</f>
        <v>Passage Specific Test - Total Score</v>
      </c>
      <c r="T227" s="370">
        <f>coder1_YH!AN227</f>
        <v>5.75</v>
      </c>
      <c r="U227" s="370">
        <f>coder1_YH!AO227</f>
        <v>2.2000000000000002</v>
      </c>
      <c r="V227" s="370">
        <f>coder1_YH!AP227</f>
        <v>20</v>
      </c>
      <c r="W227" s="370">
        <f>coder1_YH!AQ227</f>
        <v>7.95</v>
      </c>
      <c r="X227" s="370">
        <f>coder1_YH!AR227</f>
        <v>3.76</v>
      </c>
      <c r="Y227" s="370">
        <f>coder1_YH!AS227</f>
        <v>20</v>
      </c>
      <c r="Z227" s="371">
        <f t="shared" si="26"/>
        <v>5.81</v>
      </c>
      <c r="AA227" s="371">
        <f t="shared" si="27"/>
        <v>2.1800000000000002</v>
      </c>
      <c r="AB227" s="371">
        <f t="shared" si="28"/>
        <v>21</v>
      </c>
      <c r="AC227" s="371">
        <f t="shared" si="29"/>
        <v>8.24</v>
      </c>
      <c r="AD227" s="371">
        <f t="shared" si="30"/>
        <v>3.86</v>
      </c>
      <c r="AE227" s="371">
        <f t="shared" si="31"/>
        <v>21</v>
      </c>
    </row>
    <row r="228" spans="1:31" x14ac:dyDescent="0.2">
      <c r="A228">
        <f>coder1_YH!B228</f>
        <v>0</v>
      </c>
      <c r="B228">
        <f>coder1_YH!C228</f>
        <v>228</v>
      </c>
      <c r="C228">
        <f>coder1_YH!D228</f>
        <v>0</v>
      </c>
      <c r="D228" t="str">
        <f>coder1_YH!E228</f>
        <v/>
      </c>
      <c r="E228" t="b">
        <f>coder1_YH!F228</f>
        <v>1</v>
      </c>
      <c r="G228" t="str">
        <f>IF(coder1_YH!G228="",G227, coder1_YH!G228)</f>
        <v>Berkeley， 2007</v>
      </c>
      <c r="H228" s="405" t="str">
        <f>clean_mod!I228</f>
        <v>2007</v>
      </c>
      <c r="I228" t="str">
        <f>clean_mod!G228</f>
        <v>141</v>
      </c>
      <c r="J228">
        <f>clean_mod!H228</f>
        <v>141</v>
      </c>
      <c r="K228" t="str">
        <f>IF(coder1_YH!P228="",K227, coder1_YH!P228)</f>
        <v>ctl</v>
      </c>
      <c r="L228" s="324" t="str">
        <f>IF(clean_mod!AF228="",L227,clean_mod!AF228)</f>
        <v>141-.cm</v>
      </c>
      <c r="M228" s="324" t="str">
        <f>IF(clean_mod!AG228="",M227,clean_mod!AG228)</f>
        <v>141-R</v>
      </c>
      <c r="N228" s="372" t="str">
        <f t="shared" si="24"/>
        <v>141-ctl-96</v>
      </c>
      <c r="O228" s="372" t="str">
        <f t="shared" si="25"/>
        <v>141-ctl-96</v>
      </c>
      <c r="P228" s="369">
        <v>96</v>
      </c>
      <c r="Q228" s="369" t="str">
        <f>LEFT(coder1_YH!AK228,1)</f>
        <v>1</v>
      </c>
      <c r="R228" s="369" t="str">
        <f>LEFT(coder1_YH!AL228,1)</f>
        <v>0</v>
      </c>
      <c r="S228" s="369" t="str">
        <f>coder1_YH!AJ228</f>
        <v>Main Idea Test</v>
      </c>
      <c r="T228" s="370">
        <f>coder1_YH!AN228</f>
        <v>3.79</v>
      </c>
      <c r="U228" s="370">
        <f>coder1_YH!AO228</f>
        <v>1.61</v>
      </c>
      <c r="V228" s="370">
        <f>coder1_YH!AP228</f>
        <v>21</v>
      </c>
      <c r="W228" s="370">
        <f>coder1_YH!AQ228</f>
        <v>4.93</v>
      </c>
      <c r="X228" s="370">
        <f>coder1_YH!AR228</f>
        <v>1.55</v>
      </c>
      <c r="Y228" s="370">
        <f>coder1_YH!AS228</f>
        <v>21</v>
      </c>
      <c r="Z228" s="371">
        <f t="shared" si="26"/>
        <v>3.79</v>
      </c>
      <c r="AA228" s="371">
        <f t="shared" si="27"/>
        <v>1.61</v>
      </c>
      <c r="AB228" s="371">
        <f t="shared" si="28"/>
        <v>21</v>
      </c>
      <c r="AC228" s="371">
        <f t="shared" si="29"/>
        <v>4.93</v>
      </c>
      <c r="AD228" s="371">
        <f t="shared" si="30"/>
        <v>1.55</v>
      </c>
      <c r="AE228" s="371">
        <f t="shared" si="31"/>
        <v>21</v>
      </c>
    </row>
    <row r="229" spans="1:31" x14ac:dyDescent="0.2">
      <c r="A229">
        <f>coder1_YH!B229</f>
        <v>0</v>
      </c>
      <c r="B229">
        <f>coder1_YH!C229</f>
        <v>229</v>
      </c>
      <c r="C229">
        <f>coder1_YH!D229</f>
        <v>0</v>
      </c>
      <c r="D229" t="str">
        <f>coder1_YH!E229</f>
        <v/>
      </c>
      <c r="E229" t="str">
        <f>coder1_YH!F229</f>
        <v/>
      </c>
      <c r="G229" t="str">
        <f>IF(coder1_YH!G229="",G228, coder1_YH!G229)</f>
        <v>Berkeley， 2007</v>
      </c>
      <c r="H229" s="405" t="str">
        <f>clean_mod!I229</f>
        <v>2007</v>
      </c>
      <c r="I229" t="str">
        <f>clean_mod!G229</f>
        <v>141</v>
      </c>
      <c r="J229">
        <f>clean_mod!H229</f>
        <v>141</v>
      </c>
      <c r="K229" t="str">
        <f>IF(coder1_YH!P229="",K228, coder1_YH!P229)</f>
        <v>ctl</v>
      </c>
      <c r="L229" s="324" t="str">
        <f>IF(clean_mod!AF229="",L228,clean_mod!AF229)</f>
        <v>141-.cm</v>
      </c>
      <c r="M229" s="324" t="str">
        <f>IF(clean_mod!AG229="",M228,clean_mod!AG229)</f>
        <v>141-R</v>
      </c>
      <c r="N229" s="372" t="str">
        <f t="shared" si="24"/>
        <v>141-ctl-97</v>
      </c>
      <c r="O229" s="372" t="str">
        <f t="shared" si="25"/>
        <v>141-ctl-97</v>
      </c>
      <c r="P229" s="369">
        <v>97</v>
      </c>
      <c r="Q229" s="369" t="str">
        <f>LEFT(coder1_YH!AK229,1)</f>
        <v>0</v>
      </c>
      <c r="R229" s="369" t="str">
        <f>LEFT(coder1_YH!AL229,1)</f>
        <v>0</v>
      </c>
      <c r="S229" s="369" t="str">
        <f>coder1_YH!AJ229</f>
        <v>Passage Specific Test - Passage Production Subtest</v>
      </c>
      <c r="T229" s="370">
        <f>coder1_YH!AN229</f>
        <v>1.71</v>
      </c>
      <c r="U229" s="370">
        <f>coder1_YH!AO229</f>
        <v>1.19</v>
      </c>
      <c r="V229" s="370">
        <f>coder1_YH!AP229</f>
        <v>21</v>
      </c>
      <c r="W229" s="370">
        <f>coder1_YH!AQ229</f>
        <v>3.05</v>
      </c>
      <c r="X229" s="370">
        <f>coder1_YH!AR229</f>
        <v>2.11</v>
      </c>
      <c r="Y229" s="370">
        <f>coder1_YH!AS229</f>
        <v>21</v>
      </c>
      <c r="Z229" s="371">
        <f t="shared" si="26"/>
        <v>1.71</v>
      </c>
      <c r="AA229" s="371">
        <f t="shared" si="27"/>
        <v>1.19</v>
      </c>
      <c r="AB229" s="371">
        <f t="shared" si="28"/>
        <v>21</v>
      </c>
      <c r="AC229" s="371">
        <f t="shared" si="29"/>
        <v>3.05</v>
      </c>
      <c r="AD229" s="371">
        <f t="shared" si="30"/>
        <v>2.11</v>
      </c>
      <c r="AE229" s="371">
        <f t="shared" si="31"/>
        <v>21</v>
      </c>
    </row>
    <row r="230" spans="1:31" x14ac:dyDescent="0.2">
      <c r="A230">
        <f>coder1_YH!B230</f>
        <v>0</v>
      </c>
      <c r="B230">
        <f>coder1_YH!C230</f>
        <v>230</v>
      </c>
      <c r="C230">
        <f>coder1_YH!D230</f>
        <v>0</v>
      </c>
      <c r="D230" t="str">
        <f>coder1_YH!E230</f>
        <v/>
      </c>
      <c r="E230" t="str">
        <f>coder1_YH!F230</f>
        <v/>
      </c>
      <c r="G230" t="str">
        <f>IF(coder1_YH!G230="",G229, coder1_YH!G230)</f>
        <v>Berkeley， 2007</v>
      </c>
      <c r="H230" s="405" t="str">
        <f>clean_mod!I230</f>
        <v>2007</v>
      </c>
      <c r="I230" t="str">
        <f>clean_mod!G230</f>
        <v>141</v>
      </c>
      <c r="J230">
        <f>clean_mod!H230</f>
        <v>141</v>
      </c>
      <c r="K230" t="str">
        <f>IF(coder1_YH!P230="",K229, coder1_YH!P230)</f>
        <v>ctl</v>
      </c>
      <c r="L230" s="324" t="str">
        <f>IF(clean_mod!AF230="",L229,clean_mod!AF230)</f>
        <v>141-.cm</v>
      </c>
      <c r="M230" s="324" t="str">
        <f>IF(clean_mod!AG230="",M229,clean_mod!AG230)</f>
        <v>141-R</v>
      </c>
      <c r="N230" s="372" t="str">
        <f t="shared" si="24"/>
        <v>141-ctl-98</v>
      </c>
      <c r="O230" s="372" t="str">
        <f t="shared" si="25"/>
        <v>141-ctl-98</v>
      </c>
      <c r="P230" s="369">
        <v>98</v>
      </c>
      <c r="Q230" s="369" t="str">
        <f>LEFT(coder1_YH!AK230,1)</f>
        <v>0</v>
      </c>
      <c r="R230" s="369" t="str">
        <f>LEFT(coder1_YH!AL230,1)</f>
        <v>0</v>
      </c>
      <c r="S230" s="369" t="str">
        <f>coder1_YH!AJ230</f>
        <v>Passage Specific Test - Passage Identification Subtest</v>
      </c>
      <c r="T230" s="370">
        <f>coder1_YH!AN230</f>
        <v>4.0999999999999996</v>
      </c>
      <c r="U230" s="370">
        <f>coder1_YH!AO230</f>
        <v>1.22</v>
      </c>
      <c r="V230" s="370">
        <f>coder1_YH!AP230</f>
        <v>21</v>
      </c>
      <c r="W230" s="370">
        <f>coder1_YH!AQ230</f>
        <v>5.19</v>
      </c>
      <c r="X230" s="370">
        <f>coder1_YH!AR230</f>
        <v>2.02</v>
      </c>
      <c r="Y230" s="370">
        <f>coder1_YH!AS230</f>
        <v>21</v>
      </c>
      <c r="Z230" s="371">
        <f t="shared" si="26"/>
        <v>4.0999999999999996</v>
      </c>
      <c r="AA230" s="371">
        <f t="shared" si="27"/>
        <v>1.22</v>
      </c>
      <c r="AB230" s="371">
        <f t="shared" si="28"/>
        <v>21</v>
      </c>
      <c r="AC230" s="371">
        <f t="shared" si="29"/>
        <v>5.19</v>
      </c>
      <c r="AD230" s="371">
        <f t="shared" si="30"/>
        <v>2.02</v>
      </c>
      <c r="AE230" s="371">
        <f t="shared" si="31"/>
        <v>21</v>
      </c>
    </row>
    <row r="231" spans="1:31" x14ac:dyDescent="0.2">
      <c r="A231">
        <f>coder1_YH!B231</f>
        <v>0</v>
      </c>
      <c r="B231">
        <f>coder1_YH!C231</f>
        <v>231</v>
      </c>
      <c r="C231">
        <f>coder1_YH!D231</f>
        <v>0</v>
      </c>
      <c r="D231" t="str">
        <f>coder1_YH!E231</f>
        <v/>
      </c>
      <c r="E231" t="str">
        <f>coder1_YH!F231</f>
        <v/>
      </c>
      <c r="G231" t="str">
        <f>IF(coder1_YH!G231="",G230, coder1_YH!G231)</f>
        <v>Berkeley， 2007</v>
      </c>
      <c r="H231" s="405" t="str">
        <f>clean_mod!I231</f>
        <v>2007</v>
      </c>
      <c r="I231" t="str">
        <f>clean_mod!G231</f>
        <v>141</v>
      </c>
      <c r="J231">
        <f>clean_mod!H231</f>
        <v>141</v>
      </c>
      <c r="K231" t="str">
        <f>IF(coder1_YH!P231="",K230, coder1_YH!P231)</f>
        <v>ctl</v>
      </c>
      <c r="L231" s="324" t="str">
        <f>IF(clean_mod!AF231="",L230,clean_mod!AF231)</f>
        <v>141-.cm</v>
      </c>
      <c r="M231" s="324" t="str">
        <f>IF(clean_mod!AG231="",M230,clean_mod!AG231)</f>
        <v>141-R</v>
      </c>
      <c r="N231" s="372" t="str">
        <f t="shared" si="24"/>
        <v>141-ctl-99</v>
      </c>
      <c r="O231" s="372" t="str">
        <f t="shared" si="25"/>
        <v>141-ctl-99</v>
      </c>
      <c r="P231" s="369">
        <v>99</v>
      </c>
      <c r="Q231" s="369" t="str">
        <f>LEFT(coder1_YH!AK231,1)</f>
        <v>0</v>
      </c>
      <c r="R231" s="369" t="str">
        <f>LEFT(coder1_YH!AL231,1)</f>
        <v>0</v>
      </c>
      <c r="S231" s="369" t="str">
        <f>coder1_YH!AJ231</f>
        <v>Passage Specific Test - Total Score</v>
      </c>
      <c r="T231" s="370">
        <f>coder1_YH!AN231</f>
        <v>5.81</v>
      </c>
      <c r="U231" s="370">
        <f>coder1_YH!AO231</f>
        <v>2.1800000000000002</v>
      </c>
      <c r="V231" s="370">
        <f>coder1_YH!AP231</f>
        <v>21</v>
      </c>
      <c r="W231" s="370">
        <f>coder1_YH!AQ231</f>
        <v>8.24</v>
      </c>
      <c r="X231" s="370">
        <f>coder1_YH!AR231</f>
        <v>3.86</v>
      </c>
      <c r="Y231" s="370">
        <f>coder1_YH!AS231</f>
        <v>21</v>
      </c>
      <c r="Z231" s="371">
        <f t="shared" si="26"/>
        <v>5.81</v>
      </c>
      <c r="AA231" s="371">
        <f t="shared" si="27"/>
        <v>2.1800000000000002</v>
      </c>
      <c r="AB231" s="371">
        <f t="shared" si="28"/>
        <v>21</v>
      </c>
      <c r="AC231" s="371">
        <f t="shared" si="29"/>
        <v>8.24</v>
      </c>
      <c r="AD231" s="371">
        <f t="shared" si="30"/>
        <v>3.86</v>
      </c>
      <c r="AE231" s="371">
        <f t="shared" si="31"/>
        <v>21</v>
      </c>
    </row>
    <row r="232" spans="1:31" x14ac:dyDescent="0.2">
      <c r="A232">
        <f>coder1_YH!B232</f>
        <v>0</v>
      </c>
      <c r="B232">
        <f>coder1_YH!C232</f>
        <v>232</v>
      </c>
      <c r="C232" t="b">
        <f>coder1_YH!D232</f>
        <v>1</v>
      </c>
      <c r="D232" t="b">
        <f>coder1_YH!E232</f>
        <v>1</v>
      </c>
      <c r="E232" t="b">
        <f>coder1_YH!F232</f>
        <v>1</v>
      </c>
      <c r="G232" t="str">
        <f>IF(coder1_YH!G232="",G231, coder1_YH!G232)</f>
        <v>Chan， 1996</v>
      </c>
      <c r="H232" s="405" t="str">
        <f>clean_mod!I232</f>
        <v>1996</v>
      </c>
      <c r="I232" t="str">
        <f>clean_mod!G232</f>
        <v>142</v>
      </c>
      <c r="J232">
        <f>clean_mod!H232</f>
        <v>142.1</v>
      </c>
      <c r="K232">
        <f>IF(coder1_YH!P232="",K231, coder1_YH!P232)</f>
        <v>1</v>
      </c>
      <c r="L232" s="324" t="str">
        <f>IF(clean_mod!AF232="",L231,clean_mod!AF232)</f>
        <v xml:space="preserve">142.1-Tm </v>
      </c>
      <c r="M232" s="324" t="str">
        <f>IF(clean_mod!AG232="",M231,clean_mod!AG232)</f>
        <v>142.1-T_R</v>
      </c>
      <c r="N232" s="372" t="str">
        <f t="shared" si="24"/>
        <v>142-ctl-100</v>
      </c>
      <c r="O232" s="372" t="str">
        <f t="shared" si="25"/>
        <v>142-1-100</v>
      </c>
      <c r="P232" s="369">
        <v>100</v>
      </c>
      <c r="Q232" s="369" t="str">
        <f>LEFT(coder1_YH!AK232,1)</f>
        <v>0</v>
      </c>
      <c r="R232" s="369" t="str">
        <f>LEFT(coder1_YH!AL232,1)</f>
        <v>1</v>
      </c>
      <c r="S232" s="369" t="str">
        <f>coder1_YH!AJ232</f>
        <v>reading comprehension</v>
      </c>
      <c r="T232" s="370">
        <f>coder1_YH!AN232</f>
        <v>4.18</v>
      </c>
      <c r="U232" s="370">
        <f>coder1_YH!AO232</f>
        <v>2.6</v>
      </c>
      <c r="V232" s="370">
        <f>coder1_YH!AP232</f>
        <v>11</v>
      </c>
      <c r="W232" s="370">
        <f>coder1_YH!AQ232</f>
        <v>8.18</v>
      </c>
      <c r="X232" s="370">
        <f>coder1_YH!AR232</f>
        <v>1.72</v>
      </c>
      <c r="Y232" s="370">
        <f>coder1_YH!AS232</f>
        <v>11</v>
      </c>
      <c r="Z232" s="371">
        <f t="shared" si="26"/>
        <v>4.4400000000000004</v>
      </c>
      <c r="AA232" s="371">
        <f t="shared" si="27"/>
        <v>2.92</v>
      </c>
      <c r="AB232" s="371">
        <f t="shared" si="28"/>
        <v>9</v>
      </c>
      <c r="AC232" s="371">
        <f t="shared" si="29"/>
        <v>4.5599999999999996</v>
      </c>
      <c r="AD232" s="371">
        <f t="shared" si="30"/>
        <v>2.0099999999999998</v>
      </c>
      <c r="AE232" s="371">
        <f t="shared" si="31"/>
        <v>9</v>
      </c>
    </row>
    <row r="233" spans="1:31" x14ac:dyDescent="0.2">
      <c r="A233">
        <f>coder1_YH!B233</f>
        <v>0</v>
      </c>
      <c r="B233">
        <f>coder1_YH!C233</f>
        <v>233</v>
      </c>
      <c r="C233">
        <f>coder1_YH!D233</f>
        <v>0</v>
      </c>
      <c r="D233" t="str">
        <f>coder1_YH!E233</f>
        <v/>
      </c>
      <c r="E233" t="b">
        <f>coder1_YH!F233</f>
        <v>1</v>
      </c>
      <c r="G233" t="str">
        <f>IF(coder1_YH!G233="",G232, coder1_YH!G233)</f>
        <v>Chan， 1996</v>
      </c>
      <c r="H233" s="405" t="str">
        <f>clean_mod!I233</f>
        <v>1996</v>
      </c>
      <c r="I233" t="str">
        <f>clean_mod!G233</f>
        <v>142</v>
      </c>
      <c r="J233">
        <f>clean_mod!H233</f>
        <v>142.1</v>
      </c>
      <c r="K233">
        <f>IF(coder1_YH!P233="",K232, coder1_YH!P233)</f>
        <v>2</v>
      </c>
      <c r="L233" s="324" t="str">
        <f>IF(clean_mod!AF233="",L232,clean_mod!AF233)</f>
        <v xml:space="preserve">142.1-Tm </v>
      </c>
      <c r="M233" s="324" t="str">
        <f>IF(clean_mod!AG233="",M232,clean_mod!AG233)</f>
        <v>142.1-T_R</v>
      </c>
      <c r="N233" s="372" t="str">
        <f t="shared" si="24"/>
        <v>142-ctl-100</v>
      </c>
      <c r="O233" s="372" t="str">
        <f t="shared" si="25"/>
        <v>142-2-100</v>
      </c>
      <c r="P233" s="369">
        <v>100</v>
      </c>
      <c r="Q233" s="369" t="str">
        <f>LEFT(coder1_YH!AK233,1)</f>
        <v>0</v>
      </c>
      <c r="R233" s="369" t="str">
        <f>LEFT(coder1_YH!AL233,1)</f>
        <v>1</v>
      </c>
      <c r="S233" s="369" t="str">
        <f>coder1_YH!AJ233</f>
        <v>reading comprehension</v>
      </c>
      <c r="T233" s="370">
        <f>coder1_YH!AN233</f>
        <v>4.38</v>
      </c>
      <c r="U233" s="370">
        <f>coder1_YH!AO233</f>
        <v>2.5</v>
      </c>
      <c r="V233" s="370">
        <f>coder1_YH!AP233</f>
        <v>9</v>
      </c>
      <c r="W233" s="370">
        <f>coder1_YH!AQ233</f>
        <v>4.88</v>
      </c>
      <c r="X233" s="370">
        <f>coder1_YH!AR233</f>
        <v>3.52</v>
      </c>
      <c r="Y233" s="370">
        <f>coder1_YH!AS233</f>
        <v>9</v>
      </c>
      <c r="Z233" s="371">
        <f t="shared" si="26"/>
        <v>4.4400000000000004</v>
      </c>
      <c r="AA233" s="371">
        <f t="shared" si="27"/>
        <v>2.92</v>
      </c>
      <c r="AB233" s="371">
        <f t="shared" si="28"/>
        <v>9</v>
      </c>
      <c r="AC233" s="371">
        <f t="shared" si="29"/>
        <v>4.5599999999999996</v>
      </c>
      <c r="AD233" s="371">
        <f t="shared" si="30"/>
        <v>2.0099999999999998</v>
      </c>
      <c r="AE233" s="371">
        <f t="shared" si="31"/>
        <v>9</v>
      </c>
    </row>
    <row r="234" spans="1:31" x14ac:dyDescent="0.2">
      <c r="A234" t="str">
        <f>coder1_YH!B234</f>
        <v>EX</v>
      </c>
      <c r="B234">
        <f>coder1_YH!C234</f>
        <v>234</v>
      </c>
      <c r="C234">
        <f>coder1_YH!D234</f>
        <v>0</v>
      </c>
      <c r="D234" t="str">
        <f>coder1_YH!E234</f>
        <v/>
      </c>
      <c r="E234" t="b">
        <f>coder1_YH!F234</f>
        <v>1</v>
      </c>
      <c r="G234" t="str">
        <f>IF(coder1_YH!G234="",G233, coder1_YH!G234)</f>
        <v>Chan， 1996</v>
      </c>
      <c r="H234" s="405" t="str">
        <f>clean_mod!I234</f>
        <v>1996</v>
      </c>
      <c r="I234" t="str">
        <f>clean_mod!G234</f>
        <v>142</v>
      </c>
      <c r="J234">
        <f>clean_mod!H234</f>
        <v>142.1</v>
      </c>
      <c r="K234" t="str">
        <f>IF(coder1_YH!P234="",K233, coder1_YH!P234)</f>
        <v>EX</v>
      </c>
      <c r="L234" s="324" t="str">
        <f>IF(clean_mod!AF234="",L233,clean_mod!AF234)</f>
        <v>142.1-EX_M_onlyEX_M_only</v>
      </c>
      <c r="M234" s="324" t="str">
        <f>IF(clean_mod!AG234="",M233,clean_mod!AG234)</f>
        <v>142.1-EX_M_only_R</v>
      </c>
      <c r="N234" s="372" t="str">
        <f t="shared" si="24"/>
        <v>142-ctl-100</v>
      </c>
      <c r="O234" s="372" t="str">
        <f t="shared" si="25"/>
        <v>142-EX-100</v>
      </c>
      <c r="P234" s="369">
        <v>100</v>
      </c>
      <c r="Q234" s="369" t="str">
        <f>LEFT(coder1_YH!AK234,1)</f>
        <v>0</v>
      </c>
      <c r="R234" s="369" t="str">
        <f>LEFT(coder1_YH!AL234,1)</f>
        <v>1</v>
      </c>
      <c r="S234" s="369" t="str">
        <f>coder1_YH!AJ234</f>
        <v>reading comprehension</v>
      </c>
      <c r="T234" s="370">
        <f>coder1_YH!AN234</f>
        <v>4.55</v>
      </c>
      <c r="U234" s="370">
        <f>coder1_YH!AO234</f>
        <v>3.27</v>
      </c>
      <c r="V234" s="370">
        <f>coder1_YH!AP234</f>
        <v>11</v>
      </c>
      <c r="W234" s="370">
        <f>coder1_YH!AQ234</f>
        <v>4.09</v>
      </c>
      <c r="X234" s="370">
        <f>coder1_YH!AR234</f>
        <v>3.11</v>
      </c>
      <c r="Y234" s="370">
        <f>coder1_YH!AS234</f>
        <v>11</v>
      </c>
      <c r="Z234" s="371">
        <f t="shared" si="26"/>
        <v>4.4400000000000004</v>
      </c>
      <c r="AA234" s="371">
        <f t="shared" si="27"/>
        <v>2.92</v>
      </c>
      <c r="AB234" s="371">
        <f t="shared" si="28"/>
        <v>9</v>
      </c>
      <c r="AC234" s="371">
        <f t="shared" si="29"/>
        <v>4.5599999999999996</v>
      </c>
      <c r="AD234" s="371">
        <f t="shared" si="30"/>
        <v>2.0099999999999998</v>
      </c>
      <c r="AE234" s="371">
        <f t="shared" si="31"/>
        <v>9</v>
      </c>
    </row>
    <row r="235" spans="1:31" x14ac:dyDescent="0.2">
      <c r="A235">
        <f>coder1_YH!B235</f>
        <v>0</v>
      </c>
      <c r="B235">
        <f>coder1_YH!C235</f>
        <v>235</v>
      </c>
      <c r="C235">
        <f>coder1_YH!D235</f>
        <v>0</v>
      </c>
      <c r="D235" t="str">
        <f>coder1_YH!E235</f>
        <v/>
      </c>
      <c r="E235" t="b">
        <f>coder1_YH!F235</f>
        <v>1</v>
      </c>
      <c r="G235" t="str">
        <f>IF(coder1_YH!G235="",G234, coder1_YH!G235)</f>
        <v>Chan， 1996</v>
      </c>
      <c r="H235" s="405" t="str">
        <f>clean_mod!I235</f>
        <v>1996</v>
      </c>
      <c r="I235" t="str">
        <f>clean_mod!G235</f>
        <v>142</v>
      </c>
      <c r="J235">
        <f>clean_mod!H235</f>
        <v>142.1</v>
      </c>
      <c r="K235" t="str">
        <f>IF(coder1_YH!P235="",K234, coder1_YH!P235)</f>
        <v>ctl</v>
      </c>
      <c r="L235" s="324" t="str">
        <f>IF(clean_mod!AF235="",L234,clean_mod!AF235)</f>
        <v xml:space="preserve">142.1-.m </v>
      </c>
      <c r="M235" s="324" t="str">
        <f>IF(clean_mod!AG235="",M234,clean_mod!AG235)</f>
        <v>142.1-R</v>
      </c>
      <c r="N235" s="372" t="str">
        <f t="shared" si="24"/>
        <v>142-ctl-100</v>
      </c>
      <c r="O235" s="372" t="str">
        <f t="shared" si="25"/>
        <v>142-ctl-100</v>
      </c>
      <c r="P235" s="369">
        <v>100</v>
      </c>
      <c r="Q235" s="369" t="str">
        <f>LEFT(coder1_YH!AK235,1)</f>
        <v>0</v>
      </c>
      <c r="R235" s="369" t="str">
        <f>LEFT(coder1_YH!AL235,1)</f>
        <v>1</v>
      </c>
      <c r="S235" s="369" t="str">
        <f>coder1_YH!AJ235</f>
        <v>reading comprehension</v>
      </c>
      <c r="T235" s="370">
        <f>coder1_YH!AN235</f>
        <v>4.4400000000000004</v>
      </c>
      <c r="U235" s="370">
        <f>coder1_YH!AO235</f>
        <v>2.92</v>
      </c>
      <c r="V235" s="370">
        <f>coder1_YH!AP235</f>
        <v>9</v>
      </c>
      <c r="W235" s="370">
        <f>coder1_YH!AQ235</f>
        <v>4.5599999999999996</v>
      </c>
      <c r="X235" s="370">
        <f>coder1_YH!AR235</f>
        <v>2.0099999999999998</v>
      </c>
      <c r="Y235" s="370">
        <f>coder1_YH!AS235</f>
        <v>9</v>
      </c>
      <c r="Z235" s="371">
        <f t="shared" si="26"/>
        <v>4.4400000000000004</v>
      </c>
      <c r="AA235" s="371">
        <f t="shared" si="27"/>
        <v>2.92</v>
      </c>
      <c r="AB235" s="371">
        <f t="shared" si="28"/>
        <v>9</v>
      </c>
      <c r="AC235" s="371">
        <f t="shared" si="29"/>
        <v>4.5599999999999996</v>
      </c>
      <c r="AD235" s="371">
        <f t="shared" si="30"/>
        <v>2.0099999999999998</v>
      </c>
      <c r="AE235" s="371">
        <f t="shared" si="31"/>
        <v>9</v>
      </c>
    </row>
    <row r="236" spans="1:31" x14ac:dyDescent="0.2">
      <c r="A236">
        <f>coder1_YH!B236</f>
        <v>0</v>
      </c>
      <c r="B236">
        <f>coder1_YH!C236</f>
        <v>236</v>
      </c>
      <c r="C236">
        <f>coder1_YH!D236</f>
        <v>0</v>
      </c>
      <c r="D236" t="b">
        <f>coder1_YH!E236</f>
        <v>1</v>
      </c>
      <c r="E236" t="b">
        <f>coder1_YH!F236</f>
        <v>1</v>
      </c>
      <c r="G236" t="str">
        <f>IF(coder1_YH!G236="",G235, coder1_YH!G236)</f>
        <v>Chan， 1996</v>
      </c>
      <c r="H236" s="405" t="str">
        <f>clean_mod!I236</f>
        <v>1996</v>
      </c>
      <c r="I236" t="str">
        <f>clean_mod!G236</f>
        <v>142</v>
      </c>
      <c r="J236">
        <f>clean_mod!H236</f>
        <v>142.19999999999999</v>
      </c>
      <c r="K236">
        <f>IF(coder1_YH!P236="",K235, coder1_YH!P236)</f>
        <v>1</v>
      </c>
      <c r="L236" s="324" t="str">
        <f>IF(clean_mod!AF236="",L235,clean_mod!AF236)</f>
        <v xml:space="preserve">142.2-Tm </v>
      </c>
      <c r="M236" s="324" t="str">
        <f>IF(clean_mod!AG236="",M235,clean_mod!AG236)</f>
        <v>142.2-T_R</v>
      </c>
      <c r="N236" s="372" t="str">
        <f t="shared" si="24"/>
        <v>142-ctl-101</v>
      </c>
      <c r="O236" s="372" t="str">
        <f t="shared" si="25"/>
        <v>142-1-101</v>
      </c>
      <c r="P236" s="369">
        <v>101</v>
      </c>
      <c r="Q236" s="369" t="str">
        <f>LEFT(coder1_YH!AK236,1)</f>
        <v>0</v>
      </c>
      <c r="R236" s="369" t="str">
        <f>LEFT(coder1_YH!AL236,1)</f>
        <v>1</v>
      </c>
      <c r="S236" s="369" t="str">
        <f>coder1_YH!AJ236</f>
        <v>reading comprehension</v>
      </c>
      <c r="T236" s="370">
        <f>coder1_YH!AN236</f>
        <v>7.94</v>
      </c>
      <c r="U236" s="370">
        <f>coder1_YH!AO236</f>
        <v>2.78</v>
      </c>
      <c r="V236" s="370">
        <f>coder1_YH!AP236</f>
        <v>18</v>
      </c>
      <c r="W236" s="370">
        <f>coder1_YH!AQ236</f>
        <v>9.56</v>
      </c>
      <c r="X236" s="370">
        <f>coder1_YH!AR236</f>
        <v>2.33</v>
      </c>
      <c r="Y236" s="370">
        <f>coder1_YH!AS236</f>
        <v>18</v>
      </c>
      <c r="Z236" s="371">
        <f t="shared" si="26"/>
        <v>8.1999999999999993</v>
      </c>
      <c r="AA236" s="371">
        <f t="shared" si="27"/>
        <v>1.97</v>
      </c>
      <c r="AB236" s="371">
        <f t="shared" si="28"/>
        <v>15</v>
      </c>
      <c r="AC236" s="371">
        <f t="shared" si="29"/>
        <v>8.8000000000000007</v>
      </c>
      <c r="AD236" s="371">
        <f t="shared" si="30"/>
        <v>2.0099999999999998</v>
      </c>
      <c r="AE236" s="371">
        <f t="shared" si="31"/>
        <v>15</v>
      </c>
    </row>
    <row r="237" spans="1:31" x14ac:dyDescent="0.2">
      <c r="A237">
        <f>coder1_YH!B237</f>
        <v>0</v>
      </c>
      <c r="B237">
        <f>coder1_YH!C237</f>
        <v>237</v>
      </c>
      <c r="C237">
        <f>coder1_YH!D237</f>
        <v>0</v>
      </c>
      <c r="D237" t="str">
        <f>coder1_YH!E237</f>
        <v/>
      </c>
      <c r="E237" t="b">
        <f>coder1_YH!F237</f>
        <v>1</v>
      </c>
      <c r="G237" t="str">
        <f>IF(coder1_YH!G237="",G236, coder1_YH!G237)</f>
        <v>Chan， 1996</v>
      </c>
      <c r="H237" s="405" t="str">
        <f>clean_mod!I237</f>
        <v>1996</v>
      </c>
      <c r="I237" t="str">
        <f>clean_mod!G237</f>
        <v>142</v>
      </c>
      <c r="J237">
        <f>clean_mod!H237</f>
        <v>142.19999999999999</v>
      </c>
      <c r="K237">
        <f>IF(coder1_YH!P237="",K236, coder1_YH!P237)</f>
        <v>2</v>
      </c>
      <c r="L237" s="324" t="str">
        <f>IF(clean_mod!AF237="",L236,clean_mod!AF237)</f>
        <v xml:space="preserve">142.2-Tm </v>
      </c>
      <c r="M237" s="324" t="str">
        <f>IF(clean_mod!AG237="",M236,clean_mod!AG237)</f>
        <v>142.2-T_R</v>
      </c>
      <c r="N237" s="372" t="str">
        <f t="shared" si="24"/>
        <v>142-ctl-101</v>
      </c>
      <c r="O237" s="372" t="str">
        <f t="shared" si="25"/>
        <v>142-2-101</v>
      </c>
      <c r="P237" s="369">
        <v>101</v>
      </c>
      <c r="Q237" s="369" t="str">
        <f>LEFT(coder1_YH!AK237,1)</f>
        <v>0</v>
      </c>
      <c r="R237" s="369" t="str">
        <f>LEFT(coder1_YH!AL237,1)</f>
        <v>1</v>
      </c>
      <c r="S237" s="369" t="str">
        <f>coder1_YH!AJ237</f>
        <v>reading comprehension</v>
      </c>
      <c r="T237" s="370">
        <f>coder1_YH!AN237</f>
        <v>7.91</v>
      </c>
      <c r="U237" s="370">
        <f>coder1_YH!AO237</f>
        <v>2.12</v>
      </c>
      <c r="V237" s="370">
        <f>coder1_YH!AP237</f>
        <v>11</v>
      </c>
      <c r="W237" s="370">
        <f>coder1_YH!AQ237</f>
        <v>9.73</v>
      </c>
      <c r="X237" s="370">
        <f>coder1_YH!AR237</f>
        <v>1.62</v>
      </c>
      <c r="Y237" s="370">
        <f>coder1_YH!AS237</f>
        <v>11</v>
      </c>
      <c r="Z237" s="371">
        <f t="shared" si="26"/>
        <v>8.1999999999999993</v>
      </c>
      <c r="AA237" s="371">
        <f t="shared" si="27"/>
        <v>1.97</v>
      </c>
      <c r="AB237" s="371">
        <f t="shared" si="28"/>
        <v>15</v>
      </c>
      <c r="AC237" s="371">
        <f t="shared" si="29"/>
        <v>8.8000000000000007</v>
      </c>
      <c r="AD237" s="371">
        <f t="shared" si="30"/>
        <v>2.0099999999999998</v>
      </c>
      <c r="AE237" s="371">
        <f t="shared" si="31"/>
        <v>15</v>
      </c>
    </row>
    <row r="238" spans="1:31" x14ac:dyDescent="0.2">
      <c r="A238" t="str">
        <f>coder1_YH!B238</f>
        <v>EX</v>
      </c>
      <c r="B238">
        <f>coder1_YH!C238</f>
        <v>238</v>
      </c>
      <c r="C238">
        <f>coder1_YH!D238</f>
        <v>0</v>
      </c>
      <c r="D238" t="str">
        <f>coder1_YH!E238</f>
        <v/>
      </c>
      <c r="E238" t="b">
        <f>coder1_YH!F238</f>
        <v>1</v>
      </c>
      <c r="G238" t="str">
        <f>IF(coder1_YH!G238="",G237, coder1_YH!G238)</f>
        <v>Chan， 1996</v>
      </c>
      <c r="H238" s="405" t="str">
        <f>clean_mod!I238</f>
        <v>1996</v>
      </c>
      <c r="I238" t="str">
        <f>clean_mod!G238</f>
        <v>142</v>
      </c>
      <c r="J238">
        <f>clean_mod!H238</f>
        <v>142.19999999999999</v>
      </c>
      <c r="K238" t="str">
        <f>IF(coder1_YH!P238="",K237, coder1_YH!P238)</f>
        <v>EX</v>
      </c>
      <c r="L238" s="324" t="str">
        <f>IF(clean_mod!AF238="",L237,clean_mod!AF238)</f>
        <v>142.2-EX_M_onlyEX_M_only</v>
      </c>
      <c r="M238" s="324" t="str">
        <f>IF(clean_mod!AG238="",M237,clean_mod!AG238)</f>
        <v>142.2-EX_M_only_R</v>
      </c>
      <c r="N238" s="372" t="str">
        <f t="shared" si="24"/>
        <v>142-ctl-101</v>
      </c>
      <c r="O238" s="372" t="str">
        <f t="shared" si="25"/>
        <v>142-EX-101</v>
      </c>
      <c r="P238" s="369">
        <v>101</v>
      </c>
      <c r="Q238" s="369" t="str">
        <f>LEFT(coder1_YH!AK238,1)</f>
        <v>0</v>
      </c>
      <c r="R238" s="369" t="str">
        <f>LEFT(coder1_YH!AL238,1)</f>
        <v>1</v>
      </c>
      <c r="S238" s="369" t="str">
        <f>coder1_YH!AJ238</f>
        <v>reading comprehension</v>
      </c>
      <c r="T238" s="370">
        <f>coder1_YH!AN238</f>
        <v>7.25</v>
      </c>
      <c r="U238" s="370">
        <f>coder1_YH!AO238</f>
        <v>2.5299999999999998</v>
      </c>
      <c r="V238" s="370">
        <f>coder1_YH!AP238</f>
        <v>12</v>
      </c>
      <c r="W238" s="370">
        <f>coder1_YH!AQ238</f>
        <v>7.33</v>
      </c>
      <c r="X238" s="370">
        <f>coder1_YH!AR238</f>
        <v>3.75</v>
      </c>
      <c r="Y238" s="370">
        <f>coder1_YH!AS238</f>
        <v>12</v>
      </c>
      <c r="Z238" s="371">
        <f t="shared" si="26"/>
        <v>8.1999999999999993</v>
      </c>
      <c r="AA238" s="371">
        <f t="shared" si="27"/>
        <v>1.97</v>
      </c>
      <c r="AB238" s="371">
        <f t="shared" si="28"/>
        <v>15</v>
      </c>
      <c r="AC238" s="371">
        <f t="shared" si="29"/>
        <v>8.8000000000000007</v>
      </c>
      <c r="AD238" s="371">
        <f t="shared" si="30"/>
        <v>2.0099999999999998</v>
      </c>
      <c r="AE238" s="371">
        <f t="shared" si="31"/>
        <v>15</v>
      </c>
    </row>
    <row r="239" spans="1:31" x14ac:dyDescent="0.2">
      <c r="A239">
        <f>coder1_YH!B239</f>
        <v>0</v>
      </c>
      <c r="B239">
        <f>coder1_YH!C239</f>
        <v>239</v>
      </c>
      <c r="C239">
        <f>coder1_YH!D239</f>
        <v>0</v>
      </c>
      <c r="D239" t="str">
        <f>coder1_YH!E239</f>
        <v/>
      </c>
      <c r="E239" t="b">
        <f>coder1_YH!F239</f>
        <v>1</v>
      </c>
      <c r="G239" t="str">
        <f>IF(coder1_YH!G239="",G238, coder1_YH!G239)</f>
        <v>Chan， 1996</v>
      </c>
      <c r="H239" s="405" t="str">
        <f>clean_mod!I239</f>
        <v>1996</v>
      </c>
      <c r="I239" t="str">
        <f>clean_mod!G239</f>
        <v>142</v>
      </c>
      <c r="J239">
        <f>clean_mod!H239</f>
        <v>142.19999999999999</v>
      </c>
      <c r="K239" t="str">
        <f>IF(coder1_YH!P239="",K238, coder1_YH!P239)</f>
        <v>ctl</v>
      </c>
      <c r="L239" s="324" t="str">
        <f>IF(clean_mod!AF239="",L238,clean_mod!AF239)</f>
        <v xml:space="preserve">142.2-.m </v>
      </c>
      <c r="M239" s="324" t="str">
        <f>IF(clean_mod!AG239="",M238,clean_mod!AG239)</f>
        <v>142.2-R</v>
      </c>
      <c r="N239" s="372" t="str">
        <f t="shared" si="24"/>
        <v>142-ctl-101</v>
      </c>
      <c r="O239" s="372" t="str">
        <f t="shared" si="25"/>
        <v>142-ctl-101</v>
      </c>
      <c r="P239" s="369">
        <v>101</v>
      </c>
      <c r="Q239" s="369" t="str">
        <f>LEFT(coder1_YH!AK239,1)</f>
        <v>0</v>
      </c>
      <c r="R239" s="369" t="str">
        <f>LEFT(coder1_YH!AL239,1)</f>
        <v>1</v>
      </c>
      <c r="S239" s="369" t="str">
        <f>coder1_YH!AJ239</f>
        <v>reading comprehension</v>
      </c>
      <c r="T239" s="370">
        <f>coder1_YH!AN239</f>
        <v>8.1999999999999993</v>
      </c>
      <c r="U239" s="370">
        <f>coder1_YH!AO239</f>
        <v>1.97</v>
      </c>
      <c r="V239" s="370">
        <f>coder1_YH!AP239</f>
        <v>15</v>
      </c>
      <c r="W239" s="370">
        <f>coder1_YH!AQ239</f>
        <v>8.8000000000000007</v>
      </c>
      <c r="X239" s="370">
        <f>coder1_YH!AR239</f>
        <v>2.0099999999999998</v>
      </c>
      <c r="Y239" s="370">
        <f>coder1_YH!AS239</f>
        <v>15</v>
      </c>
      <c r="Z239" s="371">
        <f t="shared" si="26"/>
        <v>8.1999999999999993</v>
      </c>
      <c r="AA239" s="371">
        <f t="shared" si="27"/>
        <v>1.97</v>
      </c>
      <c r="AB239" s="371">
        <f t="shared" si="28"/>
        <v>15</v>
      </c>
      <c r="AC239" s="371">
        <f t="shared" si="29"/>
        <v>8.8000000000000007</v>
      </c>
      <c r="AD239" s="371">
        <f t="shared" si="30"/>
        <v>2.0099999999999998</v>
      </c>
      <c r="AE239" s="371">
        <f t="shared" si="31"/>
        <v>15</v>
      </c>
    </row>
    <row r="240" spans="1:31" x14ac:dyDescent="0.2">
      <c r="A240">
        <f>coder1_YH!B240</f>
        <v>0</v>
      </c>
      <c r="B240">
        <f>coder1_YH!C240</f>
        <v>240</v>
      </c>
      <c r="C240">
        <f>coder1_YH!D240</f>
        <v>0</v>
      </c>
      <c r="D240">
        <f>coder1_YH!E240</f>
        <v>0</v>
      </c>
      <c r="E240" t="b">
        <f>coder1_YH!F240</f>
        <v>1</v>
      </c>
      <c r="G240" t="str">
        <f>IF(coder1_YH!G240="",G239, coder1_YH!G240)</f>
        <v>Burke, 1992</v>
      </c>
      <c r="H240" s="405" t="str">
        <f>clean_mod!I240</f>
        <v>1992</v>
      </c>
      <c r="I240" t="str">
        <f>clean_mod!G240</f>
        <v>143</v>
      </c>
      <c r="J240">
        <f>clean_mod!H240</f>
        <v>143</v>
      </c>
      <c r="K240">
        <f>IF(coder1_YH!P240="",K239, coder1_YH!P240)</f>
        <v>1</v>
      </c>
      <c r="L240" s="324" t="str">
        <f>IF(clean_mod!AF240="",L239,clean_mod!AF240)</f>
        <v xml:space="preserve">143-Nm </v>
      </c>
      <c r="M240" s="324" t="str">
        <f>IF(clean_mod!AG240="",M239,clean_mod!AG240)</f>
        <v>143-N_R</v>
      </c>
      <c r="N240" s="372" t="str">
        <f t="shared" si="24"/>
        <v>143-ctl-102</v>
      </c>
      <c r="O240" s="372" t="str">
        <f t="shared" si="25"/>
        <v>143-1-102</v>
      </c>
      <c r="P240" s="369">
        <v>102</v>
      </c>
      <c r="Q240" s="369" t="str">
        <f>LEFT(coder1_YH!AK240,1)</f>
        <v>0</v>
      </c>
      <c r="R240" s="369" t="str">
        <f>LEFT(coder1_YH!AL240,1)</f>
        <v>0</v>
      </c>
      <c r="S240" s="369" t="str">
        <f>coder1_YH!AJ240</f>
        <v>General Comprehension Scores</v>
      </c>
      <c r="T240" s="370">
        <f>coder1_YH!AN240</f>
        <v>8.1999999999999993</v>
      </c>
      <c r="U240" s="370">
        <f>coder1_YH!AO240</f>
        <v>3.302</v>
      </c>
      <c r="V240" s="370">
        <f>coder1_YH!AP240</f>
        <v>50.75</v>
      </c>
      <c r="W240" s="370">
        <f>coder1_YH!AQ240</f>
        <v>7.65</v>
      </c>
      <c r="X240" s="370">
        <f>coder1_YH!AR240</f>
        <v>2.681</v>
      </c>
      <c r="Y240" s="370">
        <f>coder1_YH!AS240</f>
        <v>50.75</v>
      </c>
      <c r="Z240" s="371">
        <f t="shared" si="26"/>
        <v>8.3160000000000007</v>
      </c>
      <c r="AA240" s="371">
        <f t="shared" si="27"/>
        <v>2.286</v>
      </c>
      <c r="AB240" s="371">
        <f t="shared" si="28"/>
        <v>50.75</v>
      </c>
      <c r="AC240" s="371">
        <f t="shared" si="29"/>
        <v>6.9470000000000001</v>
      </c>
      <c r="AD240" s="371">
        <f t="shared" si="30"/>
        <v>2.677</v>
      </c>
      <c r="AE240" s="371">
        <f t="shared" si="31"/>
        <v>50.75</v>
      </c>
    </row>
    <row r="241" spans="1:31" x14ac:dyDescent="0.2">
      <c r="A241">
        <f>coder1_YH!B241</f>
        <v>0</v>
      </c>
      <c r="B241">
        <f>coder1_YH!C241</f>
        <v>241</v>
      </c>
      <c r="C241" t="b">
        <f>coder1_YH!D241</f>
        <v>1</v>
      </c>
      <c r="D241" t="b">
        <f>coder1_YH!E241</f>
        <v>1</v>
      </c>
      <c r="E241" t="b">
        <f>coder1_YH!F241</f>
        <v>1</v>
      </c>
      <c r="G241" t="str">
        <f>IF(coder1_YH!G241="",G240, coder1_YH!G241)</f>
        <v>Burke, 1992</v>
      </c>
      <c r="H241" s="405" t="str">
        <f>clean_mod!I241</f>
        <v>1992</v>
      </c>
      <c r="I241" t="str">
        <f>clean_mod!G241</f>
        <v>143</v>
      </c>
      <c r="J241">
        <f>clean_mod!H241</f>
        <v>143</v>
      </c>
      <c r="K241">
        <f>IF(coder1_YH!P241="",K240, coder1_YH!P241)</f>
        <v>2</v>
      </c>
      <c r="L241" s="324" t="str">
        <f>IF(clean_mod!AF241="",L240,clean_mod!AF241)</f>
        <v xml:space="preserve">143-NGTm </v>
      </c>
      <c r="M241" s="324" t="str">
        <f>IF(clean_mod!AG241="",M240,clean_mod!AG241)</f>
        <v>143-NGT_R</v>
      </c>
      <c r="N241" s="372" t="str">
        <f t="shared" si="24"/>
        <v>143-ctl-102</v>
      </c>
      <c r="O241" s="372" t="str">
        <f t="shared" si="25"/>
        <v>143-2-102</v>
      </c>
      <c r="P241" s="369">
        <v>102</v>
      </c>
      <c r="Q241" s="369" t="str">
        <f>LEFT(coder1_YH!AK241,1)</f>
        <v>0</v>
      </c>
      <c r="R241" s="369" t="str">
        <f>LEFT(coder1_YH!AL241,1)</f>
        <v>0</v>
      </c>
      <c r="S241" s="369" t="str">
        <f>coder1_YH!AJ241</f>
        <v>General Comprehension Scores</v>
      </c>
      <c r="T241" s="370">
        <f>coder1_YH!AN241</f>
        <v>7.5</v>
      </c>
      <c r="U241" s="370">
        <f>coder1_YH!AO241</f>
        <v>2.6859999999999999</v>
      </c>
      <c r="V241" s="370">
        <f>coder1_YH!AP241</f>
        <v>50.75</v>
      </c>
      <c r="W241" s="370">
        <f>coder1_YH!AQ241</f>
        <v>7.4550000000000001</v>
      </c>
      <c r="X241" s="370">
        <f>coder1_YH!AR241</f>
        <v>3.0350000000000001</v>
      </c>
      <c r="Y241" s="370">
        <f>coder1_YH!AS241</f>
        <v>50.75</v>
      </c>
      <c r="Z241" s="371">
        <f t="shared" si="26"/>
        <v>8.3160000000000007</v>
      </c>
      <c r="AA241" s="371">
        <f t="shared" si="27"/>
        <v>2.286</v>
      </c>
      <c r="AB241" s="371">
        <f t="shared" si="28"/>
        <v>50.75</v>
      </c>
      <c r="AC241" s="371">
        <f t="shared" si="29"/>
        <v>6.9470000000000001</v>
      </c>
      <c r="AD241" s="371">
        <f t="shared" si="30"/>
        <v>2.677</v>
      </c>
      <c r="AE241" s="371">
        <f t="shared" si="31"/>
        <v>50.75</v>
      </c>
    </row>
    <row r="242" spans="1:31" x14ac:dyDescent="0.2">
      <c r="A242" t="str">
        <f>coder1_YH!B242</f>
        <v>EX</v>
      </c>
      <c r="B242">
        <f>coder1_YH!C242</f>
        <v>242</v>
      </c>
      <c r="C242">
        <f>coder1_YH!D242</f>
        <v>0</v>
      </c>
      <c r="D242" t="str">
        <f>coder1_YH!E242</f>
        <v/>
      </c>
      <c r="E242">
        <f>coder1_YH!F242</f>
        <v>0</v>
      </c>
      <c r="G242" t="str">
        <f>IF(coder1_YH!G242="",G241, coder1_YH!G242)</f>
        <v>Burke, 1992</v>
      </c>
      <c r="H242" s="405" t="str">
        <f>clean_mod!I242</f>
        <v>1992</v>
      </c>
      <c r="I242" t="str">
        <f>clean_mod!G242</f>
        <v>143</v>
      </c>
      <c r="J242">
        <f>clean_mod!H242</f>
        <v>143</v>
      </c>
      <c r="K242" t="str">
        <f>IF(coder1_YH!P242="",K241, coder1_YH!P242)</f>
        <v>EX</v>
      </c>
      <c r="L242" s="324" t="str">
        <f>IF(clean_mod!AF242="",L241,clean_mod!AF242)</f>
        <v>143-EX_M_onlyEX_M_only</v>
      </c>
      <c r="M242" s="324" t="str">
        <f>IF(clean_mod!AG242="",M241,clean_mod!AG242)</f>
        <v>143-EX_M_only_R</v>
      </c>
      <c r="N242" s="372" t="str">
        <f t="shared" si="24"/>
        <v>143-ctl-102</v>
      </c>
      <c r="O242" s="372" t="str">
        <f t="shared" si="25"/>
        <v>143-EX-102</v>
      </c>
      <c r="P242" s="369">
        <v>102</v>
      </c>
      <c r="Q242" s="369" t="str">
        <f>LEFT(coder1_YH!AK242,1)</f>
        <v>0</v>
      </c>
      <c r="R242" s="369" t="str">
        <f>LEFT(coder1_YH!AL242,1)</f>
        <v>0</v>
      </c>
      <c r="S242" s="369" t="str">
        <f>coder1_YH!AJ242</f>
        <v>General Comprehension Scores</v>
      </c>
      <c r="T242" s="370">
        <f>coder1_YH!AN242</f>
        <v>8.5</v>
      </c>
      <c r="U242" s="370">
        <f>coder1_YH!AO242</f>
        <v>3.6480000000000001</v>
      </c>
      <c r="V242" s="370">
        <f>coder1_YH!AP242</f>
        <v>50.75</v>
      </c>
      <c r="W242" s="370">
        <f>coder1_YH!AQ242</f>
        <v>7.9550000000000001</v>
      </c>
      <c r="X242" s="370">
        <f>coder1_YH!AR242</f>
        <v>3.722</v>
      </c>
      <c r="Y242" s="370">
        <f>coder1_YH!AS242</f>
        <v>50.75</v>
      </c>
      <c r="Z242" s="371">
        <f t="shared" si="26"/>
        <v>8.3160000000000007</v>
      </c>
      <c r="AA242" s="371">
        <f t="shared" si="27"/>
        <v>2.286</v>
      </c>
      <c r="AB242" s="371">
        <f t="shared" si="28"/>
        <v>50.75</v>
      </c>
      <c r="AC242" s="371">
        <f t="shared" si="29"/>
        <v>6.9470000000000001</v>
      </c>
      <c r="AD242" s="371">
        <f t="shared" si="30"/>
        <v>2.677</v>
      </c>
      <c r="AE242" s="371">
        <f t="shared" si="31"/>
        <v>50.75</v>
      </c>
    </row>
    <row r="243" spans="1:31" x14ac:dyDescent="0.2">
      <c r="A243">
        <f>coder1_YH!B243</f>
        <v>0</v>
      </c>
      <c r="B243">
        <f>coder1_YH!C243</f>
        <v>243</v>
      </c>
      <c r="C243">
        <f>coder1_YH!D243</f>
        <v>0</v>
      </c>
      <c r="D243" t="str">
        <f>coder1_YH!E243</f>
        <v/>
      </c>
      <c r="E243" t="b">
        <f>coder1_YH!F243</f>
        <v>1</v>
      </c>
      <c r="G243" t="str">
        <f>IF(coder1_YH!G243="",G242, coder1_YH!G243)</f>
        <v>Burke, 1992</v>
      </c>
      <c r="H243" s="405" t="str">
        <f>clean_mod!I243</f>
        <v>1992</v>
      </c>
      <c r="I243" t="str">
        <f>clean_mod!G243</f>
        <v>143</v>
      </c>
      <c r="J243">
        <f>clean_mod!H243</f>
        <v>143</v>
      </c>
      <c r="K243" t="str">
        <f>IF(coder1_YH!P243="",K242, coder1_YH!P243)</f>
        <v>ctl</v>
      </c>
      <c r="L243" s="324" t="str">
        <f>IF(clean_mod!AF243="",L242,clean_mod!AF243)</f>
        <v>143-..</v>
      </c>
      <c r="M243" s="324" t="str">
        <f>IF(clean_mod!AG243="",M242,clean_mod!AG243)</f>
        <v>143-BAU</v>
      </c>
      <c r="N243" s="372" t="str">
        <f t="shared" si="24"/>
        <v>143-ctl-102</v>
      </c>
      <c r="O243" s="372" t="str">
        <f t="shared" si="25"/>
        <v>143-ctl-102</v>
      </c>
      <c r="P243" s="369">
        <v>102</v>
      </c>
      <c r="Q243" s="369" t="str">
        <f>LEFT(coder1_YH!AK243,1)</f>
        <v>0</v>
      </c>
      <c r="R243" s="369" t="str">
        <f>LEFT(coder1_YH!AL243,1)</f>
        <v>0</v>
      </c>
      <c r="S243" s="369" t="str">
        <f>coder1_YH!AJ243</f>
        <v>General Comprehension Scores</v>
      </c>
      <c r="T243" s="370">
        <f>coder1_YH!AN243</f>
        <v>8.3160000000000007</v>
      </c>
      <c r="U243" s="370">
        <f>coder1_YH!AO243</f>
        <v>2.286</v>
      </c>
      <c r="V243" s="370">
        <f>coder1_YH!AP243</f>
        <v>50.75</v>
      </c>
      <c r="W243" s="370">
        <f>coder1_YH!AQ243</f>
        <v>6.9470000000000001</v>
      </c>
      <c r="X243" s="370">
        <f>coder1_YH!AR243</f>
        <v>2.677</v>
      </c>
      <c r="Y243" s="370">
        <f>coder1_YH!AS243</f>
        <v>50.75</v>
      </c>
      <c r="Z243" s="371">
        <f t="shared" si="26"/>
        <v>8.3160000000000007</v>
      </c>
      <c r="AA243" s="371">
        <f t="shared" si="27"/>
        <v>2.286</v>
      </c>
      <c r="AB243" s="371">
        <f t="shared" si="28"/>
        <v>50.75</v>
      </c>
      <c r="AC243" s="371">
        <f t="shared" si="29"/>
        <v>6.9470000000000001</v>
      </c>
      <c r="AD243" s="371">
        <f t="shared" si="30"/>
        <v>2.677</v>
      </c>
      <c r="AE243" s="371">
        <f t="shared" si="31"/>
        <v>50.75</v>
      </c>
    </row>
    <row r="244" spans="1:31" x14ac:dyDescent="0.2">
      <c r="A244">
        <f>coder1_YH!B244</f>
        <v>0</v>
      </c>
      <c r="B244">
        <f>coder1_YH!C244</f>
        <v>244</v>
      </c>
      <c r="C244">
        <f>coder1_YH!D244</f>
        <v>0</v>
      </c>
      <c r="D244">
        <f>coder1_YH!E244</f>
        <v>0</v>
      </c>
      <c r="E244">
        <f>coder1_YH!F244</f>
        <v>0</v>
      </c>
      <c r="G244" t="str">
        <f>IF(coder1_YH!G244="",G243, coder1_YH!G244)</f>
        <v>Burke, 1992</v>
      </c>
      <c r="H244" s="405" t="str">
        <f>clean_mod!I244</f>
        <v>1992</v>
      </c>
      <c r="I244" t="str">
        <f>clean_mod!G244</f>
        <v>143</v>
      </c>
      <c r="J244">
        <f>clean_mod!H244</f>
        <v>143</v>
      </c>
      <c r="K244">
        <f>IF(coder1_YH!P244="",K243, coder1_YH!P244)</f>
        <v>1</v>
      </c>
      <c r="L244" s="324" t="str">
        <f>IF(clean_mod!AF244="",L243,clean_mod!AF244)</f>
        <v xml:space="preserve">143-Nm </v>
      </c>
      <c r="M244" s="324" t="str">
        <f>IF(clean_mod!AG244="",M243,clean_mod!AG244)</f>
        <v>143-N_R</v>
      </c>
      <c r="N244" s="372" t="str">
        <f t="shared" si="24"/>
        <v>143-ctl-103</v>
      </c>
      <c r="O244" s="372" t="str">
        <f t="shared" si="25"/>
        <v>143-1-103</v>
      </c>
      <c r="P244" s="369">
        <v>103</v>
      </c>
      <c r="Q244" s="369" t="str">
        <f>LEFT(coder1_YH!AK244,1)</f>
        <v>0</v>
      </c>
      <c r="R244" s="369" t="str">
        <f>LEFT(coder1_YH!AL244,1)</f>
        <v>0</v>
      </c>
      <c r="S244" s="369" t="str">
        <f>coder1_YH!AJ244</f>
        <v>General Comprehension Scores</v>
      </c>
      <c r="T244" s="370">
        <f>coder1_YH!AN244</f>
        <v>9.3810000000000002</v>
      </c>
      <c r="U244" s="370">
        <f>coder1_YH!AO244</f>
        <v>2.9910000000000001</v>
      </c>
      <c r="V244" s="370">
        <f>coder1_YH!AP244</f>
        <v>50.75</v>
      </c>
      <c r="W244" s="370">
        <f>coder1_YH!AQ244</f>
        <v>8.4760000000000009</v>
      </c>
      <c r="X244" s="370">
        <f>coder1_YH!AR244</f>
        <v>3.444</v>
      </c>
      <c r="Y244" s="370">
        <f>coder1_YH!AS244</f>
        <v>50.75</v>
      </c>
      <c r="Z244" s="371">
        <f t="shared" si="26"/>
        <v>7.44</v>
      </c>
      <c r="AA244" s="371">
        <f t="shared" si="27"/>
        <v>3.28</v>
      </c>
      <c r="AB244" s="371">
        <f t="shared" si="28"/>
        <v>50.75</v>
      </c>
      <c r="AC244" s="371">
        <f t="shared" si="29"/>
        <v>10.48</v>
      </c>
      <c r="AD244" s="371">
        <f t="shared" si="30"/>
        <v>11.106</v>
      </c>
      <c r="AE244" s="371">
        <f t="shared" si="31"/>
        <v>50.75</v>
      </c>
    </row>
    <row r="245" spans="1:31" x14ac:dyDescent="0.2">
      <c r="A245">
        <f>coder1_YH!B245</f>
        <v>0</v>
      </c>
      <c r="B245">
        <f>coder1_YH!C245</f>
        <v>245</v>
      </c>
      <c r="C245">
        <f>coder1_YH!D245</f>
        <v>0</v>
      </c>
      <c r="D245">
        <f>coder1_YH!E245</f>
        <v>0</v>
      </c>
      <c r="E245">
        <f>coder1_YH!F245</f>
        <v>0</v>
      </c>
      <c r="G245" t="str">
        <f>IF(coder1_YH!G245="",G244, coder1_YH!G245)</f>
        <v>Burke, 1992</v>
      </c>
      <c r="H245" s="405" t="str">
        <f>clean_mod!I245</f>
        <v>1992</v>
      </c>
      <c r="I245" t="str">
        <f>clean_mod!G245</f>
        <v>143</v>
      </c>
      <c r="J245">
        <f>clean_mod!H245</f>
        <v>143</v>
      </c>
      <c r="K245">
        <f>IF(coder1_YH!P245="",K244, coder1_YH!P245)</f>
        <v>2</v>
      </c>
      <c r="L245" s="324" t="str">
        <f>IF(clean_mod!AF245="",L244,clean_mod!AF245)</f>
        <v xml:space="preserve">143-GTm </v>
      </c>
      <c r="M245" s="324" t="str">
        <f>IF(clean_mod!AG245="",M244,clean_mod!AG245)</f>
        <v>143-GT_R</v>
      </c>
      <c r="N245" s="372" t="str">
        <f t="shared" si="24"/>
        <v>143-ctl-103</v>
      </c>
      <c r="O245" s="372" t="str">
        <f t="shared" si="25"/>
        <v>143-2-103</v>
      </c>
      <c r="P245" s="369">
        <v>103</v>
      </c>
      <c r="Q245" s="369" t="str">
        <f>LEFT(coder1_YH!AK245,1)</f>
        <v>0</v>
      </c>
      <c r="R245" s="369" t="str">
        <f>LEFT(coder1_YH!AL245,1)</f>
        <v>0</v>
      </c>
      <c r="S245" s="369" t="str">
        <f>coder1_YH!AJ245</f>
        <v>General Comprehension Scores</v>
      </c>
      <c r="T245" s="370">
        <f>coder1_YH!AN245</f>
        <v>8.7390000000000008</v>
      </c>
      <c r="U245" s="370">
        <f>coder1_YH!AO245</f>
        <v>3.2080000000000002</v>
      </c>
      <c r="V245" s="370">
        <f>coder1_YH!AP245</f>
        <v>50.75</v>
      </c>
      <c r="W245" s="370">
        <f>coder1_YH!AQ245</f>
        <v>8.5649999999999995</v>
      </c>
      <c r="X245" s="370">
        <f>coder1_YH!AR245</f>
        <v>2.9670000000000001</v>
      </c>
      <c r="Y245" s="370">
        <f>coder1_YH!AS245</f>
        <v>50.75</v>
      </c>
      <c r="Z245" s="371">
        <f t="shared" si="26"/>
        <v>7.44</v>
      </c>
      <c r="AA245" s="371">
        <f t="shared" si="27"/>
        <v>3.28</v>
      </c>
      <c r="AB245" s="371">
        <f t="shared" si="28"/>
        <v>50.75</v>
      </c>
      <c r="AC245" s="371">
        <f t="shared" si="29"/>
        <v>10.48</v>
      </c>
      <c r="AD245" s="371">
        <f t="shared" si="30"/>
        <v>11.106</v>
      </c>
      <c r="AE245" s="371">
        <f t="shared" si="31"/>
        <v>50.75</v>
      </c>
    </row>
    <row r="246" spans="1:31" x14ac:dyDescent="0.2">
      <c r="A246" t="str">
        <f>coder1_YH!B246</f>
        <v>EX</v>
      </c>
      <c r="B246">
        <f>coder1_YH!C246</f>
        <v>246</v>
      </c>
      <c r="C246">
        <f>coder1_YH!D246</f>
        <v>0</v>
      </c>
      <c r="D246" t="str">
        <f>coder1_YH!E246</f>
        <v/>
      </c>
      <c r="E246">
        <f>coder1_YH!F246</f>
        <v>0</v>
      </c>
      <c r="G246" t="str">
        <f>IF(coder1_YH!G246="",G245, coder1_YH!G246)</f>
        <v>Burke, 1992</v>
      </c>
      <c r="H246" s="405" t="str">
        <f>clean_mod!I246</f>
        <v>1992</v>
      </c>
      <c r="I246" t="str">
        <f>clean_mod!G246</f>
        <v>143</v>
      </c>
      <c r="J246">
        <f>clean_mod!H246</f>
        <v>143</v>
      </c>
      <c r="K246" t="str">
        <f>IF(coder1_YH!P246="",K245, coder1_YH!P246)</f>
        <v>EX</v>
      </c>
      <c r="L246" s="324" t="str">
        <f>IF(clean_mod!AF246="",L245,clean_mod!AF246)</f>
        <v>143-EX_M_onlyEX_M_only</v>
      </c>
      <c r="M246" s="324" t="str">
        <f>IF(clean_mod!AG246="",M245,clean_mod!AG246)</f>
        <v>143-EX_M_only_R</v>
      </c>
      <c r="N246" s="372" t="str">
        <f t="shared" si="24"/>
        <v>143-ctl-103</v>
      </c>
      <c r="O246" s="372" t="str">
        <f t="shared" si="25"/>
        <v>143-EX-103</v>
      </c>
      <c r="P246" s="369">
        <v>103</v>
      </c>
      <c r="Q246" s="369" t="str">
        <f>LEFT(coder1_YH!AK246,1)</f>
        <v>0</v>
      </c>
      <c r="R246" s="369" t="str">
        <f>LEFT(coder1_YH!AL246,1)</f>
        <v>0</v>
      </c>
      <c r="S246" s="369" t="str">
        <f>coder1_YH!AJ246</f>
        <v>General Comprehension Scores</v>
      </c>
      <c r="T246" s="370">
        <f>coder1_YH!AN246</f>
        <v>9</v>
      </c>
      <c r="U246" s="370">
        <f>coder1_YH!AO246</f>
        <v>2.5499999999999998</v>
      </c>
      <c r="V246" s="370">
        <f>coder1_YH!AP246</f>
        <v>50.75</v>
      </c>
      <c r="W246" s="370">
        <f>coder1_YH!AQ246</f>
        <v>7.077</v>
      </c>
      <c r="X246" s="370">
        <f>coder1_YH!AR246</f>
        <v>3.7519999999999998</v>
      </c>
      <c r="Y246" s="370">
        <f>coder1_YH!AS246</f>
        <v>50.75</v>
      </c>
      <c r="Z246" s="371">
        <f t="shared" si="26"/>
        <v>7.44</v>
      </c>
      <c r="AA246" s="371">
        <f t="shared" si="27"/>
        <v>3.28</v>
      </c>
      <c r="AB246" s="371">
        <f t="shared" si="28"/>
        <v>50.75</v>
      </c>
      <c r="AC246" s="371">
        <f t="shared" si="29"/>
        <v>10.48</v>
      </c>
      <c r="AD246" s="371">
        <f t="shared" si="30"/>
        <v>11.106</v>
      </c>
      <c r="AE246" s="371">
        <f t="shared" si="31"/>
        <v>50.75</v>
      </c>
    </row>
    <row r="247" spans="1:31" x14ac:dyDescent="0.2">
      <c r="A247">
        <f>coder1_YH!B247</f>
        <v>0</v>
      </c>
      <c r="B247">
        <f>coder1_YH!C247</f>
        <v>247</v>
      </c>
      <c r="C247">
        <f>coder1_YH!D247</f>
        <v>0</v>
      </c>
      <c r="D247" t="str">
        <f>coder1_YH!E247</f>
        <v/>
      </c>
      <c r="E247">
        <f>coder1_YH!F247</f>
        <v>0</v>
      </c>
      <c r="G247" t="str">
        <f>IF(coder1_YH!G247="",G246, coder1_YH!G247)</f>
        <v>Burke, 1992</v>
      </c>
      <c r="H247" s="405" t="str">
        <f>clean_mod!I247</f>
        <v>1992</v>
      </c>
      <c r="I247" t="str">
        <f>clean_mod!G247</f>
        <v>143</v>
      </c>
      <c r="J247">
        <f>clean_mod!H247</f>
        <v>143</v>
      </c>
      <c r="K247" t="str">
        <f>IF(coder1_YH!P247="",K246, coder1_YH!P247)</f>
        <v>ctl</v>
      </c>
      <c r="L247" s="324" t="str">
        <f>IF(clean_mod!AF247="",L246,clean_mod!AF247)</f>
        <v>143-..</v>
      </c>
      <c r="M247" s="324" t="str">
        <f>IF(clean_mod!AG247="",M246,clean_mod!AG247)</f>
        <v>143-BAU</v>
      </c>
      <c r="N247" s="372" t="str">
        <f t="shared" si="24"/>
        <v>143-ctl-103</v>
      </c>
      <c r="O247" s="372" t="str">
        <f t="shared" si="25"/>
        <v>143-ctl-103</v>
      </c>
      <c r="P247" s="369">
        <v>103</v>
      </c>
      <c r="Q247" s="369" t="str">
        <f>LEFT(coder1_YH!AK247,1)</f>
        <v>0</v>
      </c>
      <c r="R247" s="369" t="str">
        <f>LEFT(coder1_YH!AL247,1)</f>
        <v>0</v>
      </c>
      <c r="S247" s="369" t="str">
        <f>coder1_YH!AJ247</f>
        <v>General Comprehension Scores</v>
      </c>
      <c r="T247" s="370">
        <f>coder1_YH!AN247</f>
        <v>7.44</v>
      </c>
      <c r="U247" s="370">
        <f>coder1_YH!AO247</f>
        <v>3.28</v>
      </c>
      <c r="V247" s="370">
        <f>coder1_YH!AP247</f>
        <v>50.75</v>
      </c>
      <c r="W247" s="370">
        <f>coder1_YH!AQ247</f>
        <v>10.48</v>
      </c>
      <c r="X247" s="370">
        <f>coder1_YH!AR247</f>
        <v>11.106</v>
      </c>
      <c r="Y247" s="370">
        <f>coder1_YH!AS247</f>
        <v>50.75</v>
      </c>
      <c r="Z247" s="371">
        <f t="shared" si="26"/>
        <v>7.44</v>
      </c>
      <c r="AA247" s="371">
        <f t="shared" si="27"/>
        <v>3.28</v>
      </c>
      <c r="AB247" s="371">
        <f t="shared" si="28"/>
        <v>50.75</v>
      </c>
      <c r="AC247" s="371">
        <f t="shared" si="29"/>
        <v>10.48</v>
      </c>
      <c r="AD247" s="371">
        <f t="shared" si="30"/>
        <v>11.106</v>
      </c>
      <c r="AE247" s="371">
        <f t="shared" si="31"/>
        <v>50.75</v>
      </c>
    </row>
    <row r="248" spans="1:31" x14ac:dyDescent="0.2">
      <c r="A248" t="str">
        <f>coder1_YH!B248</f>
        <v>EX</v>
      </c>
      <c r="B248">
        <f>coder1_YH!C248</f>
        <v>248</v>
      </c>
      <c r="C248">
        <f>coder1_YH!D248</f>
        <v>0</v>
      </c>
      <c r="D248">
        <f>coder1_YH!E248</f>
        <v>0</v>
      </c>
      <c r="E248">
        <f>coder1_YH!F248</f>
        <v>0</v>
      </c>
      <c r="G248" t="str">
        <f>IF(coder1_YH!G248="",G247, coder1_YH!G248)</f>
        <v>Miranda, 1997</v>
      </c>
      <c r="H248" s="405" t="str">
        <f>clean_mod!I248</f>
        <v>1997</v>
      </c>
      <c r="I248" t="str">
        <f>clean_mod!G248</f>
        <v>144</v>
      </c>
      <c r="J248">
        <f>clean_mod!H248</f>
        <v>144</v>
      </c>
      <c r="K248">
        <f>IF(coder1_YH!P248="",K247, coder1_YH!P248)</f>
        <v>1</v>
      </c>
      <c r="L248" s="324" t="str">
        <f>IF(clean_mod!AF248="",L247,clean_mod!AF248)</f>
        <v xml:space="preserve">144-Nm </v>
      </c>
      <c r="M248" s="324" t="str">
        <f>IF(clean_mod!AG248="",M247,clean_mod!AG248)</f>
        <v>144-N_R</v>
      </c>
      <c r="N248" s="372" t="str">
        <f t="shared" si="24"/>
        <v>144-ctl-104</v>
      </c>
      <c r="O248" s="372" t="str">
        <f t="shared" si="25"/>
        <v>144-1-104</v>
      </c>
      <c r="P248" s="369">
        <v>104</v>
      </c>
      <c r="Q248" s="369" t="str">
        <f>LEFT(coder1_YH!AK248,1)</f>
        <v>0</v>
      </c>
      <c r="R248" s="369" t="str">
        <f>LEFT(coder1_YH!AL248,1)</f>
        <v>0</v>
      </c>
      <c r="S248" s="369" t="str">
        <f>coder1_YH!AJ248</f>
        <v>Comprehension - Main Idea</v>
      </c>
      <c r="T248" s="370">
        <f>coder1_YH!AN248</f>
        <v>0.2</v>
      </c>
      <c r="U248" s="370">
        <f>coder1_YH!AO248</f>
        <v>0.2</v>
      </c>
      <c r="V248" s="370">
        <f>coder1_YH!AP248</f>
        <v>20</v>
      </c>
      <c r="W248" s="370">
        <f>coder1_YH!AQ248</f>
        <v>1.6</v>
      </c>
      <c r="X248" s="370">
        <f>coder1_YH!AR248</f>
        <v>0.4</v>
      </c>
      <c r="Y248" s="370">
        <f>coder1_YH!AS248</f>
        <v>20</v>
      </c>
      <c r="Z248" s="371">
        <f t="shared" si="26"/>
        <v>0.5</v>
      </c>
      <c r="AA248" s="371">
        <f>VLOOKUP($N248,$O:$Y,7,0)</f>
        <v>0.5</v>
      </c>
      <c r="AB248" s="371">
        <f t="shared" si="28"/>
        <v>20</v>
      </c>
      <c r="AC248" s="371">
        <f t="shared" si="29"/>
        <v>0.8</v>
      </c>
      <c r="AD248" s="371">
        <f t="shared" si="30"/>
        <v>0.6</v>
      </c>
      <c r="AE248" s="371">
        <f t="shared" si="31"/>
        <v>20</v>
      </c>
    </row>
    <row r="249" spans="1:31" x14ac:dyDescent="0.2">
      <c r="A249" t="str">
        <f>coder1_YH!B249</f>
        <v>EX</v>
      </c>
      <c r="B249">
        <f>coder1_YH!C249</f>
        <v>249</v>
      </c>
      <c r="C249" t="b">
        <f>coder1_YH!D249</f>
        <v>1</v>
      </c>
      <c r="D249" t="b">
        <f>coder1_YH!E249</f>
        <v>1</v>
      </c>
      <c r="E249" t="b">
        <f>coder1_YH!F249</f>
        <v>1</v>
      </c>
      <c r="G249" t="str">
        <f>IF(coder1_YH!G249="",G248, coder1_YH!G249)</f>
        <v>Miranda, 1997</v>
      </c>
      <c r="H249" s="405" t="str">
        <f>clean_mod!I249</f>
        <v>1997</v>
      </c>
      <c r="I249" t="str">
        <f>clean_mod!G249</f>
        <v>144</v>
      </c>
      <c r="J249">
        <f>clean_mod!H249</f>
        <v>144</v>
      </c>
      <c r="K249">
        <f>IF(coder1_YH!P249="",K248, coder1_YH!P249)</f>
        <v>1</v>
      </c>
      <c r="L249" s="324" t="str">
        <f>IF(clean_mod!AF249="",L248,clean_mod!AF249)</f>
        <v xml:space="preserve">144-Nm </v>
      </c>
      <c r="M249" s="324" t="str">
        <f>IF(clean_mod!AG249="",M248,clean_mod!AG249)</f>
        <v>144-N_R</v>
      </c>
      <c r="N249" s="372" t="str">
        <f t="shared" si="24"/>
        <v>144-ctl-105</v>
      </c>
      <c r="O249" s="372" t="str">
        <f t="shared" si="25"/>
        <v>144-1-105</v>
      </c>
      <c r="P249" s="369">
        <v>105</v>
      </c>
      <c r="Q249" s="369" t="str">
        <f>LEFT(coder1_YH!AK249,1)</f>
        <v>0</v>
      </c>
      <c r="R249" s="369" t="str">
        <f>LEFT(coder1_YH!AL249,1)</f>
        <v>0</v>
      </c>
      <c r="S249" s="369" t="str">
        <f>coder1_YH!AJ249</f>
        <v>Comprehension - Recall</v>
      </c>
      <c r="T249" s="370">
        <f>coder1_YH!AN249</f>
        <v>4.0999999999999996</v>
      </c>
      <c r="U249" s="370">
        <f>coder1_YH!AO249</f>
        <v>4.8</v>
      </c>
      <c r="V249" s="370">
        <f>coder1_YH!AP249</f>
        <v>20</v>
      </c>
      <c r="W249" s="370">
        <f>coder1_YH!AQ249</f>
        <v>13.6</v>
      </c>
      <c r="X249" s="370">
        <f>coder1_YH!AR249</f>
        <v>4</v>
      </c>
      <c r="Y249" s="370">
        <f>coder1_YH!AS249</f>
        <v>20</v>
      </c>
      <c r="Z249" s="371">
        <f t="shared" si="26"/>
        <v>4.3</v>
      </c>
      <c r="AA249" s="371">
        <f t="shared" si="27"/>
        <v>3.4</v>
      </c>
      <c r="AB249" s="371">
        <f t="shared" si="28"/>
        <v>20</v>
      </c>
      <c r="AC249" s="371">
        <f t="shared" si="29"/>
        <v>3.1</v>
      </c>
      <c r="AD249" s="371">
        <f t="shared" si="30"/>
        <v>1.8</v>
      </c>
      <c r="AE249" s="371">
        <f t="shared" si="31"/>
        <v>20</v>
      </c>
    </row>
    <row r="250" spans="1:31" x14ac:dyDescent="0.2">
      <c r="A250" t="str">
        <f>coder1_YH!B250</f>
        <v>EX</v>
      </c>
      <c r="B250">
        <f>coder1_YH!C250</f>
        <v>250</v>
      </c>
      <c r="C250">
        <f>coder1_YH!D250</f>
        <v>0</v>
      </c>
      <c r="D250">
        <f>coder1_YH!E250</f>
        <v>0</v>
      </c>
      <c r="E250">
        <f>coder1_YH!F250</f>
        <v>0</v>
      </c>
      <c r="G250" t="str">
        <f>IF(coder1_YH!G250="",G249, coder1_YH!G250)</f>
        <v>Miranda, 1997</v>
      </c>
      <c r="H250" s="405" t="str">
        <f>clean_mod!I250</f>
        <v>1997</v>
      </c>
      <c r="I250" t="str">
        <f>clean_mod!G250</f>
        <v>144</v>
      </c>
      <c r="J250">
        <f>clean_mod!H250</f>
        <v>144</v>
      </c>
      <c r="K250">
        <f>IF(coder1_YH!P250="",K249, coder1_YH!P250)</f>
        <v>1</v>
      </c>
      <c r="L250" s="324" t="str">
        <f>IF(clean_mod!AF250="",L249,clean_mod!AF250)</f>
        <v xml:space="preserve">144-Nm </v>
      </c>
      <c r="M250" s="324" t="str">
        <f>IF(clean_mod!AG250="",M249,clean_mod!AG250)</f>
        <v>144-N_R</v>
      </c>
      <c r="N250" s="372" t="str">
        <f t="shared" si="24"/>
        <v>144-ctl-106</v>
      </c>
      <c r="O250" s="372" t="str">
        <f t="shared" si="25"/>
        <v>144-1-106</v>
      </c>
      <c r="P250" s="369">
        <v>106</v>
      </c>
      <c r="Q250" s="369" t="str">
        <f>LEFT(coder1_YH!AK250,1)</f>
        <v>0</v>
      </c>
      <c r="R250" s="369" t="str">
        <f>LEFT(coder1_YH!AL250,1)</f>
        <v>0</v>
      </c>
      <c r="S250" s="369" t="str">
        <f>coder1_YH!AJ250</f>
        <v>Comprehension - Colze</v>
      </c>
      <c r="T250" s="370">
        <f>coder1_YH!AN250</f>
        <v>12</v>
      </c>
      <c r="U250" s="370">
        <f>coder1_YH!AO250</f>
        <v>4.8</v>
      </c>
      <c r="V250" s="370">
        <f>coder1_YH!AP250</f>
        <v>20</v>
      </c>
      <c r="W250" s="370">
        <f>coder1_YH!AQ250</f>
        <v>36.9</v>
      </c>
      <c r="X250" s="370">
        <f>coder1_YH!AR250</f>
        <v>4.0999999999999996</v>
      </c>
      <c r="Y250" s="370">
        <f>coder1_YH!AS250</f>
        <v>20</v>
      </c>
      <c r="Z250" s="371">
        <f t="shared" si="26"/>
        <v>12.1</v>
      </c>
      <c r="AA250" s="371">
        <f t="shared" si="27"/>
        <v>6.4</v>
      </c>
      <c r="AB250" s="371">
        <f t="shared" si="28"/>
        <v>20</v>
      </c>
      <c r="AC250" s="371">
        <f t="shared" si="29"/>
        <v>19.600000000000001</v>
      </c>
      <c r="AD250" s="371">
        <f t="shared" si="30"/>
        <v>6.8</v>
      </c>
      <c r="AE250" s="371">
        <f t="shared" si="31"/>
        <v>20</v>
      </c>
    </row>
    <row r="251" spans="1:31" x14ac:dyDescent="0.2">
      <c r="A251" t="str">
        <f>coder1_YH!B251</f>
        <v>EX</v>
      </c>
      <c r="B251">
        <f>coder1_YH!C251</f>
        <v>251</v>
      </c>
      <c r="C251">
        <f>coder1_YH!D251</f>
        <v>0</v>
      </c>
      <c r="D251">
        <f>coder1_YH!E251</f>
        <v>0</v>
      </c>
      <c r="E251">
        <f>coder1_YH!F251</f>
        <v>0</v>
      </c>
      <c r="G251" t="str">
        <f>IF(coder1_YH!G251="",G250, coder1_YH!G251)</f>
        <v>Miranda, 1997</v>
      </c>
      <c r="H251" s="405" t="str">
        <f>clean_mod!I251</f>
        <v>1997</v>
      </c>
      <c r="I251" t="str">
        <f>clean_mod!G251</f>
        <v>144</v>
      </c>
      <c r="J251">
        <f>clean_mod!H251</f>
        <v>144</v>
      </c>
      <c r="K251">
        <f>IF(coder1_YH!P251="",K250, coder1_YH!P251)</f>
        <v>2</v>
      </c>
      <c r="L251" s="324" t="str">
        <f>IF(clean_mod!AF251="",L250,clean_mod!AF251)</f>
        <v xml:space="preserve">144-NTm </v>
      </c>
      <c r="M251" s="324" t="str">
        <f>IF(clean_mod!AG251="",M250,clean_mod!AG251)</f>
        <v>144-NT_R</v>
      </c>
      <c r="N251" s="372" t="str">
        <f t="shared" si="24"/>
        <v>144-ctl-104</v>
      </c>
      <c r="O251" s="372" t="str">
        <f t="shared" si="25"/>
        <v>144-2-104</v>
      </c>
      <c r="P251" s="369">
        <v>104</v>
      </c>
      <c r="Q251" s="369" t="str">
        <f>LEFT(coder1_YH!AK251,1)</f>
        <v>0</v>
      </c>
      <c r="R251" s="369" t="str">
        <f>LEFT(coder1_YH!AL251,1)</f>
        <v>0</v>
      </c>
      <c r="S251" s="369" t="str">
        <f>coder1_YH!AJ251</f>
        <v>Comprehension - Main Idea</v>
      </c>
      <c r="T251" s="370">
        <f>coder1_YH!AN251</f>
        <v>0.4</v>
      </c>
      <c r="U251" s="370">
        <f>coder1_YH!AO251</f>
        <v>0.4</v>
      </c>
      <c r="V251" s="370">
        <f>coder1_YH!AP251</f>
        <v>20</v>
      </c>
      <c r="W251" s="370">
        <f>coder1_YH!AQ251</f>
        <v>1.5</v>
      </c>
      <c r="X251" s="370">
        <f>coder1_YH!AR251</f>
        <v>0.4</v>
      </c>
      <c r="Y251" s="370">
        <f>coder1_YH!AS251</f>
        <v>20</v>
      </c>
      <c r="Z251" s="371">
        <f t="shared" si="26"/>
        <v>0.5</v>
      </c>
      <c r="AA251" s="371">
        <f t="shared" si="27"/>
        <v>0.5</v>
      </c>
      <c r="AB251" s="371">
        <f t="shared" si="28"/>
        <v>20</v>
      </c>
      <c r="AC251" s="371">
        <f t="shared" si="29"/>
        <v>0.8</v>
      </c>
      <c r="AD251" s="371">
        <f t="shared" si="30"/>
        <v>0.6</v>
      </c>
      <c r="AE251" s="371">
        <f t="shared" si="31"/>
        <v>20</v>
      </c>
    </row>
    <row r="252" spans="1:31" x14ac:dyDescent="0.2">
      <c r="A252" t="str">
        <f>coder1_YH!B252</f>
        <v>EX</v>
      </c>
      <c r="B252">
        <f>coder1_YH!C252</f>
        <v>252</v>
      </c>
      <c r="C252">
        <f>coder1_YH!D252</f>
        <v>0</v>
      </c>
      <c r="D252">
        <f>coder1_YH!E252</f>
        <v>0</v>
      </c>
      <c r="E252" t="b">
        <f>coder1_YH!F252</f>
        <v>1</v>
      </c>
      <c r="G252" t="str">
        <f>IF(coder1_YH!G252="",G251, coder1_YH!G252)</f>
        <v>Miranda, 1997</v>
      </c>
      <c r="H252" s="405" t="str">
        <f>clean_mod!I252</f>
        <v>1997</v>
      </c>
      <c r="I252" t="str">
        <f>clean_mod!G252</f>
        <v>144</v>
      </c>
      <c r="J252">
        <f>clean_mod!H252</f>
        <v>144</v>
      </c>
      <c r="K252">
        <f>IF(coder1_YH!P252="",K251, coder1_YH!P252)</f>
        <v>2</v>
      </c>
      <c r="L252" s="324" t="str">
        <f>IF(clean_mod!AF252="",L251,clean_mod!AF252)</f>
        <v xml:space="preserve">144-NTm </v>
      </c>
      <c r="M252" s="324" t="str">
        <f>IF(clean_mod!AG252="",M251,clean_mod!AG252)</f>
        <v>144-NT_R</v>
      </c>
      <c r="N252" s="372" t="str">
        <f t="shared" si="24"/>
        <v>144-ctl-105</v>
      </c>
      <c r="O252" s="372" t="str">
        <f t="shared" si="25"/>
        <v>144-2-105</v>
      </c>
      <c r="P252" s="369">
        <v>105</v>
      </c>
      <c r="Q252" s="369" t="str">
        <f>LEFT(coder1_YH!AK252,1)</f>
        <v>0</v>
      </c>
      <c r="R252" s="369" t="str">
        <f>LEFT(coder1_YH!AL252,1)</f>
        <v>0</v>
      </c>
      <c r="S252" s="369" t="str">
        <f>coder1_YH!AJ252</f>
        <v>Comprehension - Recall</v>
      </c>
      <c r="T252" s="370">
        <f>coder1_YH!AN252</f>
        <v>2.2000000000000002</v>
      </c>
      <c r="U252" s="370">
        <f>coder1_YH!AO252</f>
        <v>1.1000000000000001</v>
      </c>
      <c r="V252" s="370">
        <f>coder1_YH!AP252</f>
        <v>20</v>
      </c>
      <c r="W252" s="370">
        <f>coder1_YH!AQ252</f>
        <v>10.4</v>
      </c>
      <c r="X252" s="370">
        <f>coder1_YH!AR252</f>
        <v>3.3</v>
      </c>
      <c r="Y252" s="370">
        <f>coder1_YH!AS252</f>
        <v>20</v>
      </c>
      <c r="Z252" s="371">
        <f t="shared" si="26"/>
        <v>4.3</v>
      </c>
      <c r="AA252" s="371">
        <f t="shared" si="27"/>
        <v>3.4</v>
      </c>
      <c r="AB252" s="371">
        <f t="shared" si="28"/>
        <v>20</v>
      </c>
      <c r="AC252" s="371">
        <f t="shared" si="29"/>
        <v>3.1</v>
      </c>
      <c r="AD252" s="371">
        <f t="shared" si="30"/>
        <v>1.8</v>
      </c>
      <c r="AE252" s="371">
        <f t="shared" si="31"/>
        <v>20</v>
      </c>
    </row>
    <row r="253" spans="1:31" x14ac:dyDescent="0.2">
      <c r="A253" t="str">
        <f>coder1_YH!B253</f>
        <v>EX</v>
      </c>
      <c r="B253">
        <f>coder1_YH!C253</f>
        <v>253</v>
      </c>
      <c r="C253">
        <f>coder1_YH!D253</f>
        <v>0</v>
      </c>
      <c r="D253">
        <f>coder1_YH!E253</f>
        <v>0</v>
      </c>
      <c r="E253">
        <f>coder1_YH!F253</f>
        <v>0</v>
      </c>
      <c r="G253" t="str">
        <f>IF(coder1_YH!G253="",G252, coder1_YH!G253)</f>
        <v>Miranda, 1997</v>
      </c>
      <c r="H253" s="405" t="str">
        <f>clean_mod!I253</f>
        <v>1997</v>
      </c>
      <c r="I253" t="str">
        <f>clean_mod!G253</f>
        <v>144</v>
      </c>
      <c r="J253">
        <f>clean_mod!H253</f>
        <v>144</v>
      </c>
      <c r="K253">
        <f>IF(coder1_YH!P253="",K252, coder1_YH!P253)</f>
        <v>2</v>
      </c>
      <c r="L253" s="324" t="str">
        <f>IF(clean_mod!AF253="",L252,clean_mod!AF253)</f>
        <v xml:space="preserve">144-NTm </v>
      </c>
      <c r="M253" s="324" t="str">
        <f>IF(clean_mod!AG253="",M252,clean_mod!AG253)</f>
        <v>144-NT_R</v>
      </c>
      <c r="N253" s="372" t="str">
        <f t="shared" si="24"/>
        <v>144-ctl-106</v>
      </c>
      <c r="O253" s="372" t="str">
        <f t="shared" si="25"/>
        <v>144-2-106</v>
      </c>
      <c r="P253" s="369">
        <v>106</v>
      </c>
      <c r="Q253" s="369" t="str">
        <f>LEFT(coder1_YH!AK253,1)</f>
        <v>0</v>
      </c>
      <c r="R253" s="369" t="str">
        <f>LEFT(coder1_YH!AL253,1)</f>
        <v>0</v>
      </c>
      <c r="S253" s="369" t="str">
        <f>coder1_YH!AJ253</f>
        <v>Comprehension - Colze</v>
      </c>
      <c r="T253" s="370">
        <f>coder1_YH!AN253</f>
        <v>14.5</v>
      </c>
      <c r="U253" s="370">
        <f>coder1_YH!AO253</f>
        <v>4.0999999999999996</v>
      </c>
      <c r="V253" s="370">
        <f>coder1_YH!AP253</f>
        <v>20</v>
      </c>
      <c r="W253" s="370">
        <f>coder1_YH!AQ253</f>
        <v>34.700000000000003</v>
      </c>
      <c r="X253" s="370">
        <f>coder1_YH!AR253</f>
        <v>5.4</v>
      </c>
      <c r="Y253" s="370">
        <f>coder1_YH!AS253</f>
        <v>20</v>
      </c>
      <c r="Z253" s="371">
        <f t="shared" si="26"/>
        <v>12.1</v>
      </c>
      <c r="AA253" s="371">
        <f t="shared" si="27"/>
        <v>6.4</v>
      </c>
      <c r="AB253" s="371">
        <f t="shared" si="28"/>
        <v>20</v>
      </c>
      <c r="AC253" s="371">
        <f t="shared" si="29"/>
        <v>19.600000000000001</v>
      </c>
      <c r="AD253" s="371">
        <f t="shared" si="30"/>
        <v>6.8</v>
      </c>
      <c r="AE253" s="371">
        <f t="shared" si="31"/>
        <v>20</v>
      </c>
    </row>
    <row r="254" spans="1:31" x14ac:dyDescent="0.2">
      <c r="A254" t="str">
        <f>coder1_YH!B254</f>
        <v>EX</v>
      </c>
      <c r="B254">
        <f>coder1_YH!C254</f>
        <v>254</v>
      </c>
      <c r="C254">
        <f>coder1_YH!D254</f>
        <v>0</v>
      </c>
      <c r="D254">
        <f>coder1_YH!E254</f>
        <v>0</v>
      </c>
      <c r="E254">
        <f>coder1_YH!F254</f>
        <v>0</v>
      </c>
      <c r="G254" t="str">
        <f>IF(coder1_YH!G254="",G253, coder1_YH!G254)</f>
        <v>Miranda, 1997</v>
      </c>
      <c r="H254" s="405" t="str">
        <f>clean_mod!I254</f>
        <v>1997</v>
      </c>
      <c r="I254" t="str">
        <f>clean_mod!G254</f>
        <v>144</v>
      </c>
      <c r="J254">
        <f>clean_mod!H254</f>
        <v>144</v>
      </c>
      <c r="K254" t="str">
        <f>IF(coder1_YH!P254="",K253, coder1_YH!P254)</f>
        <v>ctl</v>
      </c>
      <c r="L254" s="324" t="str">
        <f>IF(clean_mod!AF254="",L253,clean_mod!AF254)</f>
        <v>144-..</v>
      </c>
      <c r="M254" s="324" t="str">
        <f>IF(clean_mod!AG254="",M253,clean_mod!AG254)</f>
        <v>144-BAU</v>
      </c>
      <c r="N254" s="372" t="str">
        <f t="shared" si="24"/>
        <v>144-ctl-104</v>
      </c>
      <c r="O254" s="372" t="str">
        <f t="shared" si="25"/>
        <v>144-ctl-104</v>
      </c>
      <c r="P254" s="369">
        <v>104</v>
      </c>
      <c r="Q254" s="369" t="str">
        <f>LEFT(coder1_YH!AK254,1)</f>
        <v>0</v>
      </c>
      <c r="R254" s="369" t="str">
        <f>LEFT(coder1_YH!AL254,1)</f>
        <v>0</v>
      </c>
      <c r="S254" s="369" t="str">
        <f>coder1_YH!AJ254</f>
        <v>Comprehension - Main Idea</v>
      </c>
      <c r="T254" s="370">
        <f>coder1_YH!AN254</f>
        <v>0.5</v>
      </c>
      <c r="U254" s="370">
        <f>coder1_YH!AO254</f>
        <v>0.5</v>
      </c>
      <c r="V254" s="370">
        <f>coder1_YH!AP254</f>
        <v>20</v>
      </c>
      <c r="W254" s="370">
        <f>coder1_YH!AQ254</f>
        <v>0.8</v>
      </c>
      <c r="X254" s="370">
        <f>coder1_YH!AR254</f>
        <v>0.6</v>
      </c>
      <c r="Y254" s="370">
        <f>coder1_YH!AS254</f>
        <v>20</v>
      </c>
      <c r="Z254" s="371">
        <f t="shared" si="26"/>
        <v>0.5</v>
      </c>
      <c r="AA254" s="371">
        <f t="shared" si="27"/>
        <v>0.5</v>
      </c>
      <c r="AB254" s="371">
        <f t="shared" si="28"/>
        <v>20</v>
      </c>
      <c r="AC254" s="371">
        <f t="shared" si="29"/>
        <v>0.8</v>
      </c>
      <c r="AD254" s="371">
        <f t="shared" si="30"/>
        <v>0.6</v>
      </c>
      <c r="AE254" s="371">
        <f t="shared" si="31"/>
        <v>20</v>
      </c>
    </row>
    <row r="255" spans="1:31" x14ac:dyDescent="0.2">
      <c r="A255" t="str">
        <f>coder1_YH!B255</f>
        <v>EX</v>
      </c>
      <c r="B255">
        <f>coder1_YH!C255</f>
        <v>255</v>
      </c>
      <c r="C255">
        <f>coder1_YH!D255</f>
        <v>0</v>
      </c>
      <c r="D255">
        <f>coder1_YH!E255</f>
        <v>0</v>
      </c>
      <c r="E255" t="b">
        <f>coder1_YH!F255</f>
        <v>1</v>
      </c>
      <c r="G255" t="str">
        <f>IF(coder1_YH!G255="",G254, coder1_YH!G255)</f>
        <v>Miranda, 1997</v>
      </c>
      <c r="H255" s="405" t="str">
        <f>clean_mod!I255</f>
        <v>1997</v>
      </c>
      <c r="I255" t="str">
        <f>clean_mod!G255</f>
        <v>144</v>
      </c>
      <c r="J255">
        <f>clean_mod!H255</f>
        <v>144</v>
      </c>
      <c r="K255" t="str">
        <f>IF(coder1_YH!P255="",K254, coder1_YH!P255)</f>
        <v>ctl</v>
      </c>
      <c r="L255" s="324" t="str">
        <f>IF(clean_mod!AF255="",L254,clean_mod!AF255)</f>
        <v>144-..</v>
      </c>
      <c r="M255" s="324" t="str">
        <f>IF(clean_mod!AG255="",M254,clean_mod!AG255)</f>
        <v>144-BAU</v>
      </c>
      <c r="N255" s="372" t="str">
        <f t="shared" si="24"/>
        <v>144-ctl-105</v>
      </c>
      <c r="O255" s="372" t="str">
        <f t="shared" si="25"/>
        <v>144-ctl-105</v>
      </c>
      <c r="P255" s="369">
        <v>105</v>
      </c>
      <c r="Q255" s="369" t="str">
        <f>LEFT(coder1_YH!AK255,1)</f>
        <v>0</v>
      </c>
      <c r="R255" s="369" t="str">
        <f>LEFT(coder1_YH!AL255,1)</f>
        <v>0</v>
      </c>
      <c r="S255" s="369" t="str">
        <f>coder1_YH!AJ255</f>
        <v>Comprehension - Recall</v>
      </c>
      <c r="T255" s="370">
        <f>coder1_YH!AN255</f>
        <v>4.3</v>
      </c>
      <c r="U255" s="370">
        <f>coder1_YH!AO255</f>
        <v>3.4</v>
      </c>
      <c r="V255" s="370">
        <f>coder1_YH!AP255</f>
        <v>20</v>
      </c>
      <c r="W255" s="370">
        <f>coder1_YH!AQ255</f>
        <v>3.1</v>
      </c>
      <c r="X255" s="370">
        <f>coder1_YH!AR255</f>
        <v>1.8</v>
      </c>
      <c r="Y255" s="370">
        <f>coder1_YH!AS255</f>
        <v>20</v>
      </c>
      <c r="Z255" s="371">
        <f t="shared" si="26"/>
        <v>4.3</v>
      </c>
      <c r="AA255" s="371">
        <f t="shared" si="27"/>
        <v>3.4</v>
      </c>
      <c r="AB255" s="371">
        <f t="shared" si="28"/>
        <v>20</v>
      </c>
      <c r="AC255" s="371">
        <f t="shared" si="29"/>
        <v>3.1</v>
      </c>
      <c r="AD255" s="371">
        <f t="shared" si="30"/>
        <v>1.8</v>
      </c>
      <c r="AE255" s="371">
        <f t="shared" si="31"/>
        <v>20</v>
      </c>
    </row>
    <row r="256" spans="1:31" x14ac:dyDescent="0.2">
      <c r="A256" t="str">
        <f>coder1_YH!B256</f>
        <v>EX</v>
      </c>
      <c r="B256">
        <f>coder1_YH!C256</f>
        <v>256</v>
      </c>
      <c r="C256">
        <f>coder1_YH!D256</f>
        <v>0</v>
      </c>
      <c r="D256">
        <f>coder1_YH!E256</f>
        <v>0</v>
      </c>
      <c r="E256">
        <f>coder1_YH!F256</f>
        <v>0</v>
      </c>
      <c r="G256" t="str">
        <f>IF(coder1_YH!G256="",G255, coder1_YH!G256)</f>
        <v>Miranda, 1997</v>
      </c>
      <c r="H256" s="405" t="str">
        <f>clean_mod!I256</f>
        <v>1997</v>
      </c>
      <c r="I256" t="str">
        <f>clean_mod!G256</f>
        <v>144</v>
      </c>
      <c r="J256">
        <f>clean_mod!H256</f>
        <v>144</v>
      </c>
      <c r="K256" t="str">
        <f>IF(coder1_YH!P256="",K255, coder1_YH!P256)</f>
        <v>ctl</v>
      </c>
      <c r="L256" s="324" t="str">
        <f>IF(clean_mod!AF256="",L255,clean_mod!AF256)</f>
        <v>144-..</v>
      </c>
      <c r="M256" s="324" t="str">
        <f>IF(clean_mod!AG256="",M255,clean_mod!AG256)</f>
        <v>144-BAU</v>
      </c>
      <c r="N256" s="372" t="str">
        <f t="shared" si="24"/>
        <v>144-ctl-106</v>
      </c>
      <c r="O256" s="372" t="str">
        <f t="shared" si="25"/>
        <v>144-ctl-106</v>
      </c>
      <c r="P256" s="369">
        <v>106</v>
      </c>
      <c r="Q256" s="369" t="str">
        <f>LEFT(coder1_YH!AK256,1)</f>
        <v>0</v>
      </c>
      <c r="R256" s="369" t="str">
        <f>LEFT(coder1_YH!AL256,1)</f>
        <v>0</v>
      </c>
      <c r="S256" s="369" t="str">
        <f>coder1_YH!AJ256</f>
        <v>Comprehension - Colze</v>
      </c>
      <c r="T256" s="370">
        <f>coder1_YH!AN256</f>
        <v>12.1</v>
      </c>
      <c r="U256" s="370">
        <f>coder1_YH!AO256</f>
        <v>6.4</v>
      </c>
      <c r="V256" s="370">
        <f>coder1_YH!AP256</f>
        <v>20</v>
      </c>
      <c r="W256" s="370">
        <f>coder1_YH!AQ256</f>
        <v>19.600000000000001</v>
      </c>
      <c r="X256" s="370">
        <f>coder1_YH!AR256</f>
        <v>6.8</v>
      </c>
      <c r="Y256" s="370">
        <f>coder1_YH!AS256</f>
        <v>20</v>
      </c>
      <c r="Z256" s="371">
        <f t="shared" si="26"/>
        <v>12.1</v>
      </c>
      <c r="AA256" s="371">
        <f t="shared" si="27"/>
        <v>6.4</v>
      </c>
      <c r="AB256" s="371">
        <f t="shared" si="28"/>
        <v>20</v>
      </c>
      <c r="AC256" s="371">
        <f t="shared" si="29"/>
        <v>19.600000000000001</v>
      </c>
      <c r="AD256" s="371">
        <f t="shared" si="30"/>
        <v>6.8</v>
      </c>
      <c r="AE256" s="371">
        <f t="shared" si="31"/>
        <v>20</v>
      </c>
    </row>
    <row r="257" spans="1:31" x14ac:dyDescent="0.2">
      <c r="A257">
        <f>coder1_YH!B257</f>
        <v>0</v>
      </c>
      <c r="B257">
        <f>coder1_YH!C257</f>
        <v>257</v>
      </c>
      <c r="C257" t="b">
        <f>coder1_YH!D257</f>
        <v>1</v>
      </c>
      <c r="D257" t="b">
        <f>coder1_YH!E257</f>
        <v>1</v>
      </c>
      <c r="E257" t="b">
        <f>coder1_YH!F257</f>
        <v>1</v>
      </c>
      <c r="G257" t="str">
        <f>IF(coder1_YH!G257="",G256, coder1_YH!G257)</f>
        <v>Mete, 2020</v>
      </c>
      <c r="H257" s="405" t="str">
        <f>clean_mod!I257</f>
        <v>2020</v>
      </c>
      <c r="I257" t="str">
        <f>clean_mod!G257</f>
        <v>145</v>
      </c>
      <c r="J257">
        <f>clean_mod!H257</f>
        <v>145</v>
      </c>
      <c r="K257">
        <f>IF(coder1_YH!P257="",K256, coder1_YH!P257)</f>
        <v>1</v>
      </c>
      <c r="L257" s="324" t="str">
        <f>IF(clean_mod!AF257="",L256,clean_mod!AF257)</f>
        <v xml:space="preserve">145-NGm </v>
      </c>
      <c r="M257" s="324" t="str">
        <f>IF(clean_mod!AG257="",M256,clean_mod!AG257)</f>
        <v>145-NG_R</v>
      </c>
      <c r="N257" s="372" t="str">
        <f t="shared" si="24"/>
        <v>145-ctl-107</v>
      </c>
      <c r="O257" s="372" t="str">
        <f t="shared" si="25"/>
        <v>145-1-107</v>
      </c>
      <c r="P257" s="369">
        <v>107</v>
      </c>
      <c r="Q257" s="369" t="str">
        <f>LEFT(coder1_YH!AK257,1)</f>
        <v>0</v>
      </c>
      <c r="R257" s="369" t="str">
        <f>LEFT(coder1_YH!AL257,1)</f>
        <v>0</v>
      </c>
      <c r="S257" s="369" t="str">
        <f>coder1_YH!AJ257</f>
        <v>reading comprehension achievement test (RCAT)</v>
      </c>
      <c r="T257" s="370">
        <f>coder1_YH!AN257</f>
        <v>52.09</v>
      </c>
      <c r="U257" s="370">
        <f>coder1_YH!AO257</f>
        <v>20.9</v>
      </c>
      <c r="V257" s="370">
        <f>coder1_YH!AP257</f>
        <v>31</v>
      </c>
      <c r="W257" s="370">
        <f>coder1_YH!AQ257</f>
        <v>57.9</v>
      </c>
      <c r="X257" s="370">
        <f>coder1_YH!AR257</f>
        <v>18.7</v>
      </c>
      <c r="Y257" s="370">
        <f>coder1_YH!AS257</f>
        <v>31</v>
      </c>
      <c r="Z257" s="371">
        <f t="shared" si="26"/>
        <v>56.77</v>
      </c>
      <c r="AA257" s="371">
        <f t="shared" si="27"/>
        <v>14.3</v>
      </c>
      <c r="AB257" s="371">
        <f t="shared" si="28"/>
        <v>31</v>
      </c>
      <c r="AC257" s="371">
        <f t="shared" si="29"/>
        <v>56.93</v>
      </c>
      <c r="AD257" s="371">
        <f t="shared" si="30"/>
        <v>15.8</v>
      </c>
      <c r="AE257" s="371">
        <f t="shared" si="31"/>
        <v>31</v>
      </c>
    </row>
    <row r="258" spans="1:31" x14ac:dyDescent="0.2">
      <c r="A258">
        <f>coder1_YH!B258</f>
        <v>0</v>
      </c>
      <c r="B258">
        <f>coder1_YH!C258</f>
        <v>258</v>
      </c>
      <c r="C258">
        <f>coder1_YH!D258</f>
        <v>0</v>
      </c>
      <c r="D258" t="str">
        <f>coder1_YH!E258</f>
        <v/>
      </c>
      <c r="E258" t="b">
        <f>coder1_YH!F258</f>
        <v>1</v>
      </c>
      <c r="G258" t="str">
        <f>IF(coder1_YH!G258="",G257, coder1_YH!G258)</f>
        <v>Mete, 2020</v>
      </c>
      <c r="H258" s="405" t="str">
        <f>clean_mod!I258</f>
        <v>2020</v>
      </c>
      <c r="I258" t="str">
        <f>clean_mod!G258</f>
        <v>145</v>
      </c>
      <c r="J258">
        <f>clean_mod!H258</f>
        <v>145</v>
      </c>
      <c r="K258" t="str">
        <f>IF(coder1_YH!P258="",K257, coder1_YH!P258)</f>
        <v>ctl</v>
      </c>
      <c r="L258" s="324" t="str">
        <f>IF(clean_mod!AF258="",L257,clean_mod!AF258)</f>
        <v>145-..</v>
      </c>
      <c r="M258" s="324" t="str">
        <f>IF(clean_mod!AG258="",M257,clean_mod!AG258)</f>
        <v>145-BAU</v>
      </c>
      <c r="N258" s="372" t="str">
        <f t="shared" ref="N258:N312" si="32">I258&amp;"-"&amp;"ctl"&amp;"-"&amp;P258</f>
        <v>145-ctl-107</v>
      </c>
      <c r="O258" s="372" t="str">
        <f t="shared" ref="O258:O312" si="33">I258&amp;"-"&amp;K258&amp;"-"&amp;P258</f>
        <v>145-ctl-107</v>
      </c>
      <c r="P258" s="369">
        <v>107</v>
      </c>
      <c r="Q258" s="369" t="str">
        <f>LEFT(coder1_YH!AK258,1)</f>
        <v>0</v>
      </c>
      <c r="R258" s="369" t="str">
        <f>LEFT(coder1_YH!AL258,1)</f>
        <v>0</v>
      </c>
      <c r="S258" s="369" t="str">
        <f>coder1_YH!AJ258</f>
        <v>reading comprehension achievement test (RCAT)</v>
      </c>
      <c r="T258" s="370">
        <f>coder1_YH!AN258</f>
        <v>56.77</v>
      </c>
      <c r="U258" s="370">
        <f>coder1_YH!AO258</f>
        <v>14.3</v>
      </c>
      <c r="V258" s="370">
        <f>coder1_YH!AP258</f>
        <v>31</v>
      </c>
      <c r="W258" s="370">
        <f>coder1_YH!AQ258</f>
        <v>56.93</v>
      </c>
      <c r="X258" s="370">
        <f>coder1_YH!AR258</f>
        <v>15.8</v>
      </c>
      <c r="Y258" s="370">
        <f>coder1_YH!AS258</f>
        <v>31</v>
      </c>
      <c r="Z258" s="371">
        <f t="shared" ref="Z258:Z312" si="34">VLOOKUP($N258,$O:$Y,6,0)</f>
        <v>56.77</v>
      </c>
      <c r="AA258" s="371">
        <f t="shared" ref="AA258:AA312" si="35">VLOOKUP($N258,$O:$Y,7,0)</f>
        <v>14.3</v>
      </c>
      <c r="AB258" s="371">
        <f t="shared" ref="AB258:AB312" si="36">VLOOKUP($N258,$O:$Y,8,0)</f>
        <v>31</v>
      </c>
      <c r="AC258" s="371">
        <f t="shared" ref="AC258:AC312" si="37">VLOOKUP($N258,$O:$Y,9,0)</f>
        <v>56.93</v>
      </c>
      <c r="AD258" s="371">
        <f t="shared" ref="AD258:AD312" si="38">VLOOKUP($N258,$O:$Y,10,0)</f>
        <v>15.8</v>
      </c>
      <c r="AE258" s="371">
        <f t="shared" ref="AE258:AE312" si="39">VLOOKUP($N258,$O:$Y,11,0)</f>
        <v>31</v>
      </c>
    </row>
    <row r="259" spans="1:31" x14ac:dyDescent="0.2">
      <c r="A259">
        <f>coder1_YH!B259</f>
        <v>0</v>
      </c>
      <c r="B259">
        <f>coder1_YH!C259</f>
        <v>259</v>
      </c>
      <c r="C259" t="b">
        <f>coder1_YH!D259</f>
        <v>1</v>
      </c>
      <c r="D259" t="b">
        <f>coder1_YH!E259</f>
        <v>1</v>
      </c>
      <c r="E259" t="b">
        <f>coder1_YH!F259</f>
        <v>1</v>
      </c>
      <c r="G259" t="str">
        <f>IF(coder1_YH!G259="",G258, coder1_YH!G259)</f>
        <v>Souvignier &amp; Mokhlesgerami, 2006</v>
      </c>
      <c r="H259" s="405" t="str">
        <f>clean_mod!I259</f>
        <v>2006</v>
      </c>
      <c r="I259" t="str">
        <f>clean_mod!G259</f>
        <v>146</v>
      </c>
      <c r="J259">
        <f>clean_mod!H259</f>
        <v>146</v>
      </c>
      <c r="K259">
        <f>IF(coder1_YH!P259="",K258, coder1_YH!P259)</f>
        <v>1</v>
      </c>
      <c r="L259" s="324" t="str">
        <f>IF(clean_mod!AF259="",L258,clean_mod!AF259)</f>
        <v xml:space="preserve">146-NVGTm </v>
      </c>
      <c r="M259" s="324" t="str">
        <f>IF(clean_mod!AG259="",M258,clean_mod!AG259)</f>
        <v>146-NVGT_R</v>
      </c>
      <c r="N259" s="372" t="str">
        <f t="shared" si="32"/>
        <v>146-ctl-108</v>
      </c>
      <c r="O259" s="372" t="str">
        <f t="shared" si="33"/>
        <v>146-1-108</v>
      </c>
      <c r="P259" s="369">
        <v>108</v>
      </c>
      <c r="Q259" s="369" t="str">
        <f>LEFT(coder1_YH!AK259,1)</f>
        <v>1</v>
      </c>
      <c r="R259" s="369" t="str">
        <f>LEFT(coder1_YH!AL259,1)</f>
        <v>S</v>
      </c>
      <c r="S259" s="369" t="str">
        <f>coder1_YH!AJ259</f>
        <v>Reading comprehension</v>
      </c>
      <c r="T259" s="370">
        <f>coder1_YH!AN259</f>
        <v>5.69</v>
      </c>
      <c r="U259" s="370">
        <f>coder1_YH!AO259</f>
        <v>2.59</v>
      </c>
      <c r="V259" s="370">
        <f>coder1_YH!AP259</f>
        <v>95</v>
      </c>
      <c r="W259" s="370">
        <f>coder1_YH!AQ259</f>
        <v>7.65</v>
      </c>
      <c r="X259" s="370">
        <f>coder1_YH!AR259</f>
        <v>2.08</v>
      </c>
      <c r="Y259" s="370">
        <f>coder1_YH!AS259</f>
        <v>95</v>
      </c>
      <c r="Z259" s="371">
        <f t="shared" si="34"/>
        <v>5.13</v>
      </c>
      <c r="AA259" s="371">
        <f t="shared" si="35"/>
        <v>2.58</v>
      </c>
      <c r="AB259" s="371">
        <f t="shared" si="36"/>
        <v>84</v>
      </c>
      <c r="AC259" s="371">
        <f t="shared" si="37"/>
        <v>7.15</v>
      </c>
      <c r="AD259" s="371">
        <f t="shared" si="38"/>
        <v>2.0299999999999998</v>
      </c>
      <c r="AE259" s="371">
        <f t="shared" si="39"/>
        <v>84</v>
      </c>
    </row>
    <row r="260" spans="1:31" x14ac:dyDescent="0.2">
      <c r="A260">
        <f>coder1_YH!B260</f>
        <v>0</v>
      </c>
      <c r="B260">
        <f>coder1_YH!C260</f>
        <v>260</v>
      </c>
      <c r="C260">
        <f>coder1_YH!D260</f>
        <v>0</v>
      </c>
      <c r="D260" t="str">
        <f>coder1_YH!E260</f>
        <v/>
      </c>
      <c r="E260" t="b">
        <f>coder1_YH!F260</f>
        <v>1</v>
      </c>
      <c r="G260" t="str">
        <f>IF(coder1_YH!G260="",G259, coder1_YH!G260)</f>
        <v>Souvignier &amp; Mokhlesgerami, 2006</v>
      </c>
      <c r="H260" s="405" t="str">
        <f>clean_mod!I260</f>
        <v>2006</v>
      </c>
      <c r="I260" t="str">
        <f>clean_mod!G260</f>
        <v>146</v>
      </c>
      <c r="J260">
        <f>clean_mod!H260</f>
        <v>146</v>
      </c>
      <c r="K260">
        <f>IF(coder1_YH!P260="",K259, coder1_YH!P260)</f>
        <v>2</v>
      </c>
      <c r="L260" s="324" t="str">
        <f>IF(clean_mod!AF260="",L259,clean_mod!AF260)</f>
        <v xml:space="preserve">146-NVm </v>
      </c>
      <c r="M260" s="324" t="str">
        <f>IF(clean_mod!AG260="",M259,clean_mod!AG260)</f>
        <v>146-NV_R</v>
      </c>
      <c r="N260" s="372" t="str">
        <f t="shared" si="32"/>
        <v>146-ctl-108</v>
      </c>
      <c r="O260" s="372" t="str">
        <f t="shared" si="33"/>
        <v>146-2-108</v>
      </c>
      <c r="P260" s="369">
        <v>108</v>
      </c>
      <c r="Q260" s="369" t="str">
        <f>LEFT(coder1_YH!AK260,1)</f>
        <v>1</v>
      </c>
      <c r="R260" s="369" t="str">
        <f>LEFT(coder1_YH!AL260,1)</f>
        <v>S</v>
      </c>
      <c r="S260" s="369" t="str">
        <f>coder1_YH!AJ260</f>
        <v>Reading comprehension</v>
      </c>
      <c r="T260" s="370">
        <f>coder1_YH!AN260</f>
        <v>5.76</v>
      </c>
      <c r="U260" s="370">
        <f>coder1_YH!AO260</f>
        <v>2.73</v>
      </c>
      <c r="V260" s="370">
        <f>coder1_YH!AP260</f>
        <v>146</v>
      </c>
      <c r="W260" s="370">
        <f>coder1_YH!AQ260</f>
        <v>7.26</v>
      </c>
      <c r="X260" s="370">
        <f>coder1_YH!AR260</f>
        <v>1.78</v>
      </c>
      <c r="Y260" s="370">
        <f>coder1_YH!AS260</f>
        <v>146</v>
      </c>
      <c r="Z260" s="371">
        <f t="shared" si="34"/>
        <v>5.13</v>
      </c>
      <c r="AA260" s="371">
        <f t="shared" si="35"/>
        <v>2.58</v>
      </c>
      <c r="AB260" s="371">
        <f t="shared" si="36"/>
        <v>84</v>
      </c>
      <c r="AC260" s="371">
        <f t="shared" si="37"/>
        <v>7.15</v>
      </c>
      <c r="AD260" s="371">
        <f t="shared" si="38"/>
        <v>2.0299999999999998</v>
      </c>
      <c r="AE260" s="371">
        <f t="shared" si="39"/>
        <v>84</v>
      </c>
    </row>
    <row r="261" spans="1:31" x14ac:dyDescent="0.2">
      <c r="A261">
        <f>coder1_YH!B261</f>
        <v>0</v>
      </c>
      <c r="B261">
        <f>coder1_YH!C261</f>
        <v>261</v>
      </c>
      <c r="C261">
        <f>coder1_YH!D261</f>
        <v>0</v>
      </c>
      <c r="D261" t="str">
        <f>coder1_YH!E261</f>
        <v/>
      </c>
      <c r="E261" t="b">
        <f>coder1_YH!F261</f>
        <v>1</v>
      </c>
      <c r="G261" t="str">
        <f>IF(coder1_YH!G261="",G260, coder1_YH!G261)</f>
        <v>Souvignier &amp; Mokhlesgerami, 2006</v>
      </c>
      <c r="H261" s="405" t="str">
        <f>clean_mod!I261</f>
        <v>2006</v>
      </c>
      <c r="I261" t="str">
        <f>clean_mod!G261</f>
        <v>146</v>
      </c>
      <c r="J261">
        <f>clean_mod!H261</f>
        <v>146</v>
      </c>
      <c r="K261">
        <f>IF(coder1_YH!P261="",K260, coder1_YH!P261)</f>
        <v>3</v>
      </c>
      <c r="L261" s="324" t="str">
        <f>IF(clean_mod!AF261="",L260,clean_mod!AF261)</f>
        <v xml:space="preserve">146-.m </v>
      </c>
      <c r="M261" s="324" t="str">
        <f>IF(clean_mod!AG261="",M260,clean_mod!AG261)</f>
        <v>146-R</v>
      </c>
      <c r="N261" s="372" t="str">
        <f t="shared" si="32"/>
        <v>146-ctl-108</v>
      </c>
      <c r="O261" s="372" t="str">
        <f t="shared" si="33"/>
        <v>146-3-108</v>
      </c>
      <c r="P261" s="369">
        <v>108</v>
      </c>
      <c r="Q261" s="369" t="str">
        <f>LEFT(coder1_YH!AK261,1)</f>
        <v>1</v>
      </c>
      <c r="R261" s="369" t="str">
        <f>LEFT(coder1_YH!AL261,1)</f>
        <v>S</v>
      </c>
      <c r="S261" s="369" t="str">
        <f>coder1_YH!AJ261</f>
        <v>Reading comprehension</v>
      </c>
      <c r="T261" s="370">
        <f>coder1_YH!AN261</f>
        <v>5.97</v>
      </c>
      <c r="U261" s="370">
        <f>coder1_YH!AO261</f>
        <v>2.59</v>
      </c>
      <c r="V261" s="370">
        <f>coder1_YH!AP261</f>
        <v>89</v>
      </c>
      <c r="W261" s="370">
        <f>coder1_YH!AQ261</f>
        <v>7.89</v>
      </c>
      <c r="X261" s="370">
        <f>coder1_YH!AR261</f>
        <v>2.13</v>
      </c>
      <c r="Y261" s="370">
        <f>coder1_YH!AS261</f>
        <v>89</v>
      </c>
      <c r="Z261" s="371">
        <f t="shared" si="34"/>
        <v>5.13</v>
      </c>
      <c r="AA261" s="371">
        <f t="shared" si="35"/>
        <v>2.58</v>
      </c>
      <c r="AB261" s="371">
        <f t="shared" si="36"/>
        <v>84</v>
      </c>
      <c r="AC261" s="371">
        <f t="shared" si="37"/>
        <v>7.15</v>
      </c>
      <c r="AD261" s="371">
        <f t="shared" si="38"/>
        <v>2.0299999999999998</v>
      </c>
      <c r="AE261" s="371">
        <f t="shared" si="39"/>
        <v>84</v>
      </c>
    </row>
    <row r="262" spans="1:31" x14ac:dyDescent="0.2">
      <c r="A262">
        <f>coder1_YH!B262</f>
        <v>0</v>
      </c>
      <c r="B262">
        <f>coder1_YH!C262</f>
        <v>262</v>
      </c>
      <c r="C262">
        <f>coder1_YH!D262</f>
        <v>0</v>
      </c>
      <c r="D262" t="str">
        <f>coder1_YH!E262</f>
        <v/>
      </c>
      <c r="E262" t="b">
        <f>coder1_YH!F262</f>
        <v>1</v>
      </c>
      <c r="G262" t="str">
        <f>IF(coder1_YH!G262="",G261, coder1_YH!G262)</f>
        <v>Souvignier &amp; Mokhlesgerami, 2006</v>
      </c>
      <c r="H262" s="405" t="str">
        <f>clean_mod!I262</f>
        <v>2006</v>
      </c>
      <c r="I262" t="str">
        <f>clean_mod!G262</f>
        <v>146</v>
      </c>
      <c r="J262">
        <f>clean_mod!H262</f>
        <v>146</v>
      </c>
      <c r="K262" t="str">
        <f>IF(coder1_YH!P262="",K261, coder1_YH!P262)</f>
        <v>ctl</v>
      </c>
      <c r="L262" s="324" t="str">
        <f>IF(clean_mod!AF262="",L261,clean_mod!AF262)</f>
        <v>146-..</v>
      </c>
      <c r="M262" s="324" t="str">
        <f>IF(clean_mod!AG262="",M261,clean_mod!AG262)</f>
        <v>146-BAU</v>
      </c>
      <c r="N262" s="372" t="str">
        <f t="shared" si="32"/>
        <v>146-ctl-108</v>
      </c>
      <c r="O262" s="372" t="str">
        <f t="shared" si="33"/>
        <v>146-ctl-108</v>
      </c>
      <c r="P262" s="369">
        <v>108</v>
      </c>
      <c r="Q262" s="369" t="str">
        <f>LEFT(coder1_YH!AK262,1)</f>
        <v>1</v>
      </c>
      <c r="R262" s="369" t="str">
        <f>LEFT(coder1_YH!AL262,1)</f>
        <v>S</v>
      </c>
      <c r="S262" s="369" t="str">
        <f>coder1_YH!AJ262</f>
        <v>Reading comprehension</v>
      </c>
      <c r="T262" s="370">
        <f>coder1_YH!AN262</f>
        <v>5.13</v>
      </c>
      <c r="U262" s="370">
        <f>coder1_YH!AO262</f>
        <v>2.58</v>
      </c>
      <c r="V262" s="370">
        <f>coder1_YH!AP262</f>
        <v>84</v>
      </c>
      <c r="W262" s="370">
        <f>coder1_YH!AQ262</f>
        <v>7.15</v>
      </c>
      <c r="X262" s="370">
        <f>coder1_YH!AR262</f>
        <v>2.0299999999999998</v>
      </c>
      <c r="Y262" s="370">
        <f>coder1_YH!AS262</f>
        <v>84</v>
      </c>
      <c r="Z262" s="371">
        <f t="shared" si="34"/>
        <v>5.13</v>
      </c>
      <c r="AA262" s="371">
        <f t="shared" si="35"/>
        <v>2.58</v>
      </c>
      <c r="AB262" s="371">
        <f t="shared" si="36"/>
        <v>84</v>
      </c>
      <c r="AC262" s="371">
        <f t="shared" si="37"/>
        <v>7.15</v>
      </c>
      <c r="AD262" s="371">
        <f t="shared" si="38"/>
        <v>2.0299999999999998</v>
      </c>
      <c r="AE262" s="371">
        <f t="shared" si="39"/>
        <v>84</v>
      </c>
    </row>
    <row r="263" spans="1:31" x14ac:dyDescent="0.2">
      <c r="A263">
        <f>coder1_YH!B263</f>
        <v>0</v>
      </c>
      <c r="B263">
        <f>coder1_YH!C263</f>
        <v>263</v>
      </c>
      <c r="C263">
        <f>coder1_YH!D263</f>
        <v>0</v>
      </c>
      <c r="D263">
        <f>coder1_YH!E263</f>
        <v>0</v>
      </c>
      <c r="E263" t="b">
        <f>coder1_YH!F263</f>
        <v>1</v>
      </c>
      <c r="G263" t="str">
        <f>IF(coder1_YH!G263="",G262, coder1_YH!G263)</f>
        <v>Schünemann et al., 2013</v>
      </c>
      <c r="H263" s="405" t="str">
        <f>clean_mod!I263</f>
        <v>2013</v>
      </c>
      <c r="I263" t="str">
        <f>clean_mod!G263</f>
        <v>147</v>
      </c>
      <c r="J263">
        <f>clean_mod!H263</f>
        <v>147</v>
      </c>
      <c r="K263" t="str">
        <f>IF(coder1_YH!P263="",K262, coder1_YH!P263)</f>
        <v>ctl</v>
      </c>
      <c r="L263" s="324" t="str">
        <f>IF(clean_mod!AF263="",L262,clean_mod!AF263)</f>
        <v>147-..</v>
      </c>
      <c r="M263" s="324" t="str">
        <f>IF(clean_mod!AG263="",M262,clean_mod!AG263)</f>
        <v>147-BAU</v>
      </c>
      <c r="N263" s="372" t="str">
        <f t="shared" si="32"/>
        <v>147-ctl-109</v>
      </c>
      <c r="O263" s="372" t="str">
        <f t="shared" si="33"/>
        <v>147-ctl-109</v>
      </c>
      <c r="P263" s="369">
        <v>109</v>
      </c>
      <c r="Q263" s="369" t="str">
        <f>LEFT(coder1_YH!AK263,1)</f>
        <v>1</v>
      </c>
      <c r="R263" s="369" t="str">
        <f>LEFT(coder1_YH!AL263,1)</f>
        <v>S</v>
      </c>
      <c r="S263" s="369" t="str">
        <f>coder1_YH!AJ263</f>
        <v>FLVT Reading comprehension</v>
      </c>
      <c r="T263" s="370">
        <f>coder1_YH!AN263</f>
        <v>50.2</v>
      </c>
      <c r="U263" s="370">
        <f>coder1_YH!AO263</f>
        <v>8.2200000000000006</v>
      </c>
      <c r="V263" s="370">
        <f>coder1_YH!AP263</f>
        <v>62</v>
      </c>
      <c r="W263" s="370">
        <f>coder1_YH!AQ263</f>
        <v>49.32</v>
      </c>
      <c r="X263" s="370">
        <f>coder1_YH!AR263</f>
        <v>7.05</v>
      </c>
      <c r="Y263" s="370">
        <f>coder1_YH!AS263</f>
        <v>127</v>
      </c>
      <c r="Z263" s="371">
        <f t="shared" si="34"/>
        <v>50.2</v>
      </c>
      <c r="AA263" s="371">
        <f t="shared" si="35"/>
        <v>8.2200000000000006</v>
      </c>
      <c r="AB263" s="371">
        <f t="shared" si="36"/>
        <v>62</v>
      </c>
      <c r="AC263" s="371">
        <f t="shared" si="37"/>
        <v>49.32</v>
      </c>
      <c r="AD263" s="371">
        <f t="shared" si="38"/>
        <v>7.05</v>
      </c>
      <c r="AE263" s="371">
        <f t="shared" si="39"/>
        <v>127</v>
      </c>
    </row>
    <row r="264" spans="1:31" x14ac:dyDescent="0.2">
      <c r="A264">
        <f>coder1_YH!B264</f>
        <v>0</v>
      </c>
      <c r="B264">
        <f>coder1_YH!C264</f>
        <v>264</v>
      </c>
      <c r="C264">
        <f>coder1_YH!D264</f>
        <v>0</v>
      </c>
      <c r="D264">
        <f>coder1_YH!E264</f>
        <v>0</v>
      </c>
      <c r="E264" t="b">
        <f>coder1_YH!F264</f>
        <v>1</v>
      </c>
      <c r="G264" t="str">
        <f>IF(coder1_YH!G264="",G263, coder1_YH!G264)</f>
        <v>Schünemann et al., 2013</v>
      </c>
      <c r="H264" s="405" t="str">
        <f>clean_mod!I264</f>
        <v>2013</v>
      </c>
      <c r="I264" t="str">
        <f>clean_mod!G264</f>
        <v>147</v>
      </c>
      <c r="J264">
        <f>clean_mod!H264</f>
        <v>147</v>
      </c>
      <c r="K264">
        <f>IF(coder1_YH!P264="",K263, coder1_YH!P264)</f>
        <v>1</v>
      </c>
      <c r="L264" s="324" t="str">
        <f>IF(clean_mod!AF264="",L263,clean_mod!AF264)</f>
        <v xml:space="preserve">147-NVm </v>
      </c>
      <c r="M264" s="324" t="str">
        <f>IF(clean_mod!AG264="",M263,clean_mod!AG264)</f>
        <v>147-NV_R</v>
      </c>
      <c r="N264" s="372" t="str">
        <f t="shared" si="32"/>
        <v>147-ctl-109</v>
      </c>
      <c r="O264" s="372" t="str">
        <f t="shared" si="33"/>
        <v>147-1-109</v>
      </c>
      <c r="P264" s="369">
        <v>109</v>
      </c>
      <c r="Q264" s="369" t="str">
        <f>LEFT(coder1_YH!AK264,1)</f>
        <v>1</v>
      </c>
      <c r="R264" s="369" t="str">
        <f>LEFT(coder1_YH!AL264,1)</f>
        <v>S</v>
      </c>
      <c r="S264" s="369" t="str">
        <f>coder1_YH!AJ264</f>
        <v>FLVT Reading comprehension</v>
      </c>
      <c r="T264" s="370">
        <f>coder1_YH!AN264</f>
        <v>49.76</v>
      </c>
      <c r="U264" s="370">
        <f>coder1_YH!AO264</f>
        <v>8.93</v>
      </c>
      <c r="V264" s="370">
        <f>coder1_YH!AP264</f>
        <v>62</v>
      </c>
      <c r="W264" s="370">
        <f>coder1_YH!AQ264</f>
        <v>49.99</v>
      </c>
      <c r="X264" s="370">
        <f>coder1_YH!AR264</f>
        <v>9.02</v>
      </c>
      <c r="Y264" s="370">
        <f>coder1_YH!AS264</f>
        <v>127</v>
      </c>
      <c r="Z264" s="371">
        <f t="shared" si="34"/>
        <v>50.2</v>
      </c>
      <c r="AA264" s="371">
        <f t="shared" si="35"/>
        <v>8.2200000000000006</v>
      </c>
      <c r="AB264" s="371">
        <f t="shared" si="36"/>
        <v>62</v>
      </c>
      <c r="AC264" s="371">
        <f t="shared" si="37"/>
        <v>49.32</v>
      </c>
      <c r="AD264" s="371">
        <f t="shared" si="38"/>
        <v>7.05</v>
      </c>
      <c r="AE264" s="371">
        <f t="shared" si="39"/>
        <v>127</v>
      </c>
    </row>
    <row r="265" spans="1:31" x14ac:dyDescent="0.2">
      <c r="A265">
        <f>coder1_YH!B265</f>
        <v>0</v>
      </c>
      <c r="B265">
        <f>coder1_YH!C265</f>
        <v>265</v>
      </c>
      <c r="C265" t="b">
        <f>coder1_YH!D265</f>
        <v>1</v>
      </c>
      <c r="D265" t="b">
        <f>coder1_YH!E265</f>
        <v>1</v>
      </c>
      <c r="E265" t="b">
        <f>coder1_YH!F265</f>
        <v>1</v>
      </c>
      <c r="G265" t="str">
        <f>IF(coder1_YH!G265="",G264, coder1_YH!G265)</f>
        <v>Schünemann et al., 2013</v>
      </c>
      <c r="H265" s="405" t="str">
        <f>clean_mod!I265</f>
        <v>2013</v>
      </c>
      <c r="I265" t="str">
        <f>clean_mod!G265</f>
        <v>147</v>
      </c>
      <c r="J265">
        <f>clean_mod!H265</f>
        <v>147</v>
      </c>
      <c r="K265">
        <f>IF(coder1_YH!P265="",K264, coder1_YH!P265)</f>
        <v>2</v>
      </c>
      <c r="L265" s="324" t="str">
        <f>IF(clean_mod!AF265="",L264,clean_mod!AF265)</f>
        <v xml:space="preserve">147-NVGTm </v>
      </c>
      <c r="M265" s="324" t="str">
        <f>IF(clean_mod!AG265="",M264,clean_mod!AG265)</f>
        <v>147-NVGT_R</v>
      </c>
      <c r="N265" s="372" t="str">
        <f t="shared" si="32"/>
        <v>147-ctl-109</v>
      </c>
      <c r="O265" s="372" t="str">
        <f t="shared" si="33"/>
        <v>147-2-109</v>
      </c>
      <c r="P265" s="369">
        <v>109</v>
      </c>
      <c r="Q265" s="369" t="str">
        <f>LEFT(coder1_YH!AK265,1)</f>
        <v>1</v>
      </c>
      <c r="R265" s="369" t="str">
        <f>LEFT(coder1_YH!AL265,1)</f>
        <v>S</v>
      </c>
      <c r="S265" s="369" t="str">
        <f>coder1_YH!AJ265</f>
        <v>FLVT Reading comprehension</v>
      </c>
      <c r="T265" s="370">
        <f>coder1_YH!AN265</f>
        <v>48.75</v>
      </c>
      <c r="U265" s="370">
        <f>coder1_YH!AO265</f>
        <v>7.91</v>
      </c>
      <c r="V265" s="370">
        <f>coder1_YH!AP265</f>
        <v>62</v>
      </c>
      <c r="W265" s="370">
        <f>coder1_YH!AQ265</f>
        <v>52.14</v>
      </c>
      <c r="X265" s="370">
        <f>coder1_YH!AR265</f>
        <v>8.93</v>
      </c>
      <c r="Y265" s="370">
        <f>coder1_YH!AS265</f>
        <v>127</v>
      </c>
      <c r="Z265" s="371">
        <f t="shared" si="34"/>
        <v>50.2</v>
      </c>
      <c r="AA265" s="371">
        <f t="shared" si="35"/>
        <v>8.2200000000000006</v>
      </c>
      <c r="AB265" s="371">
        <f t="shared" si="36"/>
        <v>62</v>
      </c>
      <c r="AC265" s="371">
        <f t="shared" si="37"/>
        <v>49.32</v>
      </c>
      <c r="AD265" s="371">
        <f t="shared" si="38"/>
        <v>7.05</v>
      </c>
      <c r="AE265" s="371">
        <f t="shared" si="39"/>
        <v>127</v>
      </c>
    </row>
    <row r="266" spans="1:31" x14ac:dyDescent="0.2">
      <c r="A266">
        <f>coder1_YH!B266</f>
        <v>0</v>
      </c>
      <c r="B266">
        <f>coder1_YH!C266</f>
        <v>266</v>
      </c>
      <c r="C266">
        <f>coder1_YH!D266</f>
        <v>0</v>
      </c>
      <c r="D266">
        <f>coder1_YH!E266</f>
        <v>0</v>
      </c>
      <c r="E266" t="b">
        <f>coder1_YH!F266</f>
        <v>1</v>
      </c>
      <c r="G266" t="str">
        <f>IF(coder1_YH!G266="",G265, coder1_YH!G266)</f>
        <v>Spörer &amp; Schünemann, 2014</v>
      </c>
      <c r="H266" s="405" t="str">
        <f>clean_mod!I266</f>
        <v>2014</v>
      </c>
      <c r="I266" t="str">
        <f>clean_mod!G266</f>
        <v>148</v>
      </c>
      <c r="J266">
        <f>clean_mod!H266</f>
        <v>148</v>
      </c>
      <c r="K266" t="str">
        <f>IF(coder1_YH!P266="",K265, coder1_YH!P266)</f>
        <v>ctl</v>
      </c>
      <c r="L266" s="324" t="str">
        <f>IF(clean_mod!AF266="",L265,clean_mod!AF266)</f>
        <v xml:space="preserve">148-Nm </v>
      </c>
      <c r="M266" s="324" t="str">
        <f>IF(clean_mod!AG266="",M265,clean_mod!AG266)</f>
        <v>148-N_R</v>
      </c>
      <c r="N266" s="372" t="str">
        <f t="shared" si="32"/>
        <v>148-ctl-110</v>
      </c>
      <c r="O266" s="372" t="str">
        <f t="shared" si="33"/>
        <v>148-ctl-110</v>
      </c>
      <c r="P266" s="369">
        <v>110</v>
      </c>
      <c r="Q266" s="369" t="str">
        <f>LEFT(coder1_YH!AK266,1)</f>
        <v>1</v>
      </c>
      <c r="R266" s="369" t="str">
        <f>LEFT(coder1_YH!AL266,1)</f>
        <v>S</v>
      </c>
      <c r="S266" s="369" t="str">
        <f>coder1_YH!AJ266</f>
        <v>FLVT 5-6 Reading Comprehension</v>
      </c>
      <c r="T266" s="370">
        <f>coder1_YH!AN266</f>
        <v>49.31</v>
      </c>
      <c r="U266" s="370">
        <f>coder1_YH!AO266</f>
        <v>8.2200000000000006</v>
      </c>
      <c r="V266" s="370">
        <f>coder1_YH!AP266</f>
        <v>133</v>
      </c>
      <c r="W266" s="370">
        <f>coder1_YH!AQ266</f>
        <v>50.43</v>
      </c>
      <c r="X266" s="370">
        <f>coder1_YH!AR266</f>
        <v>8.08</v>
      </c>
      <c r="Y266" s="370">
        <f>coder1_YH!AS266</f>
        <v>133</v>
      </c>
      <c r="Z266" s="371">
        <f t="shared" si="34"/>
        <v>49.31</v>
      </c>
      <c r="AA266" s="371">
        <f t="shared" si="35"/>
        <v>8.2200000000000006</v>
      </c>
      <c r="AB266" s="371">
        <f t="shared" si="36"/>
        <v>133</v>
      </c>
      <c r="AC266" s="371">
        <f t="shared" si="37"/>
        <v>50.43</v>
      </c>
      <c r="AD266" s="371">
        <f t="shared" si="38"/>
        <v>8.08</v>
      </c>
      <c r="AE266" s="371">
        <f t="shared" si="39"/>
        <v>133</v>
      </c>
    </row>
    <row r="267" spans="1:31" x14ac:dyDescent="0.2">
      <c r="A267">
        <f>coder1_YH!B267</f>
        <v>0</v>
      </c>
      <c r="B267">
        <f>coder1_YH!C267</f>
        <v>267</v>
      </c>
      <c r="C267">
        <f>coder1_YH!D267</f>
        <v>0</v>
      </c>
      <c r="D267">
        <f>coder1_YH!E267</f>
        <v>0</v>
      </c>
      <c r="E267" t="b">
        <f>coder1_YH!F267</f>
        <v>1</v>
      </c>
      <c r="G267" t="str">
        <f>IF(coder1_YH!G267="",G266, coder1_YH!G267)</f>
        <v>Spörer &amp; Schünemann, 2014</v>
      </c>
      <c r="H267" s="405" t="str">
        <f>clean_mod!I267</f>
        <v>2014</v>
      </c>
      <c r="I267" t="str">
        <f>clean_mod!G267</f>
        <v>148</v>
      </c>
      <c r="J267">
        <f>clean_mod!H267</f>
        <v>148</v>
      </c>
      <c r="K267">
        <f>IF(coder1_YH!P267="",K266, coder1_YH!P267)</f>
        <v>1</v>
      </c>
      <c r="L267" s="324" t="str">
        <f>IF(clean_mod!AF267="",L266,clean_mod!AF267)</f>
        <v xml:space="preserve">148-NVGm </v>
      </c>
      <c r="M267" s="324" t="str">
        <f>IF(clean_mod!AG267="",M266,clean_mod!AG267)</f>
        <v>148-NVG_R</v>
      </c>
      <c r="N267" s="372" t="str">
        <f t="shared" si="32"/>
        <v>148-ctl-110</v>
      </c>
      <c r="O267" s="372" t="str">
        <f t="shared" si="33"/>
        <v>148-1-110</v>
      </c>
      <c r="P267" s="369">
        <v>110</v>
      </c>
      <c r="Q267" s="369" t="str">
        <f>LEFT(coder1_YH!AK267,1)</f>
        <v>1</v>
      </c>
      <c r="R267" s="369" t="str">
        <f>LEFT(coder1_YH!AL267,1)</f>
        <v>S</v>
      </c>
      <c r="S267" s="369" t="str">
        <f>coder1_YH!AJ267</f>
        <v>FLVT 5-6 Reading Comprehension</v>
      </c>
      <c r="T267" s="370">
        <f>coder1_YH!AN267</f>
        <v>50.81</v>
      </c>
      <c r="U267" s="370">
        <f>coder1_YH!AO267</f>
        <v>9.19</v>
      </c>
      <c r="V267" s="370">
        <f>coder1_YH!AP267</f>
        <v>129</v>
      </c>
      <c r="W267" s="370">
        <f>coder1_YH!AQ267</f>
        <v>52.18</v>
      </c>
      <c r="X267" s="370">
        <f>coder1_YH!AR267</f>
        <v>7.95</v>
      </c>
      <c r="Y267" s="370">
        <f>coder1_YH!AS267</f>
        <v>129</v>
      </c>
      <c r="Z267" s="371">
        <f t="shared" si="34"/>
        <v>49.31</v>
      </c>
      <c r="AA267" s="371">
        <f t="shared" si="35"/>
        <v>8.2200000000000006</v>
      </c>
      <c r="AB267" s="371">
        <f t="shared" si="36"/>
        <v>133</v>
      </c>
      <c r="AC267" s="371">
        <f t="shared" si="37"/>
        <v>50.43</v>
      </c>
      <c r="AD267" s="371">
        <f t="shared" si="38"/>
        <v>8.08</v>
      </c>
      <c r="AE267" s="371">
        <f t="shared" si="39"/>
        <v>133</v>
      </c>
    </row>
    <row r="268" spans="1:31" x14ac:dyDescent="0.2">
      <c r="A268">
        <f>coder1_YH!B268</f>
        <v>0</v>
      </c>
      <c r="B268">
        <f>coder1_YH!C268</f>
        <v>268</v>
      </c>
      <c r="C268">
        <f>coder1_YH!D268</f>
        <v>0</v>
      </c>
      <c r="D268">
        <f>coder1_YH!E268</f>
        <v>0</v>
      </c>
      <c r="E268" t="b">
        <f>coder1_YH!F268</f>
        <v>1</v>
      </c>
      <c r="G268" t="str">
        <f>IF(coder1_YH!G268="",G267, coder1_YH!G268)</f>
        <v>Spörer &amp; Schünemann, 2014</v>
      </c>
      <c r="H268" s="405" t="str">
        <f>clean_mod!I268</f>
        <v>2014</v>
      </c>
      <c r="I268" t="str">
        <f>clean_mod!G268</f>
        <v>148</v>
      </c>
      <c r="J268">
        <f>clean_mod!H268</f>
        <v>148</v>
      </c>
      <c r="K268">
        <f>IF(coder1_YH!P268="",K267, coder1_YH!P268)</f>
        <v>2</v>
      </c>
      <c r="L268" s="324" t="str">
        <f>IF(clean_mod!AF268="",L267,clean_mod!AF268)</f>
        <v xml:space="preserve">148-NVGm </v>
      </c>
      <c r="M268" s="324" t="str">
        <f>IF(clean_mod!AG268="",M267,clean_mod!AG268)</f>
        <v>148-NVG_R</v>
      </c>
      <c r="N268" s="372" t="str">
        <f t="shared" si="32"/>
        <v>148-ctl-110</v>
      </c>
      <c r="O268" s="372" t="str">
        <f t="shared" si="33"/>
        <v>148-2-110</v>
      </c>
      <c r="P268" s="369">
        <v>110</v>
      </c>
      <c r="Q268" s="369" t="str">
        <f>LEFT(coder1_YH!AK268,1)</f>
        <v>1</v>
      </c>
      <c r="R268" s="369" t="str">
        <f>LEFT(coder1_YH!AL268,1)</f>
        <v>S</v>
      </c>
      <c r="S268" s="369" t="str">
        <f>coder1_YH!AJ268</f>
        <v>FLVT 5-6 Reading Comprehension</v>
      </c>
      <c r="T268" s="370">
        <f>coder1_YH!AN268</f>
        <v>48.57</v>
      </c>
      <c r="U268" s="370">
        <f>coder1_YH!AO268</f>
        <v>12.32</v>
      </c>
      <c r="V268" s="370">
        <f>coder1_YH!AP268</f>
        <v>126</v>
      </c>
      <c r="W268" s="370">
        <f>coder1_YH!AQ268</f>
        <v>52.41</v>
      </c>
      <c r="X268" s="370">
        <f>coder1_YH!AR268</f>
        <v>9.43</v>
      </c>
      <c r="Y268" s="370">
        <f>coder1_YH!AS268</f>
        <v>126</v>
      </c>
      <c r="Z268" s="371">
        <f t="shared" si="34"/>
        <v>49.31</v>
      </c>
      <c r="AA268" s="371">
        <f t="shared" si="35"/>
        <v>8.2200000000000006</v>
      </c>
      <c r="AB268" s="371">
        <f t="shared" si="36"/>
        <v>133</v>
      </c>
      <c r="AC268" s="371">
        <f t="shared" si="37"/>
        <v>50.43</v>
      </c>
      <c r="AD268" s="371">
        <f t="shared" si="38"/>
        <v>8.08</v>
      </c>
      <c r="AE268" s="371">
        <f t="shared" si="39"/>
        <v>133</v>
      </c>
    </row>
    <row r="269" spans="1:31" x14ac:dyDescent="0.2">
      <c r="A269">
        <f>coder1_YH!B269</f>
        <v>0</v>
      </c>
      <c r="B269">
        <f>coder1_YH!C269</f>
        <v>269</v>
      </c>
      <c r="C269" t="b">
        <f>coder1_YH!D269</f>
        <v>1</v>
      </c>
      <c r="D269" t="b">
        <f>coder1_YH!E269</f>
        <v>1</v>
      </c>
      <c r="E269" t="b">
        <f>coder1_YH!F269</f>
        <v>1</v>
      </c>
      <c r="G269" t="str">
        <f>IF(coder1_YH!G269="",G268, coder1_YH!G269)</f>
        <v>Spörer &amp; Schünemann, 2014</v>
      </c>
      <c r="H269" s="405" t="str">
        <f>clean_mod!I269</f>
        <v>2014</v>
      </c>
      <c r="I269" t="str">
        <f>clean_mod!G269</f>
        <v>148</v>
      </c>
      <c r="J269">
        <f>clean_mod!H269</f>
        <v>148</v>
      </c>
      <c r="K269">
        <f>IF(coder1_YH!P269="",K268, coder1_YH!P269)</f>
        <v>3</v>
      </c>
      <c r="L269" s="324" t="str">
        <f>IF(clean_mod!AF269="",L268,clean_mod!AF269)</f>
        <v xml:space="preserve">148-NGm </v>
      </c>
      <c r="M269" s="324" t="str">
        <f>IF(clean_mod!AG269="",M268,clean_mod!AG269)</f>
        <v>148-NG_R</v>
      </c>
      <c r="N269" s="372" t="str">
        <f t="shared" si="32"/>
        <v>148-ctl-110</v>
      </c>
      <c r="O269" s="372" t="str">
        <f t="shared" si="33"/>
        <v>148-3-110</v>
      </c>
      <c r="P269" s="369">
        <v>110</v>
      </c>
      <c r="Q269" s="369" t="str">
        <f>LEFT(coder1_YH!AK269,1)</f>
        <v>1</v>
      </c>
      <c r="R269" s="369" t="str">
        <f>LEFT(coder1_YH!AL269,1)</f>
        <v>S</v>
      </c>
      <c r="S269" s="369" t="str">
        <f>coder1_YH!AJ269</f>
        <v>FLVT 5-6 Reading Comprehension</v>
      </c>
      <c r="T269" s="370">
        <f>coder1_YH!AN269</f>
        <v>48.54</v>
      </c>
      <c r="U269" s="370">
        <f>coder1_YH!AO269</f>
        <v>8.8699999999999992</v>
      </c>
      <c r="V269" s="370">
        <f>coder1_YH!AP269</f>
        <v>146</v>
      </c>
      <c r="W269" s="370">
        <f>coder1_YH!AQ269</f>
        <v>50.65</v>
      </c>
      <c r="X269" s="370">
        <f>coder1_YH!AR269</f>
        <v>8.4</v>
      </c>
      <c r="Y269" s="370">
        <f>coder1_YH!AS269</f>
        <v>146</v>
      </c>
      <c r="Z269" s="371">
        <f t="shared" si="34"/>
        <v>49.31</v>
      </c>
      <c r="AA269" s="371">
        <f t="shared" si="35"/>
        <v>8.2200000000000006</v>
      </c>
      <c r="AB269" s="371">
        <f t="shared" si="36"/>
        <v>133</v>
      </c>
      <c r="AC269" s="371">
        <f t="shared" si="37"/>
        <v>50.43</v>
      </c>
      <c r="AD269" s="371">
        <f t="shared" si="38"/>
        <v>8.08</v>
      </c>
      <c r="AE269" s="371">
        <f t="shared" si="39"/>
        <v>133</v>
      </c>
    </row>
    <row r="270" spans="1:31" x14ac:dyDescent="0.2">
      <c r="A270">
        <f>coder1_YH!B270</f>
        <v>0</v>
      </c>
      <c r="B270">
        <f>coder1_YH!C270</f>
        <v>270</v>
      </c>
      <c r="C270" t="b">
        <f>coder1_YH!D270</f>
        <v>1</v>
      </c>
      <c r="D270" t="b">
        <f>coder1_YH!E270</f>
        <v>1</v>
      </c>
      <c r="E270" t="b">
        <f>coder1_YH!F270</f>
        <v>1</v>
      </c>
      <c r="G270" t="str">
        <f>IF(coder1_YH!G270="",G269, coder1_YH!G270)</f>
        <v>Mason, 2004</v>
      </c>
      <c r="H270" s="405" t="str">
        <f>clean_mod!I270</f>
        <v>2004</v>
      </c>
      <c r="I270" t="str">
        <f>clean_mod!G270</f>
        <v>149</v>
      </c>
      <c r="J270">
        <f>clean_mod!H270</f>
        <v>149</v>
      </c>
      <c r="K270">
        <f>IF(coder1_YH!P270="",K269, coder1_YH!P270)</f>
        <v>1</v>
      </c>
      <c r="L270" s="324" t="str">
        <f>IF(clean_mod!AF270="",L269,clean_mod!AF270)</f>
        <v xml:space="preserve">149-NGm </v>
      </c>
      <c r="M270" s="324" t="str">
        <f>IF(clean_mod!AG270="",M269,clean_mod!AG270)</f>
        <v>149-NG_R</v>
      </c>
      <c r="N270" s="372" t="str">
        <f t="shared" si="32"/>
        <v>149-ctl-111</v>
      </c>
      <c r="O270" s="372" t="str">
        <f t="shared" si="33"/>
        <v>149-1-111</v>
      </c>
      <c r="P270" s="369">
        <v>111</v>
      </c>
      <c r="Q270" s="369" t="str">
        <f>LEFT(coder1_YH!AK270,1)</f>
        <v>0</v>
      </c>
      <c r="R270" s="369" t="str">
        <f>LEFT(coder1_YH!AL270,1)</f>
        <v>0</v>
      </c>
      <c r="S270" s="369" t="str">
        <f>coder1_YH!AJ270</f>
        <v>(immediate) 1. Main idea</v>
      </c>
      <c r="T270" s="370">
        <f>coder1_YH!AN270</f>
        <v>2.5</v>
      </c>
      <c r="U270" s="370">
        <f>coder1_YH!AO270</f>
        <v>1.83</v>
      </c>
      <c r="V270" s="370">
        <f>coder1_YH!AP270</f>
        <v>16</v>
      </c>
      <c r="W270" s="370">
        <f>coder1_YH!AQ270</f>
        <v>4.38</v>
      </c>
      <c r="X270" s="370">
        <f>coder1_YH!AR270</f>
        <v>1.18</v>
      </c>
      <c r="Y270" s="370">
        <f>coder1_YH!AS270</f>
        <v>16</v>
      </c>
      <c r="Z270" s="371">
        <f t="shared" si="34"/>
        <v>2.19</v>
      </c>
      <c r="AA270" s="371">
        <f t="shared" si="35"/>
        <v>1.52</v>
      </c>
      <c r="AB270" s="371">
        <f t="shared" si="36"/>
        <v>16</v>
      </c>
      <c r="AC270" s="371">
        <f t="shared" si="37"/>
        <v>1.88</v>
      </c>
      <c r="AD270" s="371">
        <f t="shared" si="38"/>
        <v>1.2</v>
      </c>
      <c r="AE270" s="371">
        <f t="shared" si="39"/>
        <v>16</v>
      </c>
    </row>
    <row r="271" spans="1:31" x14ac:dyDescent="0.2">
      <c r="A271">
        <f>coder1_YH!B271</f>
        <v>0</v>
      </c>
      <c r="B271">
        <f>coder1_YH!C271</f>
        <v>271</v>
      </c>
      <c r="C271">
        <f>coder1_YH!D271</f>
        <v>0</v>
      </c>
      <c r="D271" t="str">
        <f>coder1_YH!E271</f>
        <v/>
      </c>
      <c r="E271" t="str">
        <f>coder1_YH!F271</f>
        <v/>
      </c>
      <c r="G271" t="str">
        <f>IF(coder1_YH!G271="",G270, coder1_YH!G271)</f>
        <v>Mason, 2004</v>
      </c>
      <c r="H271" s="405" t="str">
        <f>clean_mod!I271</f>
        <v>2004</v>
      </c>
      <c r="I271" t="str">
        <f>clean_mod!G271</f>
        <v>149</v>
      </c>
      <c r="J271">
        <f>clean_mod!H271</f>
        <v>149</v>
      </c>
      <c r="K271">
        <f>IF(coder1_YH!P271="",K270, coder1_YH!P271)</f>
        <v>1</v>
      </c>
      <c r="L271" s="324" t="str">
        <f>IF(clean_mod!AF271="",L270,clean_mod!AF271)</f>
        <v xml:space="preserve">149-NGm </v>
      </c>
      <c r="M271" s="324" t="str">
        <f>IF(clean_mod!AG271="",M270,clean_mod!AG271)</f>
        <v>149-NG_R</v>
      </c>
      <c r="N271" s="372" t="str">
        <f t="shared" si="32"/>
        <v>149-ctl-112</v>
      </c>
      <c r="O271" s="372" t="str">
        <f t="shared" si="33"/>
        <v>149-1-112</v>
      </c>
      <c r="P271" s="369">
        <v>112</v>
      </c>
      <c r="Q271" s="369" t="str">
        <f>LEFT(coder1_YH!AK271,1)</f>
        <v>0</v>
      </c>
      <c r="R271" s="369" t="str">
        <f>LEFT(coder1_YH!AL271,1)</f>
        <v>0</v>
      </c>
      <c r="S271" s="369" t="str">
        <f>coder1_YH!AJ271</f>
        <v>(immediate) 2. Summary</v>
      </c>
      <c r="T271" s="370">
        <f>coder1_YH!AN271</f>
        <v>2.94</v>
      </c>
      <c r="U271" s="370">
        <f>coder1_YH!AO271</f>
        <v>1.77</v>
      </c>
      <c r="V271" s="370">
        <f>coder1_YH!AP271</f>
        <v>16</v>
      </c>
      <c r="W271" s="370">
        <f>coder1_YH!AQ271</f>
        <v>5.0599999999999996</v>
      </c>
      <c r="X271" s="370">
        <f>coder1_YH!AR271</f>
        <v>1.81</v>
      </c>
      <c r="Y271" s="370">
        <f>coder1_YH!AS271</f>
        <v>16</v>
      </c>
      <c r="Z271" s="371">
        <f t="shared" si="34"/>
        <v>3.88</v>
      </c>
      <c r="AA271" s="371">
        <f t="shared" si="35"/>
        <v>1.93</v>
      </c>
      <c r="AB271" s="371">
        <f t="shared" si="36"/>
        <v>16</v>
      </c>
      <c r="AC271" s="371">
        <f t="shared" si="37"/>
        <v>4.1900000000000004</v>
      </c>
      <c r="AD271" s="371">
        <f t="shared" si="38"/>
        <v>1.68</v>
      </c>
      <c r="AE271" s="371">
        <f t="shared" si="39"/>
        <v>16</v>
      </c>
    </row>
    <row r="272" spans="1:31" x14ac:dyDescent="0.2">
      <c r="A272">
        <f>coder1_YH!B272</f>
        <v>0</v>
      </c>
      <c r="B272">
        <f>coder1_YH!C272</f>
        <v>272</v>
      </c>
      <c r="C272">
        <f>coder1_YH!D272</f>
        <v>0</v>
      </c>
      <c r="D272" t="str">
        <f>coder1_YH!E272</f>
        <v/>
      </c>
      <c r="E272" t="str">
        <f>coder1_YH!F272</f>
        <v/>
      </c>
      <c r="G272" t="str">
        <f>IF(coder1_YH!G272="",G271, coder1_YH!G272)</f>
        <v>Mason, 2004</v>
      </c>
      <c r="H272" s="405" t="str">
        <f>clean_mod!I272</f>
        <v>2004</v>
      </c>
      <c r="I272" t="str">
        <f>clean_mod!G272</f>
        <v>149</v>
      </c>
      <c r="J272">
        <f>clean_mod!H272</f>
        <v>149</v>
      </c>
      <c r="K272">
        <f>IF(coder1_YH!P272="",K271, coder1_YH!P272)</f>
        <v>1</v>
      </c>
      <c r="L272" s="324" t="str">
        <f>IF(clean_mod!AF272="",L271,clean_mod!AF272)</f>
        <v xml:space="preserve">149-NGm </v>
      </c>
      <c r="M272" s="324" t="str">
        <f>IF(clean_mod!AG272="",M271,clean_mod!AG272)</f>
        <v>149-NG_R</v>
      </c>
      <c r="N272" s="372" t="str">
        <f t="shared" si="32"/>
        <v>149-ctl-113</v>
      </c>
      <c r="O272" s="372" t="str">
        <f t="shared" si="33"/>
        <v>149-1-113</v>
      </c>
      <c r="P272" s="369">
        <v>113</v>
      </c>
      <c r="Q272" s="369" t="str">
        <f>LEFT(coder1_YH!AK272,1)</f>
        <v>0</v>
      </c>
      <c r="R272" s="369" t="str">
        <f>LEFT(coder1_YH!AL272,1)</f>
        <v>0</v>
      </c>
      <c r="S272" s="369" t="str">
        <f>coder1_YH!AJ272</f>
        <v>(immediate) 3. Oral retell quality</v>
      </c>
      <c r="T272" s="370">
        <f>coder1_YH!AN272</f>
        <v>2.56</v>
      </c>
      <c r="U272" s="370">
        <f>coder1_YH!AO272</f>
        <v>0.96</v>
      </c>
      <c r="V272" s="370">
        <f>coder1_YH!AP272</f>
        <v>16</v>
      </c>
      <c r="W272" s="370">
        <f>coder1_YH!AQ272</f>
        <v>4.0599999999999996</v>
      </c>
      <c r="X272" s="370">
        <f>coder1_YH!AR272</f>
        <v>0.93</v>
      </c>
      <c r="Y272" s="370">
        <f>coder1_YH!AS272</f>
        <v>16</v>
      </c>
      <c r="Z272" s="371">
        <f t="shared" si="34"/>
        <v>3.06</v>
      </c>
      <c r="AA272" s="371">
        <f t="shared" si="35"/>
        <v>1.24</v>
      </c>
      <c r="AB272" s="371">
        <f t="shared" si="36"/>
        <v>16</v>
      </c>
      <c r="AC272" s="371">
        <f t="shared" si="37"/>
        <v>3</v>
      </c>
      <c r="AD272" s="371">
        <f t="shared" si="38"/>
        <v>0.89</v>
      </c>
      <c r="AE272" s="371">
        <f t="shared" si="39"/>
        <v>16</v>
      </c>
    </row>
    <row r="273" spans="1:31" x14ac:dyDescent="0.2">
      <c r="A273">
        <f>coder1_YH!B273</f>
        <v>0</v>
      </c>
      <c r="B273">
        <f>coder1_YH!C273</f>
        <v>273</v>
      </c>
      <c r="C273">
        <f>coder1_YH!D273</f>
        <v>0</v>
      </c>
      <c r="D273" t="str">
        <f>coder1_YH!E273</f>
        <v/>
      </c>
      <c r="E273" t="str">
        <f>coder1_YH!F273</f>
        <v/>
      </c>
      <c r="G273" t="str">
        <f>IF(coder1_YH!G273="",G272, coder1_YH!G273)</f>
        <v>Mason, 2004</v>
      </c>
      <c r="H273" s="405" t="str">
        <f>clean_mod!I273</f>
        <v>2004</v>
      </c>
      <c r="I273" t="str">
        <f>clean_mod!G273</f>
        <v>149</v>
      </c>
      <c r="J273">
        <f>clean_mod!H273</f>
        <v>149</v>
      </c>
      <c r="K273">
        <f>IF(coder1_YH!P273="",K272, coder1_YH!P273)</f>
        <v>1</v>
      </c>
      <c r="L273" s="324" t="str">
        <f>IF(clean_mod!AF273="",L272,clean_mod!AF273)</f>
        <v xml:space="preserve">149-NGm </v>
      </c>
      <c r="M273" s="324" t="str">
        <f>IF(clean_mod!AG273="",M272,clean_mod!AG273)</f>
        <v>149-NG_R</v>
      </c>
      <c r="N273" s="372" t="str">
        <f t="shared" si="32"/>
        <v>149-ctl-114</v>
      </c>
      <c r="O273" s="372" t="str">
        <f t="shared" si="33"/>
        <v>149-1-114</v>
      </c>
      <c r="P273" s="369">
        <v>114</v>
      </c>
      <c r="Q273" s="369" t="str">
        <f>LEFT(coder1_YH!AK273,1)</f>
        <v>0</v>
      </c>
      <c r="R273" s="369" t="str">
        <f>LEFT(coder1_YH!AL273,1)</f>
        <v>0</v>
      </c>
      <c r="S273" s="369" t="str">
        <f>coder1_YH!AJ273</f>
        <v xml:space="preserve">(immediate) 4. Oral retell information units </v>
      </c>
      <c r="T273" s="370">
        <f>coder1_YH!AN273</f>
        <v>3.56</v>
      </c>
      <c r="U273" s="370">
        <f>coder1_YH!AO273</f>
        <v>1.67</v>
      </c>
      <c r="V273" s="370">
        <f>coder1_YH!AP273</f>
        <v>16</v>
      </c>
      <c r="W273" s="370">
        <f>coder1_YH!AQ273</f>
        <v>6.63</v>
      </c>
      <c r="X273" s="370">
        <f>coder1_YH!AR273</f>
        <v>2.96</v>
      </c>
      <c r="Y273" s="370">
        <f>coder1_YH!AS273</f>
        <v>16</v>
      </c>
      <c r="Z273" s="371">
        <f t="shared" si="34"/>
        <v>4</v>
      </c>
      <c r="AA273" s="371">
        <f t="shared" si="35"/>
        <v>2</v>
      </c>
      <c r="AB273" s="371">
        <f t="shared" si="36"/>
        <v>16</v>
      </c>
      <c r="AC273" s="371">
        <f t="shared" si="37"/>
        <v>4.5</v>
      </c>
      <c r="AD273" s="371">
        <f t="shared" si="38"/>
        <v>2.0699999999999998</v>
      </c>
      <c r="AE273" s="371">
        <f t="shared" si="39"/>
        <v>16</v>
      </c>
    </row>
    <row r="274" spans="1:31" x14ac:dyDescent="0.2">
      <c r="A274">
        <f>coder1_YH!B274</f>
        <v>0</v>
      </c>
      <c r="B274">
        <f>coder1_YH!C274</f>
        <v>274</v>
      </c>
      <c r="C274">
        <f>coder1_YH!D274</f>
        <v>0</v>
      </c>
      <c r="D274" t="str">
        <f>coder1_YH!E274</f>
        <v/>
      </c>
      <c r="E274" t="str">
        <f>coder1_YH!F274</f>
        <v/>
      </c>
      <c r="G274" t="str">
        <f>IF(coder1_YH!G274="",G273, coder1_YH!G274)</f>
        <v>Mason, 2004</v>
      </c>
      <c r="H274" s="405" t="str">
        <f>clean_mod!I274</f>
        <v>2004</v>
      </c>
      <c r="I274" t="str">
        <f>clean_mod!G274</f>
        <v>149</v>
      </c>
      <c r="J274">
        <f>clean_mod!H274</f>
        <v>149</v>
      </c>
      <c r="K274">
        <f>IF(coder1_YH!P274="",K273, coder1_YH!P274)</f>
        <v>1</v>
      </c>
      <c r="L274" s="324" t="str">
        <f>IF(clean_mod!AF274="",L273,clean_mod!AF274)</f>
        <v xml:space="preserve">149-NGm </v>
      </c>
      <c r="M274" s="324" t="str">
        <f>IF(clean_mod!AG274="",M273,clean_mod!AG274)</f>
        <v>149-NG_R</v>
      </c>
      <c r="N274" s="372" t="str">
        <f t="shared" si="32"/>
        <v>149-ctl-115</v>
      </c>
      <c r="O274" s="372" t="str">
        <f t="shared" si="33"/>
        <v>149-1-115</v>
      </c>
      <c r="P274" s="369">
        <v>115</v>
      </c>
      <c r="Q274" s="369" t="str">
        <f>LEFT(coder1_YH!AK274,1)</f>
        <v>0</v>
      </c>
      <c r="R274" s="369" t="str">
        <f>LEFT(coder1_YH!AL274,1)</f>
        <v>0</v>
      </c>
      <c r="S274" s="369" t="str">
        <f>coder1_YH!AJ274</f>
        <v>(immediate) 5. Oral retell main ideas</v>
      </c>
      <c r="T274" s="370">
        <f>coder1_YH!AN274</f>
        <v>2.06</v>
      </c>
      <c r="U274" s="370">
        <f>coder1_YH!AO274</f>
        <v>1</v>
      </c>
      <c r="V274" s="370">
        <f>coder1_YH!AP274</f>
        <v>16</v>
      </c>
      <c r="W274" s="370">
        <f>coder1_YH!AQ274</f>
        <v>3.25</v>
      </c>
      <c r="X274" s="370">
        <f>coder1_YH!AR274</f>
        <v>0.86</v>
      </c>
      <c r="Y274" s="370">
        <f>coder1_YH!AS274</f>
        <v>16</v>
      </c>
      <c r="Z274" s="371">
        <f t="shared" si="34"/>
        <v>2.44</v>
      </c>
      <c r="AA274" s="371">
        <f t="shared" si="35"/>
        <v>0.96</v>
      </c>
      <c r="AB274" s="371">
        <f t="shared" si="36"/>
        <v>16</v>
      </c>
      <c r="AC274" s="371">
        <f t="shared" si="37"/>
        <v>2.56</v>
      </c>
      <c r="AD274" s="371">
        <f t="shared" si="38"/>
        <v>0.96</v>
      </c>
      <c r="AE274" s="371">
        <f t="shared" si="39"/>
        <v>16</v>
      </c>
    </row>
    <row r="275" spans="1:31" x14ac:dyDescent="0.2">
      <c r="A275">
        <f>coder1_YH!B275</f>
        <v>0</v>
      </c>
      <c r="B275">
        <f>coder1_YH!C275</f>
        <v>275</v>
      </c>
      <c r="C275">
        <f>coder1_YH!D275</f>
        <v>0</v>
      </c>
      <c r="D275" t="str">
        <f>coder1_YH!E275</f>
        <v/>
      </c>
      <c r="E275" t="str">
        <f>coder1_YH!F275</f>
        <v/>
      </c>
      <c r="G275" t="str">
        <f>IF(coder1_YH!G275="",G274, coder1_YH!G275)</f>
        <v>Mason, 2004</v>
      </c>
      <c r="H275" s="405" t="str">
        <f>clean_mod!I275</f>
        <v>2004</v>
      </c>
      <c r="I275" t="str">
        <f>clean_mod!G275</f>
        <v>149</v>
      </c>
      <c r="J275">
        <f>clean_mod!H275</f>
        <v>149</v>
      </c>
      <c r="K275">
        <f>IF(coder1_YH!P275="",K274, coder1_YH!P275)</f>
        <v>1</v>
      </c>
      <c r="L275" s="324" t="str">
        <f>IF(clean_mod!AF275="",L274,clean_mod!AF275)</f>
        <v xml:space="preserve">149-NGm </v>
      </c>
      <c r="M275" s="324" t="str">
        <f>IF(clean_mod!AG275="",M274,clean_mod!AG275)</f>
        <v>149-NG_R</v>
      </c>
      <c r="N275" s="372" t="str">
        <f t="shared" si="32"/>
        <v>149-ctl-116</v>
      </c>
      <c r="O275" s="372" t="str">
        <f t="shared" si="33"/>
        <v>149-1-116</v>
      </c>
      <c r="P275" s="369">
        <v>116</v>
      </c>
      <c r="Q275" s="369" t="str">
        <f>LEFT(coder1_YH!AK275,1)</f>
        <v>0</v>
      </c>
      <c r="R275" s="369" t="str">
        <f>LEFT(coder1_YH!AL275,1)</f>
        <v>0</v>
      </c>
      <c r="S275" s="369" t="str">
        <f>coder1_YH!AJ275</f>
        <v>(immediate) 6. Written retell quality</v>
      </c>
      <c r="T275" s="370">
        <f>coder1_YH!AN275</f>
        <v>2.75</v>
      </c>
      <c r="U275" s="370">
        <f>coder1_YH!AO275</f>
        <v>1</v>
      </c>
      <c r="V275" s="370">
        <f>coder1_YH!AP275</f>
        <v>16</v>
      </c>
      <c r="W275" s="370">
        <f>coder1_YH!AQ275</f>
        <v>3</v>
      </c>
      <c r="X275" s="370">
        <f>coder1_YH!AR275</f>
        <v>0.89</v>
      </c>
      <c r="Y275" s="370">
        <f>coder1_YH!AS275</f>
        <v>16</v>
      </c>
      <c r="Z275" s="371">
        <f t="shared" si="34"/>
        <v>3</v>
      </c>
      <c r="AA275" s="371">
        <f t="shared" si="35"/>
        <v>1.03</v>
      </c>
      <c r="AB275" s="371">
        <f t="shared" si="36"/>
        <v>16</v>
      </c>
      <c r="AC275" s="371">
        <f t="shared" si="37"/>
        <v>3.19</v>
      </c>
      <c r="AD275" s="371">
        <f t="shared" si="38"/>
        <v>1.28</v>
      </c>
      <c r="AE275" s="371">
        <f t="shared" si="39"/>
        <v>16</v>
      </c>
    </row>
    <row r="276" spans="1:31" x14ac:dyDescent="0.2">
      <c r="A276">
        <f>coder1_YH!B276</f>
        <v>0</v>
      </c>
      <c r="B276">
        <f>coder1_YH!C276</f>
        <v>276</v>
      </c>
      <c r="C276">
        <f>coder1_YH!D276</f>
        <v>0</v>
      </c>
      <c r="D276" t="str">
        <f>coder1_YH!E276</f>
        <v/>
      </c>
      <c r="E276" t="str">
        <f>coder1_YH!F276</f>
        <v/>
      </c>
      <c r="G276" t="str">
        <f>IF(coder1_YH!G276="",G275, coder1_YH!G276)</f>
        <v>Mason, 2004</v>
      </c>
      <c r="H276" s="405" t="str">
        <f>clean_mod!I276</f>
        <v>2004</v>
      </c>
      <c r="I276" t="str">
        <f>clean_mod!G276</f>
        <v>149</v>
      </c>
      <c r="J276">
        <f>clean_mod!H276</f>
        <v>149</v>
      </c>
      <c r="K276">
        <f>IF(coder1_YH!P276="",K275, coder1_YH!P276)</f>
        <v>1</v>
      </c>
      <c r="L276" s="324" t="str">
        <f>IF(clean_mod!AF276="",L275,clean_mod!AF276)</f>
        <v xml:space="preserve">149-NGm </v>
      </c>
      <c r="M276" s="324" t="str">
        <f>IF(clean_mod!AG276="",M275,clean_mod!AG276)</f>
        <v>149-NG_R</v>
      </c>
      <c r="N276" s="372" t="str">
        <f t="shared" si="32"/>
        <v>149-ctl-117</v>
      </c>
      <c r="O276" s="372" t="str">
        <f t="shared" si="33"/>
        <v>149-1-117</v>
      </c>
      <c r="P276" s="369">
        <v>117</v>
      </c>
      <c r="Q276" s="369" t="str">
        <f>LEFT(coder1_YH!AK276,1)</f>
        <v>0</v>
      </c>
      <c r="R276" s="369" t="str">
        <f>LEFT(coder1_YH!AL276,1)</f>
        <v>0</v>
      </c>
      <c r="S276" s="369" t="str">
        <f>coder1_YH!AJ276</f>
        <v xml:space="preserve">(immediate) 7. Written retell information units </v>
      </c>
      <c r="T276" s="370">
        <f>coder1_YH!AN276</f>
        <v>2.69</v>
      </c>
      <c r="U276" s="370">
        <f>coder1_YH!AO276</f>
        <v>2.06</v>
      </c>
      <c r="V276" s="370">
        <f>coder1_YH!AP276</f>
        <v>16</v>
      </c>
      <c r="W276" s="370">
        <f>coder1_YH!AQ276</f>
        <v>3.63</v>
      </c>
      <c r="X276" s="370">
        <f>coder1_YH!AR276</f>
        <v>2.06</v>
      </c>
      <c r="Y276" s="370">
        <f>coder1_YH!AS276</f>
        <v>16</v>
      </c>
      <c r="Z276" s="371">
        <f t="shared" si="34"/>
        <v>4.0599999999999996</v>
      </c>
      <c r="AA276" s="371">
        <f t="shared" si="35"/>
        <v>2.08</v>
      </c>
      <c r="AB276" s="371">
        <f t="shared" si="36"/>
        <v>16</v>
      </c>
      <c r="AC276" s="371">
        <f t="shared" si="37"/>
        <v>3.69</v>
      </c>
      <c r="AD276" s="371">
        <f t="shared" si="38"/>
        <v>2.5</v>
      </c>
      <c r="AE276" s="371">
        <f t="shared" si="39"/>
        <v>16</v>
      </c>
    </row>
    <row r="277" spans="1:31" x14ac:dyDescent="0.2">
      <c r="A277">
        <f>coder1_YH!B277</f>
        <v>0</v>
      </c>
      <c r="B277">
        <f>coder1_YH!C277</f>
        <v>277</v>
      </c>
      <c r="C277">
        <f>coder1_YH!D277</f>
        <v>0</v>
      </c>
      <c r="D277" t="str">
        <f>coder1_YH!E277</f>
        <v/>
      </c>
      <c r="E277" t="str">
        <f>coder1_YH!F277</f>
        <v/>
      </c>
      <c r="G277" t="str">
        <f>IF(coder1_YH!G277="",G276, coder1_YH!G277)</f>
        <v>Mason, 2004</v>
      </c>
      <c r="H277" s="405" t="str">
        <f>clean_mod!I277</f>
        <v>2004</v>
      </c>
      <c r="I277" t="str">
        <f>clean_mod!G277</f>
        <v>149</v>
      </c>
      <c r="J277">
        <f>clean_mod!H277</f>
        <v>149</v>
      </c>
      <c r="K277">
        <f>IF(coder1_YH!P277="",K276, coder1_YH!P277)</f>
        <v>1</v>
      </c>
      <c r="L277" s="324" t="str">
        <f>IF(clean_mod!AF277="",L276,clean_mod!AF277)</f>
        <v xml:space="preserve">149-NGm </v>
      </c>
      <c r="M277" s="324" t="str">
        <f>IF(clean_mod!AG277="",M276,clean_mod!AG277)</f>
        <v>149-NG_R</v>
      </c>
      <c r="N277" s="372" t="str">
        <f t="shared" si="32"/>
        <v>149-ctl-118</v>
      </c>
      <c r="O277" s="372" t="str">
        <f t="shared" si="33"/>
        <v>149-1-118</v>
      </c>
      <c r="P277" s="369">
        <v>118</v>
      </c>
      <c r="Q277" s="369" t="str">
        <f>LEFT(coder1_YH!AK277,1)</f>
        <v>0</v>
      </c>
      <c r="R277" s="369" t="str">
        <f>LEFT(coder1_YH!AL277,1)</f>
        <v>0</v>
      </c>
      <c r="S277" s="369" t="str">
        <f>coder1_YH!AJ277</f>
        <v>(immediate) 8. Written retell main ideas</v>
      </c>
      <c r="T277" s="370">
        <f>coder1_YH!AN277</f>
        <v>1.81</v>
      </c>
      <c r="U277" s="370">
        <f>coder1_YH!AO277</f>
        <v>1.22</v>
      </c>
      <c r="V277" s="370">
        <f>coder1_YH!AP277</f>
        <v>16</v>
      </c>
      <c r="W277" s="370">
        <f>coder1_YH!AQ277</f>
        <v>2.75</v>
      </c>
      <c r="X277" s="370">
        <f>coder1_YH!AR277</f>
        <v>1.44</v>
      </c>
      <c r="Y277" s="370">
        <f>coder1_YH!AS277</f>
        <v>16</v>
      </c>
      <c r="Z277" s="371">
        <f t="shared" si="34"/>
        <v>2.0699999999999998</v>
      </c>
      <c r="AA277" s="371">
        <f t="shared" si="35"/>
        <v>1.1200000000000001</v>
      </c>
      <c r="AB277" s="371">
        <f t="shared" si="36"/>
        <v>16</v>
      </c>
      <c r="AC277" s="371">
        <f t="shared" si="37"/>
        <v>2.63</v>
      </c>
      <c r="AD277" s="371">
        <f t="shared" si="38"/>
        <v>1.26</v>
      </c>
      <c r="AE277" s="371">
        <f t="shared" si="39"/>
        <v>16</v>
      </c>
    </row>
    <row r="278" spans="1:31" x14ac:dyDescent="0.2">
      <c r="A278">
        <f>coder1_YH!B278</f>
        <v>0</v>
      </c>
      <c r="B278">
        <f>coder1_YH!C278</f>
        <v>278</v>
      </c>
      <c r="C278">
        <f>coder1_YH!D278</f>
        <v>0</v>
      </c>
      <c r="D278" t="str">
        <f>coder1_YH!E278</f>
        <v/>
      </c>
      <c r="E278" t="str">
        <f>coder1_YH!F278</f>
        <v/>
      </c>
      <c r="G278" t="str">
        <f>IF(coder1_YH!G278="",G277, coder1_YH!G278)</f>
        <v>Mason, 2004</v>
      </c>
      <c r="H278" s="405" t="str">
        <f>clean_mod!I278</f>
        <v>2004</v>
      </c>
      <c r="I278" t="str">
        <f>clean_mod!G278</f>
        <v>149</v>
      </c>
      <c r="J278">
        <f>clean_mod!H278</f>
        <v>149</v>
      </c>
      <c r="K278">
        <f>IF(coder1_YH!P278="",K277, coder1_YH!P278)</f>
        <v>1</v>
      </c>
      <c r="L278" s="324" t="str">
        <f>IF(clean_mod!AF278="",L277,clean_mod!AF278)</f>
        <v xml:space="preserve">149-NGm </v>
      </c>
      <c r="M278" s="324" t="str">
        <f>IF(clean_mod!AG278="",M277,clean_mod!AG278)</f>
        <v>149-NG_R</v>
      </c>
      <c r="N278" s="372" t="str">
        <f t="shared" si="32"/>
        <v>149-ctl-119</v>
      </c>
      <c r="O278" s="372" t="str">
        <f t="shared" si="33"/>
        <v>149-1-119</v>
      </c>
      <c r="P278" s="369">
        <v>119</v>
      </c>
      <c r="Q278" s="369" t="str">
        <f>LEFT(coder1_YH!AK278,1)</f>
        <v>0</v>
      </c>
      <c r="R278" s="369" t="str">
        <f>LEFT(coder1_YH!AL278,1)</f>
        <v>0</v>
      </c>
      <c r="S278" s="369" t="str">
        <f>coder1_YH!AJ278</f>
        <v>(3 week) 1. Main idea</v>
      </c>
      <c r="T278" s="370">
        <f>coder1_YH!AN278</f>
        <v>2.5</v>
      </c>
      <c r="U278" s="370">
        <f>coder1_YH!AO278</f>
        <v>1.83</v>
      </c>
      <c r="V278" s="370">
        <f>coder1_YH!AP278</f>
        <v>16</v>
      </c>
      <c r="W278" s="370">
        <f>coder1_YH!AQ278</f>
        <v>4.13</v>
      </c>
      <c r="X278" s="370">
        <f>coder1_YH!AR278</f>
        <v>1.55</v>
      </c>
      <c r="Y278" s="370">
        <f>coder1_YH!AS278</f>
        <v>16</v>
      </c>
      <c r="Z278" s="371">
        <f t="shared" si="34"/>
        <v>2.19</v>
      </c>
      <c r="AA278" s="371">
        <f t="shared" si="35"/>
        <v>1.52</v>
      </c>
      <c r="AB278" s="371">
        <f t="shared" si="36"/>
        <v>16</v>
      </c>
      <c r="AC278" s="371">
        <f t="shared" si="37"/>
        <v>2.4</v>
      </c>
      <c r="AD278" s="371">
        <f t="shared" si="38"/>
        <v>1.35</v>
      </c>
      <c r="AE278" s="371">
        <f t="shared" si="39"/>
        <v>16</v>
      </c>
    </row>
    <row r="279" spans="1:31" x14ac:dyDescent="0.2">
      <c r="A279">
        <f>coder1_YH!B279</f>
        <v>0</v>
      </c>
      <c r="B279">
        <f>coder1_YH!C279</f>
        <v>279</v>
      </c>
      <c r="C279">
        <f>coder1_YH!D279</f>
        <v>0</v>
      </c>
      <c r="D279" t="str">
        <f>coder1_YH!E279</f>
        <v/>
      </c>
      <c r="E279" t="str">
        <f>coder1_YH!F279</f>
        <v/>
      </c>
      <c r="G279" t="str">
        <f>IF(coder1_YH!G279="",G278, coder1_YH!G279)</f>
        <v>Mason, 2004</v>
      </c>
      <c r="H279" s="405" t="str">
        <f>clean_mod!I279</f>
        <v>2004</v>
      </c>
      <c r="I279" t="str">
        <f>clean_mod!G279</f>
        <v>149</v>
      </c>
      <c r="J279">
        <f>clean_mod!H279</f>
        <v>149</v>
      </c>
      <c r="K279">
        <f>IF(coder1_YH!P279="",K278, coder1_YH!P279)</f>
        <v>1</v>
      </c>
      <c r="L279" s="324" t="str">
        <f>IF(clean_mod!AF279="",L278,clean_mod!AF279)</f>
        <v xml:space="preserve">149-NGm </v>
      </c>
      <c r="M279" s="324" t="str">
        <f>IF(clean_mod!AG279="",M278,clean_mod!AG279)</f>
        <v>149-NG_R</v>
      </c>
      <c r="N279" s="372" t="str">
        <f t="shared" si="32"/>
        <v>149-ctl-120</v>
      </c>
      <c r="O279" s="372" t="str">
        <f t="shared" si="33"/>
        <v>149-1-120</v>
      </c>
      <c r="P279" s="369">
        <v>120</v>
      </c>
      <c r="Q279" s="369" t="str">
        <f>LEFT(coder1_YH!AK279,1)</f>
        <v>0</v>
      </c>
      <c r="R279" s="369" t="str">
        <f>LEFT(coder1_YH!AL279,1)</f>
        <v>0</v>
      </c>
      <c r="S279" s="369" t="str">
        <f>coder1_YH!AJ279</f>
        <v>(3 week) 2. Summary</v>
      </c>
      <c r="T279" s="370">
        <f>coder1_YH!AN279</f>
        <v>2.94</v>
      </c>
      <c r="U279" s="370">
        <f>coder1_YH!AO279</f>
        <v>1.77</v>
      </c>
      <c r="V279" s="370">
        <f>coder1_YH!AP279</f>
        <v>16</v>
      </c>
      <c r="W279" s="370">
        <f>coder1_YH!AQ279</f>
        <v>4.67</v>
      </c>
      <c r="X279" s="370">
        <f>coder1_YH!AR279</f>
        <v>1.59</v>
      </c>
      <c r="Y279" s="370">
        <f>coder1_YH!AS279</f>
        <v>16</v>
      </c>
      <c r="Z279" s="371">
        <f t="shared" si="34"/>
        <v>3.88</v>
      </c>
      <c r="AA279" s="371">
        <f t="shared" si="35"/>
        <v>1.93</v>
      </c>
      <c r="AB279" s="371">
        <f t="shared" si="36"/>
        <v>16</v>
      </c>
      <c r="AC279" s="371">
        <f t="shared" si="37"/>
        <v>3.93</v>
      </c>
      <c r="AD279" s="371">
        <f t="shared" si="38"/>
        <v>1.62</v>
      </c>
      <c r="AE279" s="371">
        <f t="shared" si="39"/>
        <v>16</v>
      </c>
    </row>
    <row r="280" spans="1:31" x14ac:dyDescent="0.2">
      <c r="A280">
        <f>coder1_YH!B280</f>
        <v>0</v>
      </c>
      <c r="B280">
        <f>coder1_YH!C280</f>
        <v>280</v>
      </c>
      <c r="C280">
        <f>coder1_YH!D280</f>
        <v>0</v>
      </c>
      <c r="D280" t="str">
        <f>coder1_YH!E280</f>
        <v/>
      </c>
      <c r="E280" t="str">
        <f>coder1_YH!F280</f>
        <v/>
      </c>
      <c r="G280" t="str">
        <f>IF(coder1_YH!G280="",G279, coder1_YH!G280)</f>
        <v>Mason, 2004</v>
      </c>
      <c r="H280" s="405" t="str">
        <f>clean_mod!I280</f>
        <v>2004</v>
      </c>
      <c r="I280" t="str">
        <f>clean_mod!G280</f>
        <v>149</v>
      </c>
      <c r="J280">
        <f>clean_mod!H280</f>
        <v>149</v>
      </c>
      <c r="K280">
        <f>IF(coder1_YH!P280="",K279, coder1_YH!P280)</f>
        <v>1</v>
      </c>
      <c r="L280" s="324" t="str">
        <f>IF(clean_mod!AF280="",L279,clean_mod!AF280)</f>
        <v xml:space="preserve">149-NGm </v>
      </c>
      <c r="M280" s="324" t="str">
        <f>IF(clean_mod!AG280="",M279,clean_mod!AG280)</f>
        <v>149-NG_R</v>
      </c>
      <c r="N280" s="372" t="str">
        <f t="shared" si="32"/>
        <v>149-ctl-121</v>
      </c>
      <c r="O280" s="372" t="str">
        <f t="shared" si="33"/>
        <v>149-1-121</v>
      </c>
      <c r="P280" s="369">
        <v>121</v>
      </c>
      <c r="Q280" s="369" t="str">
        <f>LEFT(coder1_YH!AK280,1)</f>
        <v>0</v>
      </c>
      <c r="R280" s="369" t="str">
        <f>LEFT(coder1_YH!AL280,1)</f>
        <v>0</v>
      </c>
      <c r="S280" s="369" t="str">
        <f>coder1_YH!AJ280</f>
        <v>(3 week) 3. Oral retell quality</v>
      </c>
      <c r="T280" s="370">
        <f>coder1_YH!AN280</f>
        <v>2.56</v>
      </c>
      <c r="U280" s="370">
        <f>coder1_YH!AO280</f>
        <v>0.96</v>
      </c>
      <c r="V280" s="370">
        <f>coder1_YH!AP280</f>
        <v>16</v>
      </c>
      <c r="W280" s="370">
        <f>coder1_YH!AQ280</f>
        <v>3.87</v>
      </c>
      <c r="X280" s="370">
        <f>coder1_YH!AR280</f>
        <v>1.25</v>
      </c>
      <c r="Y280" s="370">
        <f>coder1_YH!AS280</f>
        <v>16</v>
      </c>
      <c r="Z280" s="371">
        <f t="shared" si="34"/>
        <v>3.06</v>
      </c>
      <c r="AA280" s="371">
        <f t="shared" si="35"/>
        <v>1.24</v>
      </c>
      <c r="AB280" s="371">
        <f t="shared" si="36"/>
        <v>16</v>
      </c>
      <c r="AC280" s="371">
        <f t="shared" si="37"/>
        <v>3.33</v>
      </c>
      <c r="AD280" s="371">
        <f t="shared" si="38"/>
        <v>1.29</v>
      </c>
      <c r="AE280" s="371">
        <f t="shared" si="39"/>
        <v>16</v>
      </c>
    </row>
    <row r="281" spans="1:31" x14ac:dyDescent="0.2">
      <c r="A281">
        <f>coder1_YH!B281</f>
        <v>0</v>
      </c>
      <c r="B281">
        <f>coder1_YH!C281</f>
        <v>281</v>
      </c>
      <c r="C281">
        <f>coder1_YH!D281</f>
        <v>0</v>
      </c>
      <c r="D281" t="str">
        <f>coder1_YH!E281</f>
        <v/>
      </c>
      <c r="E281" t="str">
        <f>coder1_YH!F281</f>
        <v/>
      </c>
      <c r="G281" t="str">
        <f>IF(coder1_YH!G281="",G280, coder1_YH!G281)</f>
        <v>Mason, 2004</v>
      </c>
      <c r="H281" s="405" t="str">
        <f>clean_mod!I281</f>
        <v>2004</v>
      </c>
      <c r="I281" t="str">
        <f>clean_mod!G281</f>
        <v>149</v>
      </c>
      <c r="J281">
        <f>clean_mod!H281</f>
        <v>149</v>
      </c>
      <c r="K281">
        <f>IF(coder1_YH!P281="",K280, coder1_YH!P281)</f>
        <v>1</v>
      </c>
      <c r="L281" s="324" t="str">
        <f>IF(clean_mod!AF281="",L280,clean_mod!AF281)</f>
        <v xml:space="preserve">149-NGm </v>
      </c>
      <c r="M281" s="324" t="str">
        <f>IF(clean_mod!AG281="",M280,clean_mod!AG281)</f>
        <v>149-NG_R</v>
      </c>
      <c r="N281" s="372" t="str">
        <f t="shared" si="32"/>
        <v>149-ctl-122</v>
      </c>
      <c r="O281" s="372" t="str">
        <f t="shared" si="33"/>
        <v>149-1-122</v>
      </c>
      <c r="P281" s="369">
        <v>122</v>
      </c>
      <c r="Q281" s="369" t="str">
        <f>LEFT(coder1_YH!AK281,1)</f>
        <v>0</v>
      </c>
      <c r="R281" s="369" t="str">
        <f>LEFT(coder1_YH!AL281,1)</f>
        <v>0</v>
      </c>
      <c r="S281" s="369" t="str">
        <f>coder1_YH!AJ281</f>
        <v xml:space="preserve">(3 week) 4. Oral retell information units </v>
      </c>
      <c r="T281" s="370">
        <f>coder1_YH!AN281</f>
        <v>3.56</v>
      </c>
      <c r="U281" s="370">
        <f>coder1_YH!AO281</f>
        <v>1.67</v>
      </c>
      <c r="V281" s="370">
        <f>coder1_YH!AP281</f>
        <v>16</v>
      </c>
      <c r="W281" s="370">
        <f>coder1_YH!AQ281</f>
        <v>4.8</v>
      </c>
      <c r="X281" s="370">
        <f>coder1_YH!AR281</f>
        <v>1.7</v>
      </c>
      <c r="Y281" s="370">
        <f>coder1_YH!AS281</f>
        <v>16</v>
      </c>
      <c r="Z281" s="371">
        <f t="shared" si="34"/>
        <v>4</v>
      </c>
      <c r="AA281" s="371">
        <f t="shared" si="35"/>
        <v>2</v>
      </c>
      <c r="AB281" s="371">
        <f t="shared" si="36"/>
        <v>16</v>
      </c>
      <c r="AC281" s="371">
        <f t="shared" si="37"/>
        <v>3.6</v>
      </c>
      <c r="AD281" s="371">
        <f t="shared" si="38"/>
        <v>2.41</v>
      </c>
      <c r="AE281" s="371">
        <f t="shared" si="39"/>
        <v>16</v>
      </c>
    </row>
    <row r="282" spans="1:31" x14ac:dyDescent="0.2">
      <c r="A282">
        <f>coder1_YH!B282</f>
        <v>0</v>
      </c>
      <c r="B282">
        <f>coder1_YH!C282</f>
        <v>282</v>
      </c>
      <c r="C282">
        <f>coder1_YH!D282</f>
        <v>0</v>
      </c>
      <c r="D282" t="str">
        <f>coder1_YH!E282</f>
        <v/>
      </c>
      <c r="E282" t="str">
        <f>coder1_YH!F282</f>
        <v/>
      </c>
      <c r="G282" t="str">
        <f>IF(coder1_YH!G282="",G281, coder1_YH!G282)</f>
        <v>Mason, 2004</v>
      </c>
      <c r="H282" s="405" t="str">
        <f>clean_mod!I282</f>
        <v>2004</v>
      </c>
      <c r="I282" t="str">
        <f>clean_mod!G282</f>
        <v>149</v>
      </c>
      <c r="J282">
        <f>clean_mod!H282</f>
        <v>149</v>
      </c>
      <c r="K282">
        <f>IF(coder1_YH!P282="",K281, coder1_YH!P282)</f>
        <v>1</v>
      </c>
      <c r="L282" s="324" t="str">
        <f>IF(clean_mod!AF282="",L281,clean_mod!AF282)</f>
        <v xml:space="preserve">149-NGm </v>
      </c>
      <c r="M282" s="324" t="str">
        <f>IF(clean_mod!AG282="",M281,clean_mod!AG282)</f>
        <v>149-NG_R</v>
      </c>
      <c r="N282" s="372" t="str">
        <f t="shared" si="32"/>
        <v>149-ctl-123</v>
      </c>
      <c r="O282" s="372" t="str">
        <f t="shared" si="33"/>
        <v>149-1-123</v>
      </c>
      <c r="P282" s="369">
        <v>123</v>
      </c>
      <c r="Q282" s="369" t="str">
        <f>LEFT(coder1_YH!AK282,1)</f>
        <v>0</v>
      </c>
      <c r="R282" s="369" t="str">
        <f>LEFT(coder1_YH!AL282,1)</f>
        <v>0</v>
      </c>
      <c r="S282" s="369" t="str">
        <f>coder1_YH!AJ282</f>
        <v>(3 week) 5. Oral retell main ideas</v>
      </c>
      <c r="T282" s="370">
        <f>coder1_YH!AN282</f>
        <v>2.06</v>
      </c>
      <c r="U282" s="370">
        <f>coder1_YH!AO282</f>
        <v>1</v>
      </c>
      <c r="V282" s="370">
        <f>coder1_YH!AP282</f>
        <v>16</v>
      </c>
      <c r="W282" s="370">
        <f>coder1_YH!AQ282</f>
        <v>2.27</v>
      </c>
      <c r="X282" s="370">
        <f>coder1_YH!AR282</f>
        <v>1.1000000000000001</v>
      </c>
      <c r="Y282" s="370">
        <f>coder1_YH!AS282</f>
        <v>16</v>
      </c>
      <c r="Z282" s="371">
        <f t="shared" si="34"/>
        <v>2.44</v>
      </c>
      <c r="AA282" s="371">
        <f t="shared" si="35"/>
        <v>0.96</v>
      </c>
      <c r="AB282" s="371">
        <f t="shared" si="36"/>
        <v>16</v>
      </c>
      <c r="AC282" s="371">
        <f t="shared" si="37"/>
        <v>1.53</v>
      </c>
      <c r="AD282" s="371">
        <f t="shared" si="38"/>
        <v>1.36</v>
      </c>
      <c r="AE282" s="371">
        <f t="shared" si="39"/>
        <v>16</v>
      </c>
    </row>
    <row r="283" spans="1:31" x14ac:dyDescent="0.2">
      <c r="A283">
        <f>coder1_YH!B283</f>
        <v>0</v>
      </c>
      <c r="B283">
        <f>coder1_YH!C283</f>
        <v>283</v>
      </c>
      <c r="C283">
        <f>coder1_YH!D283</f>
        <v>0</v>
      </c>
      <c r="D283" t="str">
        <f>coder1_YH!E283</f>
        <v/>
      </c>
      <c r="E283" t="str">
        <f>coder1_YH!F283</f>
        <v/>
      </c>
      <c r="G283" t="str">
        <f>IF(coder1_YH!G283="",G282, coder1_YH!G283)</f>
        <v>Mason, 2004</v>
      </c>
      <c r="H283" s="405" t="str">
        <f>clean_mod!I283</f>
        <v>2004</v>
      </c>
      <c r="I283" t="str">
        <f>clean_mod!G283</f>
        <v>149</v>
      </c>
      <c r="J283">
        <f>clean_mod!H283</f>
        <v>149</v>
      </c>
      <c r="K283">
        <f>IF(coder1_YH!P283="",K282, coder1_YH!P283)</f>
        <v>1</v>
      </c>
      <c r="L283" s="324" t="str">
        <f>IF(clean_mod!AF283="",L282,clean_mod!AF283)</f>
        <v xml:space="preserve">149-NGm </v>
      </c>
      <c r="M283" s="324" t="str">
        <f>IF(clean_mod!AG283="",M282,clean_mod!AG283)</f>
        <v>149-NG_R</v>
      </c>
      <c r="N283" s="372" t="str">
        <f t="shared" si="32"/>
        <v>149-ctl-124</v>
      </c>
      <c r="O283" s="372" t="str">
        <f t="shared" si="33"/>
        <v>149-1-124</v>
      </c>
      <c r="P283" s="369">
        <v>124</v>
      </c>
      <c r="Q283" s="369" t="str">
        <f>LEFT(coder1_YH!AK283,1)</f>
        <v>0</v>
      </c>
      <c r="R283" s="369" t="str">
        <f>LEFT(coder1_YH!AL283,1)</f>
        <v>0</v>
      </c>
      <c r="S283" s="369" t="str">
        <f>coder1_YH!AJ283</f>
        <v>(3 week) 6. Written retell quality</v>
      </c>
      <c r="T283" s="370">
        <f>coder1_YH!AN283</f>
        <v>2.75</v>
      </c>
      <c r="U283" s="370">
        <f>coder1_YH!AO283</f>
        <v>1</v>
      </c>
      <c r="V283" s="370">
        <f>coder1_YH!AP283</f>
        <v>16</v>
      </c>
      <c r="W283" s="370">
        <f>coder1_YH!AQ283</f>
        <v>3.87</v>
      </c>
      <c r="X283" s="370">
        <f>coder1_YH!AR283</f>
        <v>1.07</v>
      </c>
      <c r="Y283" s="370">
        <f>coder1_YH!AS283</f>
        <v>16</v>
      </c>
      <c r="Z283" s="371">
        <f t="shared" si="34"/>
        <v>3</v>
      </c>
      <c r="AA283" s="371">
        <f t="shared" si="35"/>
        <v>1.03</v>
      </c>
      <c r="AB283" s="371">
        <f t="shared" si="36"/>
        <v>16</v>
      </c>
      <c r="AC283" s="371">
        <f t="shared" si="37"/>
        <v>3.35</v>
      </c>
      <c r="AD283" s="371">
        <f t="shared" si="38"/>
        <v>1.35</v>
      </c>
      <c r="AE283" s="371">
        <f t="shared" si="39"/>
        <v>16</v>
      </c>
    </row>
    <row r="284" spans="1:31" x14ac:dyDescent="0.2">
      <c r="A284">
        <f>coder1_YH!B284</f>
        <v>0</v>
      </c>
      <c r="B284">
        <f>coder1_YH!C284</f>
        <v>284</v>
      </c>
      <c r="C284">
        <f>coder1_YH!D284</f>
        <v>0</v>
      </c>
      <c r="D284" t="str">
        <f>coder1_YH!E284</f>
        <v/>
      </c>
      <c r="E284" t="str">
        <f>coder1_YH!F284</f>
        <v/>
      </c>
      <c r="G284" t="str">
        <f>IF(coder1_YH!G284="",G283, coder1_YH!G284)</f>
        <v>Mason, 2004</v>
      </c>
      <c r="H284" s="405" t="str">
        <f>clean_mod!I284</f>
        <v>2004</v>
      </c>
      <c r="I284" t="str">
        <f>clean_mod!G284</f>
        <v>149</v>
      </c>
      <c r="J284">
        <f>clean_mod!H284</f>
        <v>149</v>
      </c>
      <c r="K284">
        <f>IF(coder1_YH!P284="",K283, coder1_YH!P284)</f>
        <v>1</v>
      </c>
      <c r="L284" s="324" t="str">
        <f>IF(clean_mod!AF284="",L283,clean_mod!AF284)</f>
        <v xml:space="preserve">149-NGm </v>
      </c>
      <c r="M284" s="324" t="str">
        <f>IF(clean_mod!AG284="",M283,clean_mod!AG284)</f>
        <v>149-NG_R</v>
      </c>
      <c r="N284" s="372" t="str">
        <f t="shared" si="32"/>
        <v>149-ctl-125</v>
      </c>
      <c r="O284" s="372" t="str">
        <f t="shared" si="33"/>
        <v>149-1-125</v>
      </c>
      <c r="P284" s="369">
        <v>125</v>
      </c>
      <c r="Q284" s="369" t="str">
        <f>LEFT(coder1_YH!AK284,1)</f>
        <v>0</v>
      </c>
      <c r="R284" s="369" t="str">
        <f>LEFT(coder1_YH!AL284,1)</f>
        <v>0</v>
      </c>
      <c r="S284" s="369" t="str">
        <f>coder1_YH!AJ284</f>
        <v xml:space="preserve">(3 week) 7. Written retell information units </v>
      </c>
      <c r="T284" s="370">
        <f>coder1_YH!AN284</f>
        <v>2.69</v>
      </c>
      <c r="U284" s="370">
        <f>coder1_YH!AO284</f>
        <v>2.06</v>
      </c>
      <c r="V284" s="370">
        <f>coder1_YH!AP284</f>
        <v>16</v>
      </c>
      <c r="W284" s="370">
        <f>coder1_YH!AQ284</f>
        <v>3.96</v>
      </c>
      <c r="X284" s="370">
        <f>coder1_YH!AR284</f>
        <v>1.7</v>
      </c>
      <c r="Y284" s="370">
        <f>coder1_YH!AS284</f>
        <v>16</v>
      </c>
      <c r="Z284" s="371">
        <f t="shared" si="34"/>
        <v>4.0599999999999996</v>
      </c>
      <c r="AA284" s="371">
        <f t="shared" si="35"/>
        <v>2.08</v>
      </c>
      <c r="AB284" s="371">
        <f t="shared" si="36"/>
        <v>16</v>
      </c>
      <c r="AC284" s="371">
        <f t="shared" si="37"/>
        <v>3.35</v>
      </c>
      <c r="AD284" s="371">
        <f t="shared" si="38"/>
        <v>1.61</v>
      </c>
      <c r="AE284" s="371">
        <f t="shared" si="39"/>
        <v>16</v>
      </c>
    </row>
    <row r="285" spans="1:31" x14ac:dyDescent="0.2">
      <c r="A285">
        <f>coder1_YH!B285</f>
        <v>0</v>
      </c>
      <c r="B285">
        <f>coder1_YH!C285</f>
        <v>285</v>
      </c>
      <c r="C285">
        <f>coder1_YH!D285</f>
        <v>0</v>
      </c>
      <c r="D285" t="str">
        <f>coder1_YH!E285</f>
        <v/>
      </c>
      <c r="E285" t="str">
        <f>coder1_YH!F285</f>
        <v/>
      </c>
      <c r="G285" t="str">
        <f>IF(coder1_YH!G285="",G284, coder1_YH!G285)</f>
        <v>Mason, 2004</v>
      </c>
      <c r="H285" s="405" t="str">
        <f>clean_mod!I285</f>
        <v>2004</v>
      </c>
      <c r="I285" t="str">
        <f>clean_mod!G285</f>
        <v>149</v>
      </c>
      <c r="J285">
        <f>clean_mod!H285</f>
        <v>149</v>
      </c>
      <c r="K285">
        <f>IF(coder1_YH!P285="",K284, coder1_YH!P285)</f>
        <v>1</v>
      </c>
      <c r="L285" s="324" t="str">
        <f>IF(clean_mod!AF285="",L284,clean_mod!AF285)</f>
        <v xml:space="preserve">149-NGm </v>
      </c>
      <c r="M285" s="324" t="str">
        <f>IF(clean_mod!AG285="",M284,clean_mod!AG285)</f>
        <v>149-NG_R</v>
      </c>
      <c r="N285" s="372" t="str">
        <f t="shared" si="32"/>
        <v>149-ctl-126</v>
      </c>
      <c r="O285" s="372" t="str">
        <f t="shared" si="33"/>
        <v>149-1-126</v>
      </c>
      <c r="P285" s="369">
        <v>126</v>
      </c>
      <c r="Q285" s="369" t="str">
        <f>LEFT(coder1_YH!AK285,1)</f>
        <v>0</v>
      </c>
      <c r="R285" s="369" t="str">
        <f>LEFT(coder1_YH!AL285,1)</f>
        <v>0</v>
      </c>
      <c r="S285" s="369" t="str">
        <f>coder1_YH!AJ285</f>
        <v>(3 week) 8. Written retell main ideas</v>
      </c>
      <c r="T285" s="370">
        <f>coder1_YH!AN285</f>
        <v>1.81</v>
      </c>
      <c r="U285" s="370">
        <f>coder1_YH!AO285</f>
        <v>1.22</v>
      </c>
      <c r="V285" s="370">
        <f>coder1_YH!AP285</f>
        <v>16</v>
      </c>
      <c r="W285" s="370">
        <f>coder1_YH!AQ285</f>
        <v>2.78</v>
      </c>
      <c r="X285" s="370">
        <f>coder1_YH!AR285</f>
        <v>1.4</v>
      </c>
      <c r="Y285" s="370">
        <f>coder1_YH!AS285</f>
        <v>16</v>
      </c>
      <c r="Z285" s="371">
        <f t="shared" si="34"/>
        <v>2.0699999999999998</v>
      </c>
      <c r="AA285" s="371">
        <f t="shared" si="35"/>
        <v>1.1200000000000001</v>
      </c>
      <c r="AB285" s="371">
        <f t="shared" si="36"/>
        <v>16</v>
      </c>
      <c r="AC285" s="371">
        <f t="shared" si="37"/>
        <v>2.59</v>
      </c>
      <c r="AD285" s="371">
        <f t="shared" si="38"/>
        <v>1.36</v>
      </c>
      <c r="AE285" s="371">
        <f t="shared" si="39"/>
        <v>16</v>
      </c>
    </row>
    <row r="286" spans="1:31" x14ac:dyDescent="0.2">
      <c r="A286">
        <f>coder1_YH!B286</f>
        <v>0</v>
      </c>
      <c r="B286">
        <f>coder1_YH!C286</f>
        <v>286</v>
      </c>
      <c r="C286">
        <f>coder1_YH!D286</f>
        <v>0</v>
      </c>
      <c r="D286" t="str">
        <f>coder1_YH!E286</f>
        <v/>
      </c>
      <c r="E286" t="b">
        <f>coder1_YH!F286</f>
        <v>1</v>
      </c>
      <c r="G286" t="str">
        <f>IF(coder1_YH!G286="",G285, coder1_YH!G286)</f>
        <v>Mason, 2004</v>
      </c>
      <c r="H286" s="405" t="str">
        <f>clean_mod!I286</f>
        <v>2004</v>
      </c>
      <c r="I286" t="str">
        <f>clean_mod!G286</f>
        <v>149</v>
      </c>
      <c r="J286">
        <f>clean_mod!H286</f>
        <v>149</v>
      </c>
      <c r="K286" t="str">
        <f>IF(coder1_YH!P286="",K285, coder1_YH!P286)</f>
        <v>ctl</v>
      </c>
      <c r="L286" s="324" t="str">
        <f>IF(clean_mod!AF286="",L285,clean_mod!AF286)</f>
        <v xml:space="preserve">149-Nm </v>
      </c>
      <c r="M286" s="324" t="str">
        <f>IF(clean_mod!AG286="",M285,clean_mod!AG286)</f>
        <v>149-N_R</v>
      </c>
      <c r="N286" s="372" t="str">
        <f t="shared" si="32"/>
        <v>149-ctl-111</v>
      </c>
      <c r="O286" s="372" t="str">
        <f t="shared" si="33"/>
        <v>149-ctl-111</v>
      </c>
      <c r="P286" s="369">
        <v>111</v>
      </c>
      <c r="Q286" s="369" t="str">
        <f>LEFT(coder1_YH!AK286,1)</f>
        <v>0</v>
      </c>
      <c r="R286" s="369" t="str">
        <f>LEFT(coder1_YH!AL286,1)</f>
        <v>0</v>
      </c>
      <c r="S286" s="369" t="str">
        <f>coder1_YH!AJ286</f>
        <v>(immediate) 1. Main idea</v>
      </c>
      <c r="T286" s="370">
        <f>coder1_YH!AN286</f>
        <v>2.19</v>
      </c>
      <c r="U286" s="370">
        <f>coder1_YH!AO286</f>
        <v>1.52</v>
      </c>
      <c r="V286" s="370">
        <f>coder1_YH!AP286</f>
        <v>16</v>
      </c>
      <c r="W286" s="370">
        <f>coder1_YH!AQ286</f>
        <v>1.88</v>
      </c>
      <c r="X286" s="370">
        <f>coder1_YH!AR286</f>
        <v>1.2</v>
      </c>
      <c r="Y286" s="370">
        <f>coder1_YH!AS286</f>
        <v>16</v>
      </c>
      <c r="Z286" s="371">
        <f t="shared" si="34"/>
        <v>2.19</v>
      </c>
      <c r="AA286" s="371">
        <f t="shared" si="35"/>
        <v>1.52</v>
      </c>
      <c r="AB286" s="371">
        <f t="shared" si="36"/>
        <v>16</v>
      </c>
      <c r="AC286" s="371">
        <f t="shared" si="37"/>
        <v>1.88</v>
      </c>
      <c r="AD286" s="371">
        <f t="shared" si="38"/>
        <v>1.2</v>
      </c>
      <c r="AE286" s="371">
        <f t="shared" si="39"/>
        <v>16</v>
      </c>
    </row>
    <row r="287" spans="1:31" x14ac:dyDescent="0.2">
      <c r="A287">
        <f>coder1_YH!B287</f>
        <v>0</v>
      </c>
      <c r="B287">
        <f>coder1_YH!C287</f>
        <v>287</v>
      </c>
      <c r="C287">
        <f>coder1_YH!D287</f>
        <v>0</v>
      </c>
      <c r="D287" t="str">
        <f>coder1_YH!E287</f>
        <v/>
      </c>
      <c r="E287" t="str">
        <f>coder1_YH!F287</f>
        <v/>
      </c>
      <c r="G287" t="str">
        <f>IF(coder1_YH!G287="",G286, coder1_YH!G287)</f>
        <v>Mason, 2004</v>
      </c>
      <c r="H287" s="405" t="str">
        <f>clean_mod!I287</f>
        <v>2004</v>
      </c>
      <c r="I287" t="str">
        <f>clean_mod!G287</f>
        <v>149</v>
      </c>
      <c r="J287">
        <f>clean_mod!H287</f>
        <v>149</v>
      </c>
      <c r="K287" t="str">
        <f>IF(coder1_YH!P287="",K286, coder1_YH!P287)</f>
        <v>ctl</v>
      </c>
      <c r="L287" s="324" t="str">
        <f>IF(clean_mod!AF287="",L286,clean_mod!AF287)</f>
        <v xml:space="preserve">149-Nm </v>
      </c>
      <c r="M287" s="324" t="str">
        <f>IF(clean_mod!AG287="",M286,clean_mod!AG287)</f>
        <v>149-N_R</v>
      </c>
      <c r="N287" s="372" t="str">
        <f t="shared" si="32"/>
        <v>149-ctl-112</v>
      </c>
      <c r="O287" s="372" t="str">
        <f t="shared" si="33"/>
        <v>149-ctl-112</v>
      </c>
      <c r="P287" s="369">
        <v>112</v>
      </c>
      <c r="Q287" s="369" t="str">
        <f>LEFT(coder1_YH!AK287,1)</f>
        <v>0</v>
      </c>
      <c r="R287" s="369" t="str">
        <f>LEFT(coder1_YH!AL287,1)</f>
        <v>0</v>
      </c>
      <c r="S287" s="369" t="str">
        <f>coder1_YH!AJ287</f>
        <v>(immediate) 2. Summary</v>
      </c>
      <c r="T287" s="370">
        <f>coder1_YH!AN287</f>
        <v>3.88</v>
      </c>
      <c r="U287" s="370">
        <f>coder1_YH!AO287</f>
        <v>1.93</v>
      </c>
      <c r="V287" s="370">
        <f>coder1_YH!AP287</f>
        <v>16</v>
      </c>
      <c r="W287" s="370">
        <f>coder1_YH!AQ287</f>
        <v>4.1900000000000004</v>
      </c>
      <c r="X287" s="370">
        <f>coder1_YH!AR287</f>
        <v>1.68</v>
      </c>
      <c r="Y287" s="370">
        <f>coder1_YH!AS287</f>
        <v>16</v>
      </c>
      <c r="Z287" s="371">
        <f t="shared" si="34"/>
        <v>3.88</v>
      </c>
      <c r="AA287" s="371">
        <f t="shared" si="35"/>
        <v>1.93</v>
      </c>
      <c r="AB287" s="371">
        <f t="shared" si="36"/>
        <v>16</v>
      </c>
      <c r="AC287" s="371">
        <f t="shared" si="37"/>
        <v>4.1900000000000004</v>
      </c>
      <c r="AD287" s="371">
        <f t="shared" si="38"/>
        <v>1.68</v>
      </c>
      <c r="AE287" s="371">
        <f t="shared" si="39"/>
        <v>16</v>
      </c>
    </row>
    <row r="288" spans="1:31" x14ac:dyDescent="0.2">
      <c r="A288">
        <f>coder1_YH!B288</f>
        <v>0</v>
      </c>
      <c r="B288">
        <f>coder1_YH!C288</f>
        <v>288</v>
      </c>
      <c r="C288">
        <f>coder1_YH!D288</f>
        <v>0</v>
      </c>
      <c r="D288" t="str">
        <f>coder1_YH!E288</f>
        <v/>
      </c>
      <c r="E288" t="str">
        <f>coder1_YH!F288</f>
        <v/>
      </c>
      <c r="G288" t="str">
        <f>IF(coder1_YH!G288="",G287, coder1_YH!G288)</f>
        <v>Mason, 2004</v>
      </c>
      <c r="H288" s="405" t="str">
        <f>clean_mod!I288</f>
        <v>2004</v>
      </c>
      <c r="I288" t="str">
        <f>clean_mod!G288</f>
        <v>149</v>
      </c>
      <c r="J288">
        <f>clean_mod!H288</f>
        <v>149</v>
      </c>
      <c r="K288" t="str">
        <f>IF(coder1_YH!P288="",K287, coder1_YH!P288)</f>
        <v>ctl</v>
      </c>
      <c r="L288" s="324" t="str">
        <f>IF(clean_mod!AF288="",L287,clean_mod!AF288)</f>
        <v xml:space="preserve">149-Nm </v>
      </c>
      <c r="M288" s="324" t="str">
        <f>IF(clean_mod!AG288="",M287,clean_mod!AG288)</f>
        <v>149-N_R</v>
      </c>
      <c r="N288" s="372" t="str">
        <f t="shared" si="32"/>
        <v>149-ctl-113</v>
      </c>
      <c r="O288" s="372" t="str">
        <f t="shared" si="33"/>
        <v>149-ctl-113</v>
      </c>
      <c r="P288" s="369">
        <v>113</v>
      </c>
      <c r="Q288" s="369" t="str">
        <f>LEFT(coder1_YH!AK288,1)</f>
        <v>0</v>
      </c>
      <c r="R288" s="369" t="str">
        <f>LEFT(coder1_YH!AL288,1)</f>
        <v>0</v>
      </c>
      <c r="S288" s="369" t="str">
        <f>coder1_YH!AJ288</f>
        <v>(immediate) 3. Oral retell quality</v>
      </c>
      <c r="T288" s="370">
        <f>coder1_YH!AN288</f>
        <v>3.06</v>
      </c>
      <c r="U288" s="370">
        <f>coder1_YH!AO288</f>
        <v>1.24</v>
      </c>
      <c r="V288" s="370">
        <f>coder1_YH!AP288</f>
        <v>16</v>
      </c>
      <c r="W288" s="370">
        <f>coder1_YH!AQ288</f>
        <v>3</v>
      </c>
      <c r="X288" s="370">
        <f>coder1_YH!AR288</f>
        <v>0.89</v>
      </c>
      <c r="Y288" s="370">
        <f>coder1_YH!AS288</f>
        <v>16</v>
      </c>
      <c r="Z288" s="371">
        <f t="shared" si="34"/>
        <v>3.06</v>
      </c>
      <c r="AA288" s="371">
        <f t="shared" si="35"/>
        <v>1.24</v>
      </c>
      <c r="AB288" s="371">
        <f t="shared" si="36"/>
        <v>16</v>
      </c>
      <c r="AC288" s="371">
        <f t="shared" si="37"/>
        <v>3</v>
      </c>
      <c r="AD288" s="371">
        <f t="shared" si="38"/>
        <v>0.89</v>
      </c>
      <c r="AE288" s="371">
        <f t="shared" si="39"/>
        <v>16</v>
      </c>
    </row>
    <row r="289" spans="1:31" x14ac:dyDescent="0.2">
      <c r="A289">
        <f>coder1_YH!B289</f>
        <v>0</v>
      </c>
      <c r="B289">
        <f>coder1_YH!C289</f>
        <v>289</v>
      </c>
      <c r="C289">
        <f>coder1_YH!D289</f>
        <v>0</v>
      </c>
      <c r="D289" t="str">
        <f>coder1_YH!E289</f>
        <v/>
      </c>
      <c r="E289" t="str">
        <f>coder1_YH!F289</f>
        <v/>
      </c>
      <c r="G289" t="str">
        <f>IF(coder1_YH!G289="",G288, coder1_YH!G289)</f>
        <v>Mason, 2004</v>
      </c>
      <c r="H289" s="405" t="str">
        <f>clean_mod!I289</f>
        <v>2004</v>
      </c>
      <c r="I289" t="str">
        <f>clean_mod!G289</f>
        <v>149</v>
      </c>
      <c r="J289">
        <f>clean_mod!H289</f>
        <v>149</v>
      </c>
      <c r="K289" t="str">
        <f>IF(coder1_YH!P289="",K288, coder1_YH!P289)</f>
        <v>ctl</v>
      </c>
      <c r="L289" s="324" t="str">
        <f>IF(clean_mod!AF289="",L288,clean_mod!AF289)</f>
        <v xml:space="preserve">149-Nm </v>
      </c>
      <c r="M289" s="324" t="str">
        <f>IF(clean_mod!AG289="",M288,clean_mod!AG289)</f>
        <v>149-N_R</v>
      </c>
      <c r="N289" s="372" t="str">
        <f t="shared" si="32"/>
        <v>149-ctl-114</v>
      </c>
      <c r="O289" s="372" t="str">
        <f t="shared" si="33"/>
        <v>149-ctl-114</v>
      </c>
      <c r="P289" s="369">
        <v>114</v>
      </c>
      <c r="Q289" s="369" t="str">
        <f>LEFT(coder1_YH!AK289,1)</f>
        <v>0</v>
      </c>
      <c r="R289" s="369" t="str">
        <f>LEFT(coder1_YH!AL289,1)</f>
        <v>0</v>
      </c>
      <c r="S289" s="369" t="str">
        <f>coder1_YH!AJ289</f>
        <v xml:space="preserve">(immediate) 4. Oral retell information units </v>
      </c>
      <c r="T289" s="370">
        <f>coder1_YH!AN289</f>
        <v>4</v>
      </c>
      <c r="U289" s="370">
        <f>coder1_YH!AO289</f>
        <v>2</v>
      </c>
      <c r="V289" s="370">
        <f>coder1_YH!AP289</f>
        <v>16</v>
      </c>
      <c r="W289" s="370">
        <f>coder1_YH!AQ289</f>
        <v>4.5</v>
      </c>
      <c r="X289" s="370">
        <f>coder1_YH!AR289</f>
        <v>2.0699999999999998</v>
      </c>
      <c r="Y289" s="370">
        <f>coder1_YH!AS289</f>
        <v>16</v>
      </c>
      <c r="Z289" s="371">
        <f t="shared" si="34"/>
        <v>4</v>
      </c>
      <c r="AA289" s="371">
        <f t="shared" si="35"/>
        <v>2</v>
      </c>
      <c r="AB289" s="371">
        <f t="shared" si="36"/>
        <v>16</v>
      </c>
      <c r="AC289" s="371">
        <f t="shared" si="37"/>
        <v>4.5</v>
      </c>
      <c r="AD289" s="371">
        <f t="shared" si="38"/>
        <v>2.0699999999999998</v>
      </c>
      <c r="AE289" s="371">
        <f t="shared" si="39"/>
        <v>16</v>
      </c>
    </row>
    <row r="290" spans="1:31" x14ac:dyDescent="0.2">
      <c r="A290">
        <f>coder1_YH!B290</f>
        <v>0</v>
      </c>
      <c r="B290">
        <f>coder1_YH!C290</f>
        <v>290</v>
      </c>
      <c r="C290">
        <f>coder1_YH!D290</f>
        <v>0</v>
      </c>
      <c r="D290" t="str">
        <f>coder1_YH!E290</f>
        <v/>
      </c>
      <c r="E290" t="str">
        <f>coder1_YH!F290</f>
        <v/>
      </c>
      <c r="G290" t="str">
        <f>IF(coder1_YH!G290="",G289, coder1_YH!G290)</f>
        <v>Mason, 2004</v>
      </c>
      <c r="H290" s="405" t="str">
        <f>clean_mod!I290</f>
        <v>2004</v>
      </c>
      <c r="I290" t="str">
        <f>clean_mod!G290</f>
        <v>149</v>
      </c>
      <c r="J290">
        <f>clean_mod!H290</f>
        <v>149</v>
      </c>
      <c r="K290" t="str">
        <f>IF(coder1_YH!P290="",K289, coder1_YH!P290)</f>
        <v>ctl</v>
      </c>
      <c r="L290" s="324" t="str">
        <f>IF(clean_mod!AF290="",L289,clean_mod!AF290)</f>
        <v xml:space="preserve">149-Nm </v>
      </c>
      <c r="M290" s="324" t="str">
        <f>IF(clean_mod!AG290="",M289,clean_mod!AG290)</f>
        <v>149-N_R</v>
      </c>
      <c r="N290" s="372" t="str">
        <f t="shared" si="32"/>
        <v>149-ctl-115</v>
      </c>
      <c r="O290" s="372" t="str">
        <f t="shared" si="33"/>
        <v>149-ctl-115</v>
      </c>
      <c r="P290" s="369">
        <v>115</v>
      </c>
      <c r="Q290" s="369" t="str">
        <f>LEFT(coder1_YH!AK290,1)</f>
        <v>0</v>
      </c>
      <c r="R290" s="369" t="str">
        <f>LEFT(coder1_YH!AL290,1)</f>
        <v>0</v>
      </c>
      <c r="S290" s="369" t="str">
        <f>coder1_YH!AJ290</f>
        <v>(immediate) 5. Oral retell main ideas</v>
      </c>
      <c r="T290" s="370">
        <f>coder1_YH!AN290</f>
        <v>2.44</v>
      </c>
      <c r="U290" s="370">
        <f>coder1_YH!AO290</f>
        <v>0.96</v>
      </c>
      <c r="V290" s="370">
        <f>coder1_YH!AP290</f>
        <v>16</v>
      </c>
      <c r="W290" s="370">
        <f>coder1_YH!AQ290</f>
        <v>2.56</v>
      </c>
      <c r="X290" s="370">
        <f>coder1_YH!AR290</f>
        <v>0.96</v>
      </c>
      <c r="Y290" s="370">
        <f>coder1_YH!AS290</f>
        <v>16</v>
      </c>
      <c r="Z290" s="371">
        <f t="shared" si="34"/>
        <v>2.44</v>
      </c>
      <c r="AA290" s="371">
        <f t="shared" si="35"/>
        <v>0.96</v>
      </c>
      <c r="AB290" s="371">
        <f t="shared" si="36"/>
        <v>16</v>
      </c>
      <c r="AC290" s="371">
        <f t="shared" si="37"/>
        <v>2.56</v>
      </c>
      <c r="AD290" s="371">
        <f t="shared" si="38"/>
        <v>0.96</v>
      </c>
      <c r="AE290" s="371">
        <f t="shared" si="39"/>
        <v>16</v>
      </c>
    </row>
    <row r="291" spans="1:31" x14ac:dyDescent="0.2">
      <c r="A291">
        <f>coder1_YH!B291</f>
        <v>0</v>
      </c>
      <c r="B291">
        <f>coder1_YH!C291</f>
        <v>291</v>
      </c>
      <c r="C291">
        <f>coder1_YH!D291</f>
        <v>0</v>
      </c>
      <c r="D291" t="str">
        <f>coder1_YH!E291</f>
        <v/>
      </c>
      <c r="E291" t="str">
        <f>coder1_YH!F291</f>
        <v/>
      </c>
      <c r="G291" t="str">
        <f>IF(coder1_YH!G291="",G290, coder1_YH!G291)</f>
        <v>Mason, 2004</v>
      </c>
      <c r="H291" s="405" t="str">
        <f>clean_mod!I291</f>
        <v>2004</v>
      </c>
      <c r="I291" t="str">
        <f>clean_mod!G291</f>
        <v>149</v>
      </c>
      <c r="J291">
        <f>clean_mod!H291</f>
        <v>149</v>
      </c>
      <c r="K291" t="str">
        <f>IF(coder1_YH!P291="",K290, coder1_YH!P291)</f>
        <v>ctl</v>
      </c>
      <c r="L291" s="324" t="str">
        <f>IF(clean_mod!AF291="",L290,clean_mod!AF291)</f>
        <v xml:space="preserve">149-Nm </v>
      </c>
      <c r="M291" s="324" t="str">
        <f>IF(clean_mod!AG291="",M290,clean_mod!AG291)</f>
        <v>149-N_R</v>
      </c>
      <c r="N291" s="372" t="str">
        <f t="shared" si="32"/>
        <v>149-ctl-116</v>
      </c>
      <c r="O291" s="372" t="str">
        <f t="shared" si="33"/>
        <v>149-ctl-116</v>
      </c>
      <c r="P291" s="369">
        <v>116</v>
      </c>
      <c r="Q291" s="369" t="str">
        <f>LEFT(coder1_YH!AK291,1)</f>
        <v>0</v>
      </c>
      <c r="R291" s="369" t="str">
        <f>LEFT(coder1_YH!AL291,1)</f>
        <v>0</v>
      </c>
      <c r="S291" s="369" t="str">
        <f>coder1_YH!AJ291</f>
        <v>(immediate) 6. Written retell quality</v>
      </c>
      <c r="T291" s="370">
        <f>coder1_YH!AN291</f>
        <v>3</v>
      </c>
      <c r="U291" s="370">
        <f>coder1_YH!AO291</f>
        <v>1.03</v>
      </c>
      <c r="V291" s="370">
        <f>coder1_YH!AP291</f>
        <v>16</v>
      </c>
      <c r="W291" s="370">
        <f>coder1_YH!AQ291</f>
        <v>3.19</v>
      </c>
      <c r="X291" s="370">
        <f>coder1_YH!AR291</f>
        <v>1.28</v>
      </c>
      <c r="Y291" s="370">
        <f>coder1_YH!AS291</f>
        <v>16</v>
      </c>
      <c r="Z291" s="371">
        <f t="shared" si="34"/>
        <v>3</v>
      </c>
      <c r="AA291" s="371">
        <f t="shared" si="35"/>
        <v>1.03</v>
      </c>
      <c r="AB291" s="371">
        <f t="shared" si="36"/>
        <v>16</v>
      </c>
      <c r="AC291" s="371">
        <f t="shared" si="37"/>
        <v>3.19</v>
      </c>
      <c r="AD291" s="371">
        <f t="shared" si="38"/>
        <v>1.28</v>
      </c>
      <c r="AE291" s="371">
        <f t="shared" si="39"/>
        <v>16</v>
      </c>
    </row>
    <row r="292" spans="1:31" x14ac:dyDescent="0.2">
      <c r="A292">
        <f>coder1_YH!B292</f>
        <v>0</v>
      </c>
      <c r="B292">
        <f>coder1_YH!C292</f>
        <v>292</v>
      </c>
      <c r="C292">
        <f>coder1_YH!D292</f>
        <v>0</v>
      </c>
      <c r="D292" t="str">
        <f>coder1_YH!E292</f>
        <v/>
      </c>
      <c r="E292" t="str">
        <f>coder1_YH!F292</f>
        <v/>
      </c>
      <c r="G292" t="str">
        <f>IF(coder1_YH!G292="",G291, coder1_YH!G292)</f>
        <v>Mason, 2004</v>
      </c>
      <c r="H292" s="405" t="str">
        <f>clean_mod!I292</f>
        <v>2004</v>
      </c>
      <c r="I292" t="str">
        <f>clean_mod!G292</f>
        <v>149</v>
      </c>
      <c r="J292">
        <f>clean_mod!H292</f>
        <v>149</v>
      </c>
      <c r="K292" t="str">
        <f>IF(coder1_YH!P292="",K291, coder1_YH!P292)</f>
        <v>ctl</v>
      </c>
      <c r="L292" s="324" t="str">
        <f>IF(clean_mod!AF292="",L291,clean_mod!AF292)</f>
        <v xml:space="preserve">149-Nm </v>
      </c>
      <c r="M292" s="324" t="str">
        <f>IF(clean_mod!AG292="",M291,clean_mod!AG292)</f>
        <v>149-N_R</v>
      </c>
      <c r="N292" s="372" t="str">
        <f t="shared" si="32"/>
        <v>149-ctl-117</v>
      </c>
      <c r="O292" s="372" t="str">
        <f t="shared" si="33"/>
        <v>149-ctl-117</v>
      </c>
      <c r="P292" s="369">
        <v>117</v>
      </c>
      <c r="Q292" s="369" t="str">
        <f>LEFT(coder1_YH!AK292,1)</f>
        <v>0</v>
      </c>
      <c r="R292" s="369" t="str">
        <f>LEFT(coder1_YH!AL292,1)</f>
        <v>0</v>
      </c>
      <c r="S292" s="369" t="str">
        <f>coder1_YH!AJ292</f>
        <v xml:space="preserve">(immediate) 7. Written retell information units </v>
      </c>
      <c r="T292" s="370">
        <f>coder1_YH!AN292</f>
        <v>4.0599999999999996</v>
      </c>
      <c r="U292" s="370">
        <f>coder1_YH!AO292</f>
        <v>2.08</v>
      </c>
      <c r="V292" s="370">
        <f>coder1_YH!AP292</f>
        <v>16</v>
      </c>
      <c r="W292" s="370">
        <f>coder1_YH!AQ292</f>
        <v>3.69</v>
      </c>
      <c r="X292" s="370">
        <f>coder1_YH!AR292</f>
        <v>2.5</v>
      </c>
      <c r="Y292" s="370">
        <f>coder1_YH!AS292</f>
        <v>16</v>
      </c>
      <c r="Z292" s="371">
        <f t="shared" si="34"/>
        <v>4.0599999999999996</v>
      </c>
      <c r="AA292" s="371">
        <f t="shared" si="35"/>
        <v>2.08</v>
      </c>
      <c r="AB292" s="371">
        <f t="shared" si="36"/>
        <v>16</v>
      </c>
      <c r="AC292" s="371">
        <f t="shared" si="37"/>
        <v>3.69</v>
      </c>
      <c r="AD292" s="371">
        <f t="shared" si="38"/>
        <v>2.5</v>
      </c>
      <c r="AE292" s="371">
        <f t="shared" si="39"/>
        <v>16</v>
      </c>
    </row>
    <row r="293" spans="1:31" x14ac:dyDescent="0.2">
      <c r="A293">
        <f>coder1_YH!B293</f>
        <v>0</v>
      </c>
      <c r="B293">
        <f>coder1_YH!C293</f>
        <v>293</v>
      </c>
      <c r="C293">
        <f>coder1_YH!D293</f>
        <v>0</v>
      </c>
      <c r="D293" t="str">
        <f>coder1_YH!E293</f>
        <v/>
      </c>
      <c r="E293" t="str">
        <f>coder1_YH!F293</f>
        <v/>
      </c>
      <c r="G293" t="str">
        <f>IF(coder1_YH!G293="",G292, coder1_YH!G293)</f>
        <v>Mason, 2004</v>
      </c>
      <c r="H293" s="405" t="str">
        <f>clean_mod!I293</f>
        <v>2004</v>
      </c>
      <c r="I293" t="str">
        <f>clean_mod!G293</f>
        <v>149</v>
      </c>
      <c r="J293">
        <f>clean_mod!H293</f>
        <v>149</v>
      </c>
      <c r="K293" t="str">
        <f>IF(coder1_YH!P293="",K292, coder1_YH!P293)</f>
        <v>ctl</v>
      </c>
      <c r="L293" s="324" t="str">
        <f>IF(clean_mod!AF293="",L292,clean_mod!AF293)</f>
        <v xml:space="preserve">149-Nm </v>
      </c>
      <c r="M293" s="324" t="str">
        <f>IF(clean_mod!AG293="",M292,clean_mod!AG293)</f>
        <v>149-N_R</v>
      </c>
      <c r="N293" s="372" t="str">
        <f t="shared" si="32"/>
        <v>149-ctl-118</v>
      </c>
      <c r="O293" s="372" t="str">
        <f t="shared" si="33"/>
        <v>149-ctl-118</v>
      </c>
      <c r="P293" s="369">
        <v>118</v>
      </c>
      <c r="Q293" s="369" t="str">
        <f>LEFT(coder1_YH!AK293,1)</f>
        <v>0</v>
      </c>
      <c r="R293" s="369" t="str">
        <f>LEFT(coder1_YH!AL293,1)</f>
        <v>0</v>
      </c>
      <c r="S293" s="369" t="str">
        <f>coder1_YH!AJ293</f>
        <v>(immediate) 8. Written retell main ideas</v>
      </c>
      <c r="T293" s="370">
        <f>coder1_YH!AN293</f>
        <v>2.0699999999999998</v>
      </c>
      <c r="U293" s="370">
        <f>coder1_YH!AO293</f>
        <v>1.1200000000000001</v>
      </c>
      <c r="V293" s="370">
        <f>coder1_YH!AP293</f>
        <v>16</v>
      </c>
      <c r="W293" s="370">
        <f>coder1_YH!AQ293</f>
        <v>2.63</v>
      </c>
      <c r="X293" s="370">
        <f>coder1_YH!AR293</f>
        <v>1.26</v>
      </c>
      <c r="Y293" s="370">
        <f>coder1_YH!AS293</f>
        <v>16</v>
      </c>
      <c r="Z293" s="371">
        <f t="shared" si="34"/>
        <v>2.0699999999999998</v>
      </c>
      <c r="AA293" s="371">
        <f t="shared" si="35"/>
        <v>1.1200000000000001</v>
      </c>
      <c r="AB293" s="371">
        <f t="shared" si="36"/>
        <v>16</v>
      </c>
      <c r="AC293" s="371">
        <f t="shared" si="37"/>
        <v>2.63</v>
      </c>
      <c r="AD293" s="371">
        <f t="shared" si="38"/>
        <v>1.26</v>
      </c>
      <c r="AE293" s="371">
        <f t="shared" si="39"/>
        <v>16</v>
      </c>
    </row>
    <row r="294" spans="1:31" x14ac:dyDescent="0.2">
      <c r="A294">
        <f>coder1_YH!B294</f>
        <v>0</v>
      </c>
      <c r="B294">
        <f>coder1_YH!C294</f>
        <v>294</v>
      </c>
      <c r="C294">
        <f>coder1_YH!D294</f>
        <v>0</v>
      </c>
      <c r="D294" t="str">
        <f>coder1_YH!E294</f>
        <v/>
      </c>
      <c r="E294" t="str">
        <f>coder1_YH!F294</f>
        <v/>
      </c>
      <c r="G294" t="str">
        <f>IF(coder1_YH!G294="",G293, coder1_YH!G294)</f>
        <v>Mason, 2004</v>
      </c>
      <c r="H294" s="405" t="str">
        <f>clean_mod!I294</f>
        <v>2004</v>
      </c>
      <c r="I294" t="str">
        <f>clean_mod!G294</f>
        <v>149</v>
      </c>
      <c r="J294">
        <f>clean_mod!H294</f>
        <v>149</v>
      </c>
      <c r="K294" t="str">
        <f>IF(coder1_YH!P294="",K293, coder1_YH!P294)</f>
        <v>ctl</v>
      </c>
      <c r="L294" s="324" t="str">
        <f>IF(clean_mod!AF294="",L293,clean_mod!AF294)</f>
        <v xml:space="preserve">149-Nm </v>
      </c>
      <c r="M294" s="324" t="str">
        <f>IF(clean_mod!AG294="",M293,clean_mod!AG294)</f>
        <v>149-N_R</v>
      </c>
      <c r="N294" s="372" t="str">
        <f t="shared" si="32"/>
        <v>149-ctl-119</v>
      </c>
      <c r="O294" s="372" t="str">
        <f t="shared" si="33"/>
        <v>149-ctl-119</v>
      </c>
      <c r="P294" s="369">
        <v>119</v>
      </c>
      <c r="Q294" s="369" t="str">
        <f>LEFT(coder1_YH!AK294,1)</f>
        <v>0</v>
      </c>
      <c r="R294" s="369" t="str">
        <f>LEFT(coder1_YH!AL294,1)</f>
        <v>0</v>
      </c>
      <c r="S294" s="369" t="str">
        <f>coder1_YH!AJ294</f>
        <v>(3 week) 1. Main idea</v>
      </c>
      <c r="T294" s="370">
        <f>coder1_YH!AN294</f>
        <v>2.19</v>
      </c>
      <c r="U294" s="370">
        <f>coder1_YH!AO294</f>
        <v>1.52</v>
      </c>
      <c r="V294" s="370">
        <f>coder1_YH!AP294</f>
        <v>16</v>
      </c>
      <c r="W294" s="370">
        <f>coder1_YH!AQ294</f>
        <v>2.4</v>
      </c>
      <c r="X294" s="370">
        <f>coder1_YH!AR294</f>
        <v>1.35</v>
      </c>
      <c r="Y294" s="370">
        <f>coder1_YH!AS294</f>
        <v>16</v>
      </c>
      <c r="Z294" s="371">
        <f t="shared" si="34"/>
        <v>2.19</v>
      </c>
      <c r="AA294" s="371">
        <f t="shared" si="35"/>
        <v>1.52</v>
      </c>
      <c r="AB294" s="371">
        <f t="shared" si="36"/>
        <v>16</v>
      </c>
      <c r="AC294" s="371">
        <f t="shared" si="37"/>
        <v>2.4</v>
      </c>
      <c r="AD294" s="371">
        <f t="shared" si="38"/>
        <v>1.35</v>
      </c>
      <c r="AE294" s="371">
        <f t="shared" si="39"/>
        <v>16</v>
      </c>
    </row>
    <row r="295" spans="1:31" x14ac:dyDescent="0.2">
      <c r="A295">
        <f>coder1_YH!B295</f>
        <v>0</v>
      </c>
      <c r="B295">
        <f>coder1_YH!C295</f>
        <v>295</v>
      </c>
      <c r="C295">
        <f>coder1_YH!D295</f>
        <v>0</v>
      </c>
      <c r="D295" t="str">
        <f>coder1_YH!E295</f>
        <v/>
      </c>
      <c r="E295" t="str">
        <f>coder1_YH!F295</f>
        <v/>
      </c>
      <c r="G295" t="str">
        <f>IF(coder1_YH!G295="",G294, coder1_YH!G295)</f>
        <v>Mason, 2004</v>
      </c>
      <c r="H295" s="405" t="str">
        <f>clean_mod!I295</f>
        <v>2004</v>
      </c>
      <c r="I295" t="str">
        <f>clean_mod!G295</f>
        <v>149</v>
      </c>
      <c r="J295">
        <f>clean_mod!H295</f>
        <v>149</v>
      </c>
      <c r="K295" t="str">
        <f>IF(coder1_YH!P295="",K294, coder1_YH!P295)</f>
        <v>ctl</v>
      </c>
      <c r="L295" s="324" t="str">
        <f>IF(clean_mod!AF295="",L294,clean_mod!AF295)</f>
        <v xml:space="preserve">149-Nm </v>
      </c>
      <c r="M295" s="324" t="str">
        <f>IF(clean_mod!AG295="",M294,clean_mod!AG295)</f>
        <v>149-N_R</v>
      </c>
      <c r="N295" s="372" t="str">
        <f t="shared" si="32"/>
        <v>149-ctl-120</v>
      </c>
      <c r="O295" s="372" t="str">
        <f t="shared" si="33"/>
        <v>149-ctl-120</v>
      </c>
      <c r="P295" s="369">
        <v>120</v>
      </c>
      <c r="Q295" s="369" t="str">
        <f>LEFT(coder1_YH!AK295,1)</f>
        <v>0</v>
      </c>
      <c r="R295" s="369" t="str">
        <f>LEFT(coder1_YH!AL295,1)</f>
        <v>0</v>
      </c>
      <c r="S295" s="369" t="str">
        <f>coder1_YH!AJ295</f>
        <v>(3 week) 2. Summary</v>
      </c>
      <c r="T295" s="370">
        <f>coder1_YH!AN295</f>
        <v>3.88</v>
      </c>
      <c r="U295" s="370">
        <f>coder1_YH!AO295</f>
        <v>1.93</v>
      </c>
      <c r="V295" s="370">
        <f>coder1_YH!AP295</f>
        <v>16</v>
      </c>
      <c r="W295" s="370">
        <f>coder1_YH!AQ295</f>
        <v>3.93</v>
      </c>
      <c r="X295" s="370">
        <f>coder1_YH!AR295</f>
        <v>1.62</v>
      </c>
      <c r="Y295" s="370">
        <f>coder1_YH!AS295</f>
        <v>16</v>
      </c>
      <c r="Z295" s="371">
        <f t="shared" si="34"/>
        <v>3.88</v>
      </c>
      <c r="AA295" s="371">
        <f t="shared" si="35"/>
        <v>1.93</v>
      </c>
      <c r="AB295" s="371">
        <f t="shared" si="36"/>
        <v>16</v>
      </c>
      <c r="AC295" s="371">
        <f t="shared" si="37"/>
        <v>3.93</v>
      </c>
      <c r="AD295" s="371">
        <f t="shared" si="38"/>
        <v>1.62</v>
      </c>
      <c r="AE295" s="371">
        <f t="shared" si="39"/>
        <v>16</v>
      </c>
    </row>
    <row r="296" spans="1:31" x14ac:dyDescent="0.2">
      <c r="A296">
        <f>coder1_YH!B296</f>
        <v>0</v>
      </c>
      <c r="B296">
        <f>coder1_YH!C296</f>
        <v>296</v>
      </c>
      <c r="C296">
        <f>coder1_YH!D296</f>
        <v>0</v>
      </c>
      <c r="D296" t="str">
        <f>coder1_YH!E296</f>
        <v/>
      </c>
      <c r="E296" t="str">
        <f>coder1_YH!F296</f>
        <v/>
      </c>
      <c r="G296" t="str">
        <f>IF(coder1_YH!G296="",G295, coder1_YH!G296)</f>
        <v>Mason, 2004</v>
      </c>
      <c r="H296" s="405" t="str">
        <f>clean_mod!I296</f>
        <v>2004</v>
      </c>
      <c r="I296" t="str">
        <f>clean_mod!G296</f>
        <v>149</v>
      </c>
      <c r="J296">
        <f>clean_mod!H296</f>
        <v>149</v>
      </c>
      <c r="K296" t="str">
        <f>IF(coder1_YH!P296="",K295, coder1_YH!P296)</f>
        <v>ctl</v>
      </c>
      <c r="L296" s="324" t="str">
        <f>IF(clean_mod!AF296="",L295,clean_mod!AF296)</f>
        <v xml:space="preserve">149-Nm </v>
      </c>
      <c r="M296" s="324" t="str">
        <f>IF(clean_mod!AG296="",M295,clean_mod!AG296)</f>
        <v>149-N_R</v>
      </c>
      <c r="N296" s="372" t="str">
        <f t="shared" si="32"/>
        <v>149-ctl-121</v>
      </c>
      <c r="O296" s="372" t="str">
        <f t="shared" si="33"/>
        <v>149-ctl-121</v>
      </c>
      <c r="P296" s="369">
        <v>121</v>
      </c>
      <c r="Q296" s="369" t="str">
        <f>LEFT(coder1_YH!AK296,1)</f>
        <v>0</v>
      </c>
      <c r="R296" s="369" t="str">
        <f>LEFT(coder1_YH!AL296,1)</f>
        <v>0</v>
      </c>
      <c r="S296" s="369" t="str">
        <f>coder1_YH!AJ296</f>
        <v>(3 week) 3. Oral retell quality</v>
      </c>
      <c r="T296" s="370">
        <f>coder1_YH!AN296</f>
        <v>3.06</v>
      </c>
      <c r="U296" s="370">
        <f>coder1_YH!AO296</f>
        <v>1.24</v>
      </c>
      <c r="V296" s="370">
        <f>coder1_YH!AP296</f>
        <v>16</v>
      </c>
      <c r="W296" s="370">
        <f>coder1_YH!AQ296</f>
        <v>3.33</v>
      </c>
      <c r="X296" s="370">
        <f>coder1_YH!AR296</f>
        <v>1.29</v>
      </c>
      <c r="Y296" s="370">
        <f>coder1_YH!AS296</f>
        <v>16</v>
      </c>
      <c r="Z296" s="371">
        <f t="shared" si="34"/>
        <v>3.06</v>
      </c>
      <c r="AA296" s="371">
        <f t="shared" si="35"/>
        <v>1.24</v>
      </c>
      <c r="AB296" s="371">
        <f t="shared" si="36"/>
        <v>16</v>
      </c>
      <c r="AC296" s="371">
        <f t="shared" si="37"/>
        <v>3.33</v>
      </c>
      <c r="AD296" s="371">
        <f t="shared" si="38"/>
        <v>1.29</v>
      </c>
      <c r="AE296" s="371">
        <f t="shared" si="39"/>
        <v>16</v>
      </c>
    </row>
    <row r="297" spans="1:31" x14ac:dyDescent="0.2">
      <c r="A297">
        <f>coder1_YH!B297</f>
        <v>0</v>
      </c>
      <c r="B297">
        <f>coder1_YH!C297</f>
        <v>297</v>
      </c>
      <c r="C297">
        <f>coder1_YH!D297</f>
        <v>0</v>
      </c>
      <c r="D297" t="str">
        <f>coder1_YH!E297</f>
        <v/>
      </c>
      <c r="E297" t="str">
        <f>coder1_YH!F297</f>
        <v/>
      </c>
      <c r="G297" t="str">
        <f>IF(coder1_YH!G297="",G296, coder1_YH!G297)</f>
        <v>Mason, 2004</v>
      </c>
      <c r="H297" s="405" t="str">
        <f>clean_mod!I297</f>
        <v>2004</v>
      </c>
      <c r="I297" t="str">
        <f>clean_mod!G297</f>
        <v>149</v>
      </c>
      <c r="J297">
        <f>clean_mod!H297</f>
        <v>149</v>
      </c>
      <c r="K297" t="str">
        <f>IF(coder1_YH!P297="",K296, coder1_YH!P297)</f>
        <v>ctl</v>
      </c>
      <c r="L297" s="324" t="str">
        <f>IF(clean_mod!AF297="",L296,clean_mod!AF297)</f>
        <v xml:space="preserve">149-Nm </v>
      </c>
      <c r="M297" s="324" t="str">
        <f>IF(clean_mod!AG297="",M296,clean_mod!AG297)</f>
        <v>149-N_R</v>
      </c>
      <c r="N297" s="372" t="str">
        <f t="shared" si="32"/>
        <v>149-ctl-122</v>
      </c>
      <c r="O297" s="372" t="str">
        <f t="shared" si="33"/>
        <v>149-ctl-122</v>
      </c>
      <c r="P297" s="369">
        <v>122</v>
      </c>
      <c r="Q297" s="369" t="str">
        <f>LEFT(coder1_YH!AK297,1)</f>
        <v>0</v>
      </c>
      <c r="R297" s="369" t="str">
        <f>LEFT(coder1_YH!AL297,1)</f>
        <v>0</v>
      </c>
      <c r="S297" s="369" t="str">
        <f>coder1_YH!AJ297</f>
        <v xml:space="preserve">(3 week) 4. Oral retell information units </v>
      </c>
      <c r="T297" s="370">
        <f>coder1_YH!AN297</f>
        <v>4</v>
      </c>
      <c r="U297" s="370">
        <f>coder1_YH!AO297</f>
        <v>2</v>
      </c>
      <c r="V297" s="370">
        <f>coder1_YH!AP297</f>
        <v>16</v>
      </c>
      <c r="W297" s="370">
        <f>coder1_YH!AQ297</f>
        <v>3.6</v>
      </c>
      <c r="X297" s="370">
        <f>coder1_YH!AR297</f>
        <v>2.41</v>
      </c>
      <c r="Y297" s="370">
        <f>coder1_YH!AS297</f>
        <v>16</v>
      </c>
      <c r="Z297" s="371">
        <f t="shared" si="34"/>
        <v>4</v>
      </c>
      <c r="AA297" s="371">
        <f t="shared" si="35"/>
        <v>2</v>
      </c>
      <c r="AB297" s="371">
        <f t="shared" si="36"/>
        <v>16</v>
      </c>
      <c r="AC297" s="371">
        <f t="shared" si="37"/>
        <v>3.6</v>
      </c>
      <c r="AD297" s="371">
        <f t="shared" si="38"/>
        <v>2.41</v>
      </c>
      <c r="AE297" s="371">
        <f t="shared" si="39"/>
        <v>16</v>
      </c>
    </row>
    <row r="298" spans="1:31" x14ac:dyDescent="0.2">
      <c r="A298">
        <f>coder1_YH!B298</f>
        <v>0</v>
      </c>
      <c r="B298">
        <f>coder1_YH!C298</f>
        <v>298</v>
      </c>
      <c r="C298">
        <f>coder1_YH!D298</f>
        <v>0</v>
      </c>
      <c r="D298" t="str">
        <f>coder1_YH!E298</f>
        <v/>
      </c>
      <c r="E298" t="str">
        <f>coder1_YH!F298</f>
        <v/>
      </c>
      <c r="G298" t="str">
        <f>IF(coder1_YH!G298="",G297, coder1_YH!G298)</f>
        <v>Mason, 2004</v>
      </c>
      <c r="H298" s="405" t="str">
        <f>clean_mod!I298</f>
        <v>2004</v>
      </c>
      <c r="I298" t="str">
        <f>clean_mod!G298</f>
        <v>149</v>
      </c>
      <c r="J298">
        <f>clean_mod!H298</f>
        <v>149</v>
      </c>
      <c r="K298" t="str">
        <f>IF(coder1_YH!P298="",K297, coder1_YH!P298)</f>
        <v>ctl</v>
      </c>
      <c r="L298" s="324" t="str">
        <f>IF(clean_mod!AF298="",L297,clean_mod!AF298)</f>
        <v xml:space="preserve">149-Nm </v>
      </c>
      <c r="M298" s="324" t="str">
        <f>IF(clean_mod!AG298="",M297,clean_mod!AG298)</f>
        <v>149-N_R</v>
      </c>
      <c r="N298" s="372" t="str">
        <f t="shared" si="32"/>
        <v>149-ctl-123</v>
      </c>
      <c r="O298" s="372" t="str">
        <f t="shared" si="33"/>
        <v>149-ctl-123</v>
      </c>
      <c r="P298" s="369">
        <v>123</v>
      </c>
      <c r="Q298" s="369" t="str">
        <f>LEFT(coder1_YH!AK298,1)</f>
        <v>0</v>
      </c>
      <c r="R298" s="369" t="str">
        <f>LEFT(coder1_YH!AL298,1)</f>
        <v>0</v>
      </c>
      <c r="S298" s="369" t="str">
        <f>coder1_YH!AJ298</f>
        <v>(3 week) 5. Oral retell main ideas</v>
      </c>
      <c r="T298" s="370">
        <f>coder1_YH!AN298</f>
        <v>2.44</v>
      </c>
      <c r="U298" s="370">
        <f>coder1_YH!AO298</f>
        <v>0.96</v>
      </c>
      <c r="V298" s="370">
        <f>coder1_YH!AP298</f>
        <v>16</v>
      </c>
      <c r="W298" s="370">
        <f>coder1_YH!AQ298</f>
        <v>1.53</v>
      </c>
      <c r="X298" s="370">
        <f>coder1_YH!AR298</f>
        <v>1.36</v>
      </c>
      <c r="Y298" s="370">
        <f>coder1_YH!AS298</f>
        <v>16</v>
      </c>
      <c r="Z298" s="371">
        <f t="shared" si="34"/>
        <v>2.44</v>
      </c>
      <c r="AA298" s="371">
        <f t="shared" si="35"/>
        <v>0.96</v>
      </c>
      <c r="AB298" s="371">
        <f t="shared" si="36"/>
        <v>16</v>
      </c>
      <c r="AC298" s="371">
        <f t="shared" si="37"/>
        <v>1.53</v>
      </c>
      <c r="AD298" s="371">
        <f t="shared" si="38"/>
        <v>1.36</v>
      </c>
      <c r="AE298" s="371">
        <f t="shared" si="39"/>
        <v>16</v>
      </c>
    </row>
    <row r="299" spans="1:31" x14ac:dyDescent="0.2">
      <c r="A299">
        <f>coder1_YH!B299</f>
        <v>0</v>
      </c>
      <c r="B299">
        <f>coder1_YH!C299</f>
        <v>299</v>
      </c>
      <c r="C299">
        <f>coder1_YH!D299</f>
        <v>0</v>
      </c>
      <c r="D299" t="str">
        <f>coder1_YH!E299</f>
        <v/>
      </c>
      <c r="E299" t="str">
        <f>coder1_YH!F299</f>
        <v/>
      </c>
      <c r="G299" t="str">
        <f>IF(coder1_YH!G299="",G298, coder1_YH!G299)</f>
        <v>Mason, 2004</v>
      </c>
      <c r="H299" s="405" t="str">
        <f>clean_mod!I299</f>
        <v>2004</v>
      </c>
      <c r="I299" t="str">
        <f>clean_mod!G299</f>
        <v>149</v>
      </c>
      <c r="J299">
        <f>clean_mod!H299</f>
        <v>149</v>
      </c>
      <c r="K299" t="str">
        <f>IF(coder1_YH!P299="",K298, coder1_YH!P299)</f>
        <v>ctl</v>
      </c>
      <c r="L299" s="324" t="str">
        <f>IF(clean_mod!AF299="",L298,clean_mod!AF299)</f>
        <v xml:space="preserve">149-Nm </v>
      </c>
      <c r="M299" s="324" t="str">
        <f>IF(clean_mod!AG299="",M298,clean_mod!AG299)</f>
        <v>149-N_R</v>
      </c>
      <c r="N299" s="372" t="str">
        <f t="shared" si="32"/>
        <v>149-ctl-124</v>
      </c>
      <c r="O299" s="372" t="str">
        <f t="shared" si="33"/>
        <v>149-ctl-124</v>
      </c>
      <c r="P299" s="369">
        <v>124</v>
      </c>
      <c r="Q299" s="369" t="str">
        <f>LEFT(coder1_YH!AK299,1)</f>
        <v>0</v>
      </c>
      <c r="R299" s="369" t="str">
        <f>LEFT(coder1_YH!AL299,1)</f>
        <v>0</v>
      </c>
      <c r="S299" s="369" t="str">
        <f>coder1_YH!AJ299</f>
        <v>(3 week) 6. Written retell quality</v>
      </c>
      <c r="T299" s="370">
        <f>coder1_YH!AN299</f>
        <v>3</v>
      </c>
      <c r="U299" s="370">
        <f>coder1_YH!AO299</f>
        <v>1.03</v>
      </c>
      <c r="V299" s="370">
        <f>coder1_YH!AP299</f>
        <v>16</v>
      </c>
      <c r="W299" s="370">
        <f>coder1_YH!AQ299</f>
        <v>3.35</v>
      </c>
      <c r="X299" s="370">
        <f>coder1_YH!AR299</f>
        <v>1.35</v>
      </c>
      <c r="Y299" s="370">
        <f>coder1_YH!AS299</f>
        <v>16</v>
      </c>
      <c r="Z299" s="371">
        <f t="shared" si="34"/>
        <v>3</v>
      </c>
      <c r="AA299" s="371">
        <f t="shared" si="35"/>
        <v>1.03</v>
      </c>
      <c r="AB299" s="371">
        <f t="shared" si="36"/>
        <v>16</v>
      </c>
      <c r="AC299" s="371">
        <f t="shared" si="37"/>
        <v>3.35</v>
      </c>
      <c r="AD299" s="371">
        <f t="shared" si="38"/>
        <v>1.35</v>
      </c>
      <c r="AE299" s="371">
        <f t="shared" si="39"/>
        <v>16</v>
      </c>
    </row>
    <row r="300" spans="1:31" x14ac:dyDescent="0.2">
      <c r="A300">
        <f>coder1_YH!B300</f>
        <v>0</v>
      </c>
      <c r="B300">
        <f>coder1_YH!C300</f>
        <v>300</v>
      </c>
      <c r="C300">
        <f>coder1_YH!D300</f>
        <v>0</v>
      </c>
      <c r="D300" t="str">
        <f>coder1_YH!E300</f>
        <v/>
      </c>
      <c r="E300" t="str">
        <f>coder1_YH!F300</f>
        <v/>
      </c>
      <c r="G300" t="str">
        <f>IF(coder1_YH!G300="",G299, coder1_YH!G300)</f>
        <v>Mason, 2004</v>
      </c>
      <c r="H300" s="405" t="str">
        <f>clean_mod!I300</f>
        <v>2004</v>
      </c>
      <c r="I300" t="str">
        <f>clean_mod!G300</f>
        <v>149</v>
      </c>
      <c r="J300">
        <f>clean_mod!H300</f>
        <v>149</v>
      </c>
      <c r="K300" t="str">
        <f>IF(coder1_YH!P300="",K299, coder1_YH!P300)</f>
        <v>ctl</v>
      </c>
      <c r="L300" s="324" t="str">
        <f>IF(clean_mod!AF300="",L299,clean_mod!AF300)</f>
        <v xml:space="preserve">149-Nm </v>
      </c>
      <c r="M300" s="324" t="str">
        <f>IF(clean_mod!AG300="",M299,clean_mod!AG300)</f>
        <v>149-N_R</v>
      </c>
      <c r="N300" s="372" t="str">
        <f t="shared" si="32"/>
        <v>149-ctl-125</v>
      </c>
      <c r="O300" s="372" t="str">
        <f t="shared" si="33"/>
        <v>149-ctl-125</v>
      </c>
      <c r="P300" s="369">
        <v>125</v>
      </c>
      <c r="Q300" s="369" t="str">
        <f>LEFT(coder1_YH!AK300,1)</f>
        <v>0</v>
      </c>
      <c r="R300" s="369" t="str">
        <f>LEFT(coder1_YH!AL300,1)</f>
        <v>0</v>
      </c>
      <c r="S300" s="369" t="str">
        <f>coder1_YH!AJ300</f>
        <v xml:space="preserve">(3 week) 7. Written retell information units </v>
      </c>
      <c r="T300" s="370">
        <f>coder1_YH!AN300</f>
        <v>4.0599999999999996</v>
      </c>
      <c r="U300" s="370">
        <f>coder1_YH!AO300</f>
        <v>2.08</v>
      </c>
      <c r="V300" s="370">
        <f>coder1_YH!AP300</f>
        <v>16</v>
      </c>
      <c r="W300" s="370">
        <f>coder1_YH!AQ300</f>
        <v>3.35</v>
      </c>
      <c r="X300" s="370">
        <f>coder1_YH!AR300</f>
        <v>1.61</v>
      </c>
      <c r="Y300" s="370">
        <f>coder1_YH!AS300</f>
        <v>16</v>
      </c>
      <c r="Z300" s="371">
        <f t="shared" si="34"/>
        <v>4.0599999999999996</v>
      </c>
      <c r="AA300" s="371">
        <f t="shared" si="35"/>
        <v>2.08</v>
      </c>
      <c r="AB300" s="371">
        <f t="shared" si="36"/>
        <v>16</v>
      </c>
      <c r="AC300" s="371">
        <f t="shared" si="37"/>
        <v>3.35</v>
      </c>
      <c r="AD300" s="371">
        <f t="shared" si="38"/>
        <v>1.61</v>
      </c>
      <c r="AE300" s="371">
        <f t="shared" si="39"/>
        <v>16</v>
      </c>
    </row>
    <row r="301" spans="1:31" x14ac:dyDescent="0.2">
      <c r="A301">
        <f>coder1_YH!B301</f>
        <v>0</v>
      </c>
      <c r="B301">
        <f>coder1_YH!C301</f>
        <v>301</v>
      </c>
      <c r="C301">
        <f>coder1_YH!D301</f>
        <v>0</v>
      </c>
      <c r="D301" t="str">
        <f>coder1_YH!E301</f>
        <v/>
      </c>
      <c r="E301" t="str">
        <f>coder1_YH!F301</f>
        <v/>
      </c>
      <c r="G301" t="str">
        <f>IF(coder1_YH!G301="",G300, coder1_YH!G301)</f>
        <v>Mason, 2004</v>
      </c>
      <c r="H301" s="405" t="str">
        <f>clean_mod!I301</f>
        <v>2004</v>
      </c>
      <c r="I301" t="str">
        <f>clean_mod!G301</f>
        <v>149</v>
      </c>
      <c r="J301">
        <f>clean_mod!H301</f>
        <v>149</v>
      </c>
      <c r="K301" t="str">
        <f>IF(coder1_YH!P301="",K300, coder1_YH!P301)</f>
        <v>ctl</v>
      </c>
      <c r="L301" s="324" t="str">
        <f>IF(clean_mod!AF301="",L300,clean_mod!AF301)</f>
        <v xml:space="preserve">149-Nm </v>
      </c>
      <c r="M301" s="324" t="str">
        <f>IF(clean_mod!AG301="",M300,clean_mod!AG301)</f>
        <v>149-N_R</v>
      </c>
      <c r="N301" s="372" t="str">
        <f t="shared" si="32"/>
        <v>149-ctl-126</v>
      </c>
      <c r="O301" s="372" t="str">
        <f t="shared" si="33"/>
        <v>149-ctl-126</v>
      </c>
      <c r="P301" s="369">
        <v>126</v>
      </c>
      <c r="Q301" s="369" t="str">
        <f>LEFT(coder1_YH!AK301,1)</f>
        <v>0</v>
      </c>
      <c r="R301" s="369" t="str">
        <f>LEFT(coder1_YH!AL301,1)</f>
        <v>0</v>
      </c>
      <c r="S301" s="369" t="str">
        <f>coder1_YH!AJ301</f>
        <v>(3 week) 8. Written retell main ideas</v>
      </c>
      <c r="T301" s="370">
        <f>coder1_YH!AN301</f>
        <v>2.0699999999999998</v>
      </c>
      <c r="U301" s="370">
        <f>coder1_YH!AO301</f>
        <v>1.1200000000000001</v>
      </c>
      <c r="V301" s="370">
        <f>coder1_YH!AP301</f>
        <v>16</v>
      </c>
      <c r="W301" s="370">
        <f>coder1_YH!AQ301</f>
        <v>2.59</v>
      </c>
      <c r="X301" s="370">
        <f>coder1_YH!AR301</f>
        <v>1.36</v>
      </c>
      <c r="Y301" s="370">
        <f>coder1_YH!AS301</f>
        <v>16</v>
      </c>
      <c r="Z301" s="371">
        <f t="shared" si="34"/>
        <v>2.0699999999999998</v>
      </c>
      <c r="AA301" s="371">
        <f t="shared" si="35"/>
        <v>1.1200000000000001</v>
      </c>
      <c r="AB301" s="371">
        <f t="shared" si="36"/>
        <v>16</v>
      </c>
      <c r="AC301" s="371">
        <f t="shared" si="37"/>
        <v>2.59</v>
      </c>
      <c r="AD301" s="371">
        <f t="shared" si="38"/>
        <v>1.36</v>
      </c>
      <c r="AE301" s="371">
        <f t="shared" si="39"/>
        <v>16</v>
      </c>
    </row>
    <row r="302" spans="1:31" x14ac:dyDescent="0.2">
      <c r="A302">
        <f>coder1_YH!B302</f>
        <v>0</v>
      </c>
      <c r="B302">
        <f>coder1_YH!C302</f>
        <v>302</v>
      </c>
      <c r="C302">
        <f>coder1_YH!D302</f>
        <v>0</v>
      </c>
      <c r="D302">
        <f>coder1_YH!E302</f>
        <v>0</v>
      </c>
      <c r="E302" t="b">
        <f>coder1_YH!F302</f>
        <v>1</v>
      </c>
      <c r="G302" t="str">
        <f>IF(coder1_YH!G302="",G301, coder1_YH!G302)</f>
        <v>Cirino et al., 2017</v>
      </c>
      <c r="H302" s="405" t="str">
        <f>clean_mod!I302</f>
        <v>2017</v>
      </c>
      <c r="I302" t="str">
        <f>clean_mod!G302</f>
        <v>150</v>
      </c>
      <c r="J302">
        <f>clean_mod!H302</f>
        <v>150</v>
      </c>
      <c r="K302" t="str">
        <f>IF(coder1_YH!P302="",K301, coder1_YH!P302)</f>
        <v>ctl</v>
      </c>
      <c r="L302" s="324" t="str">
        <f>IF(clean_mod!AF302="",L301,clean_mod!AF302)</f>
        <v>150-..</v>
      </c>
      <c r="M302" s="324" t="str">
        <f>IF(clean_mod!AG302="",M301,clean_mod!AG302)</f>
        <v>150-BAU</v>
      </c>
      <c r="N302" s="372" t="str">
        <f t="shared" si="32"/>
        <v>150-ctl-127</v>
      </c>
      <c r="O302" s="372" t="str">
        <f t="shared" si="33"/>
        <v>150-ctl-127</v>
      </c>
      <c r="P302" s="369">
        <v>127</v>
      </c>
      <c r="Q302" s="369" t="str">
        <f>LEFT(coder1_YH!AK302,1)</f>
        <v>0</v>
      </c>
      <c r="R302" s="369" t="str">
        <f>LEFT(coder1_YH!AL302,1)</f>
        <v>0</v>
      </c>
      <c r="S302" s="369" t="str">
        <f>coder1_YH!AJ302</f>
        <v>Posttest Unrelated</v>
      </c>
      <c r="T302" s="370" t="str">
        <f>coder1_YH!AN302</f>
        <v>NA</v>
      </c>
      <c r="U302" s="370" t="str">
        <f>coder1_YH!AO302</f>
        <v>NA</v>
      </c>
      <c r="V302" s="370" t="str">
        <f>coder1_YH!AP302</f>
        <v>NA</v>
      </c>
      <c r="W302" s="370">
        <f>coder1_YH!AQ302</f>
        <v>0.49</v>
      </c>
      <c r="X302" s="370">
        <f>coder1_YH!AR302</f>
        <v>0.23</v>
      </c>
      <c r="Y302" s="370">
        <f>coder1_YH!AS302</f>
        <v>27</v>
      </c>
      <c r="Z302" s="371" t="str">
        <f t="shared" si="34"/>
        <v>NA</v>
      </c>
      <c r="AA302" s="371" t="str">
        <f t="shared" si="35"/>
        <v>NA</v>
      </c>
      <c r="AB302" s="371" t="str">
        <f t="shared" si="36"/>
        <v>NA</v>
      </c>
      <c r="AC302" s="371">
        <f t="shared" si="37"/>
        <v>0.49</v>
      </c>
      <c r="AD302" s="371">
        <f t="shared" si="38"/>
        <v>0.23</v>
      </c>
      <c r="AE302" s="371">
        <f t="shared" si="39"/>
        <v>27</v>
      </c>
    </row>
    <row r="303" spans="1:31" x14ac:dyDescent="0.2">
      <c r="A303">
        <f>coder1_YH!B303</f>
        <v>0</v>
      </c>
      <c r="B303">
        <f>coder1_YH!C303</f>
        <v>303</v>
      </c>
      <c r="C303">
        <f>coder1_YH!D303</f>
        <v>0</v>
      </c>
      <c r="D303">
        <f>coder1_YH!E303</f>
        <v>0</v>
      </c>
      <c r="E303" t="b">
        <f>coder1_YH!F303</f>
        <v>1</v>
      </c>
      <c r="G303" t="str">
        <f>IF(coder1_YH!G303="",G302, coder1_YH!G303)</f>
        <v>Cirino et al., 2017</v>
      </c>
      <c r="H303" s="405" t="str">
        <f>clean_mod!I303</f>
        <v>2017</v>
      </c>
      <c r="I303" t="str">
        <f>clean_mod!G303</f>
        <v>150</v>
      </c>
      <c r="J303">
        <f>clean_mod!H303</f>
        <v>150</v>
      </c>
      <c r="K303">
        <f>IF(coder1_YH!P303="",K302, coder1_YH!P303)</f>
        <v>1</v>
      </c>
      <c r="L303" s="324" t="str">
        <f>IF(clean_mod!AF303="",L302,clean_mod!AF303)</f>
        <v>150-.cm</v>
      </c>
      <c r="M303" s="324" t="str">
        <f>IF(clean_mod!AG303="",M302,clean_mod!AG303)</f>
        <v>150-R</v>
      </c>
      <c r="N303" s="372" t="str">
        <f t="shared" si="32"/>
        <v>150-ctl-127</v>
      </c>
      <c r="O303" s="372" t="str">
        <f t="shared" si="33"/>
        <v>150-1-127</v>
      </c>
      <c r="P303" s="369">
        <v>127</v>
      </c>
      <c r="Q303" s="369" t="str">
        <f>LEFT(coder1_YH!AK303,1)</f>
        <v>0</v>
      </c>
      <c r="R303" s="369" t="str">
        <f>LEFT(coder1_YH!AL303,1)</f>
        <v>0</v>
      </c>
      <c r="S303" s="369" t="str">
        <f>coder1_YH!AJ303</f>
        <v>Posttest Unrelated</v>
      </c>
      <c r="T303" s="370" t="str">
        <f>coder1_YH!AN303</f>
        <v>NA</v>
      </c>
      <c r="U303" s="370" t="str">
        <f>coder1_YH!AO303</f>
        <v>NA</v>
      </c>
      <c r="V303" s="370" t="str">
        <f>coder1_YH!AP303</f>
        <v>NA</v>
      </c>
      <c r="W303" s="370">
        <f>coder1_YH!AQ303</f>
        <v>0.47</v>
      </c>
      <c r="X303" s="370">
        <f>coder1_YH!AR303</f>
        <v>0.23</v>
      </c>
      <c r="Y303" s="370">
        <f>coder1_YH!AS303</f>
        <v>24</v>
      </c>
      <c r="Z303" s="371" t="str">
        <f t="shared" si="34"/>
        <v>NA</v>
      </c>
      <c r="AA303" s="371" t="str">
        <f t="shared" si="35"/>
        <v>NA</v>
      </c>
      <c r="AB303" s="371" t="str">
        <f t="shared" si="36"/>
        <v>NA</v>
      </c>
      <c r="AC303" s="371">
        <f t="shared" si="37"/>
        <v>0.49</v>
      </c>
      <c r="AD303" s="371">
        <f t="shared" si="38"/>
        <v>0.23</v>
      </c>
      <c r="AE303" s="371">
        <f t="shared" si="39"/>
        <v>27</v>
      </c>
    </row>
    <row r="304" spans="1:31" x14ac:dyDescent="0.2">
      <c r="A304">
        <f>coder1_YH!B304</f>
        <v>0</v>
      </c>
      <c r="B304">
        <f>coder1_YH!C304</f>
        <v>304</v>
      </c>
      <c r="C304" t="b">
        <f>coder1_YH!D304</f>
        <v>1</v>
      </c>
      <c r="D304" t="b">
        <f>coder1_YH!E304</f>
        <v>1</v>
      </c>
      <c r="E304" t="b">
        <f>coder1_YH!F304</f>
        <v>1</v>
      </c>
      <c r="G304" t="str">
        <f>IF(coder1_YH!G304="",G303, coder1_YH!G304)</f>
        <v>Cirino et al., 2017</v>
      </c>
      <c r="H304" s="405" t="str">
        <f>clean_mod!I304</f>
        <v>2017</v>
      </c>
      <c r="I304" t="str">
        <f>clean_mod!G304</f>
        <v>150</v>
      </c>
      <c r="J304">
        <f>clean_mod!H304</f>
        <v>150</v>
      </c>
      <c r="K304">
        <f>IF(coder1_YH!P304="",K303, coder1_YH!P304)</f>
        <v>2</v>
      </c>
      <c r="L304" s="324" t="str">
        <f>IF(clean_mod!AF304="",L303,clean_mod!AF304)</f>
        <v>150-Gcm</v>
      </c>
      <c r="M304" s="324" t="str">
        <f>IF(clean_mod!AG304="",M303,clean_mod!AG304)</f>
        <v>150-G_R</v>
      </c>
      <c r="N304" s="372" t="str">
        <f t="shared" si="32"/>
        <v>150-ctl-127</v>
      </c>
      <c r="O304" s="372" t="str">
        <f t="shared" si="33"/>
        <v>150-2-127</v>
      </c>
      <c r="P304" s="369">
        <v>127</v>
      </c>
      <c r="Q304" s="369" t="str">
        <f>LEFT(coder1_YH!AK304,1)</f>
        <v>0</v>
      </c>
      <c r="R304" s="369" t="str">
        <f>LEFT(coder1_YH!AL304,1)</f>
        <v>0</v>
      </c>
      <c r="S304" s="369" t="str">
        <f>coder1_YH!AJ304</f>
        <v>Posttest Unrelated</v>
      </c>
      <c r="T304" s="370" t="str">
        <f>coder1_YH!AN304</f>
        <v>NA</v>
      </c>
      <c r="U304" s="370" t="str">
        <f>coder1_YH!AO304</f>
        <v>NA</v>
      </c>
      <c r="V304" s="370" t="str">
        <f>coder1_YH!AP304</f>
        <v>NA</v>
      </c>
      <c r="W304" s="370">
        <f>coder1_YH!AQ304</f>
        <v>0.5</v>
      </c>
      <c r="X304" s="370">
        <f>coder1_YH!AR304</f>
        <v>0.27</v>
      </c>
      <c r="Y304" s="370">
        <f>coder1_YH!AS304</f>
        <v>24</v>
      </c>
      <c r="Z304" s="371" t="str">
        <f t="shared" si="34"/>
        <v>NA</v>
      </c>
      <c r="AA304" s="371" t="str">
        <f t="shared" si="35"/>
        <v>NA</v>
      </c>
      <c r="AB304" s="371" t="str">
        <f t="shared" si="36"/>
        <v>NA</v>
      </c>
      <c r="AC304" s="371">
        <f t="shared" si="37"/>
        <v>0.49</v>
      </c>
      <c r="AD304" s="371">
        <f t="shared" si="38"/>
        <v>0.23</v>
      </c>
      <c r="AE304" s="371">
        <f t="shared" si="39"/>
        <v>27</v>
      </c>
    </row>
    <row r="305" spans="1:31" x14ac:dyDescent="0.2">
      <c r="A305">
        <f>coder1_YH!B305</f>
        <v>0</v>
      </c>
      <c r="B305">
        <f>coder1_YH!C305</f>
        <v>305</v>
      </c>
      <c r="C305" t="b">
        <f>coder1_YH!D305</f>
        <v>1</v>
      </c>
      <c r="D305" t="b">
        <f>coder1_YH!E305</f>
        <v>1</v>
      </c>
      <c r="E305" t="b">
        <f>coder1_YH!F305</f>
        <v>1</v>
      </c>
      <c r="G305" t="str">
        <f>IF(coder1_YH!G305="",G304, coder1_YH!G305)</f>
        <v>Nelson, 2005</v>
      </c>
      <c r="H305" s="405" t="str">
        <f>clean_mod!I305</f>
        <v>2005</v>
      </c>
      <c r="I305" t="str">
        <f>clean_mod!G305</f>
        <v>151</v>
      </c>
      <c r="J305">
        <f>clean_mod!H305</f>
        <v>151</v>
      </c>
      <c r="K305">
        <f>IF(coder1_YH!P305="",K304, coder1_YH!P305)</f>
        <v>1</v>
      </c>
      <c r="L305" s="324" t="str">
        <f>IF(clean_mod!AF305="",L304,clean_mod!AF305)</f>
        <v xml:space="preserve">151-NVGm </v>
      </c>
      <c r="M305" s="324" t="str">
        <f>IF(clean_mod!AG305="",M304,clean_mod!AG305)</f>
        <v>151-NVG_R</v>
      </c>
      <c r="N305" s="372" t="str">
        <f t="shared" si="32"/>
        <v>151-ctl-128</v>
      </c>
      <c r="O305" s="372" t="str">
        <f t="shared" si="33"/>
        <v>151-1-128</v>
      </c>
      <c r="P305" s="369">
        <v>128</v>
      </c>
      <c r="Q305" s="369" t="str">
        <f>LEFT(coder1_YH!AK305,1)</f>
        <v>0</v>
      </c>
      <c r="R305" s="369" t="str">
        <f>LEFT(coder1_YH!AL305,1)</f>
        <v>0</v>
      </c>
      <c r="S305" s="369" t="str">
        <f>coder1_YH!AJ305</f>
        <v>Retell Quality</v>
      </c>
      <c r="T305" s="370">
        <f>coder1_YH!AN305</f>
        <v>1.5</v>
      </c>
      <c r="U305" s="370">
        <f>coder1_YH!AO305</f>
        <v>1.1000000000000001</v>
      </c>
      <c r="V305" s="370">
        <f>coder1_YH!AP305</f>
        <v>9</v>
      </c>
      <c r="W305" s="370">
        <f>coder1_YH!AQ305</f>
        <v>2.9</v>
      </c>
      <c r="X305" s="370">
        <f>coder1_YH!AR305</f>
        <v>1.4</v>
      </c>
      <c r="Y305" s="370">
        <f>coder1_YH!AS305</f>
        <v>9</v>
      </c>
      <c r="Z305" s="371">
        <f t="shared" si="34"/>
        <v>1.6</v>
      </c>
      <c r="AA305" s="371">
        <f t="shared" si="35"/>
        <v>1.2</v>
      </c>
      <c r="AB305" s="371">
        <f t="shared" si="36"/>
        <v>9</v>
      </c>
      <c r="AC305" s="371">
        <f t="shared" si="37"/>
        <v>4.2</v>
      </c>
      <c r="AD305" s="371">
        <f t="shared" si="38"/>
        <v>1.3</v>
      </c>
      <c r="AE305" s="371">
        <f t="shared" si="39"/>
        <v>9</v>
      </c>
    </row>
    <row r="306" spans="1:31" x14ac:dyDescent="0.2">
      <c r="A306">
        <f>coder1_YH!B306</f>
        <v>0</v>
      </c>
      <c r="B306">
        <f>coder1_YH!C306</f>
        <v>306</v>
      </c>
      <c r="C306">
        <f>coder1_YH!D306</f>
        <v>0</v>
      </c>
      <c r="D306" t="str">
        <f>coder1_YH!E306</f>
        <v/>
      </c>
      <c r="E306" t="str">
        <f>coder1_YH!F306</f>
        <v/>
      </c>
      <c r="G306" t="str">
        <f>IF(coder1_YH!G306="",G305, coder1_YH!G306)</f>
        <v>Nelson, 2005</v>
      </c>
      <c r="H306" s="405" t="str">
        <f>clean_mod!I306</f>
        <v>2005</v>
      </c>
      <c r="I306" t="str">
        <f>clean_mod!G306</f>
        <v>151</v>
      </c>
      <c r="J306">
        <f>clean_mod!H306</f>
        <v>151</v>
      </c>
      <c r="K306">
        <f>IF(coder1_YH!P306="",K305, coder1_YH!P306)</f>
        <v>1</v>
      </c>
      <c r="L306" s="324" t="str">
        <f>IF(clean_mod!AF306="",L305,clean_mod!AF306)</f>
        <v xml:space="preserve">151-NVGm </v>
      </c>
      <c r="M306" s="324" t="str">
        <f>IF(clean_mod!AG306="",M305,clean_mod!AG306)</f>
        <v>151-NVG_R</v>
      </c>
      <c r="N306" s="372" t="str">
        <f t="shared" si="32"/>
        <v>151-ctl-129</v>
      </c>
      <c r="O306" s="372" t="str">
        <f t="shared" si="33"/>
        <v>151-1-129</v>
      </c>
      <c r="P306" s="369">
        <v>129</v>
      </c>
      <c r="Q306" s="369" t="str">
        <f>LEFT(coder1_YH!AK306,1)</f>
        <v>0</v>
      </c>
      <c r="R306" s="369" t="str">
        <f>LEFT(coder1_YH!AL306,1)</f>
        <v>0</v>
      </c>
      <c r="S306" s="369" t="str">
        <f>coder1_YH!AJ306</f>
        <v>Retell Main Idea</v>
      </c>
      <c r="T306" s="370">
        <f>coder1_YH!AN306</f>
        <v>0.5</v>
      </c>
      <c r="U306" s="370">
        <f>coder1_YH!AO306</f>
        <v>0.4</v>
      </c>
      <c r="V306" s="370">
        <f>coder1_YH!AP306</f>
        <v>9</v>
      </c>
      <c r="W306" s="370">
        <f>coder1_YH!AQ306</f>
        <v>0.9</v>
      </c>
      <c r="X306" s="370">
        <f>coder1_YH!AR306</f>
        <v>0.5</v>
      </c>
      <c r="Y306" s="370">
        <f>coder1_YH!AS306</f>
        <v>9</v>
      </c>
      <c r="Z306" s="371">
        <f t="shared" si="34"/>
        <v>0.6</v>
      </c>
      <c r="AA306" s="371">
        <f t="shared" si="35"/>
        <v>0.6</v>
      </c>
      <c r="AB306" s="371">
        <f t="shared" si="36"/>
        <v>9</v>
      </c>
      <c r="AC306" s="371">
        <f t="shared" si="37"/>
        <v>1.4</v>
      </c>
      <c r="AD306" s="371">
        <f t="shared" si="38"/>
        <v>0.4</v>
      </c>
      <c r="AE306" s="371">
        <f t="shared" si="39"/>
        <v>9</v>
      </c>
    </row>
    <row r="307" spans="1:31" x14ac:dyDescent="0.2">
      <c r="A307">
        <f>coder1_YH!B307</f>
        <v>0</v>
      </c>
      <c r="B307">
        <f>coder1_YH!C307</f>
        <v>307</v>
      </c>
      <c r="C307">
        <f>coder1_YH!D307</f>
        <v>0</v>
      </c>
      <c r="D307" t="str">
        <f>coder1_YH!E307</f>
        <v/>
      </c>
      <c r="E307" t="str">
        <f>coder1_YH!F307</f>
        <v/>
      </c>
      <c r="G307" t="str">
        <f>IF(coder1_YH!G307="",G306, coder1_YH!G307)</f>
        <v>Nelson, 2005</v>
      </c>
      <c r="H307" s="405" t="str">
        <f>clean_mod!I307</f>
        <v>2005</v>
      </c>
      <c r="I307" t="str">
        <f>clean_mod!G307</f>
        <v>151</v>
      </c>
      <c r="J307">
        <f>clean_mod!H307</f>
        <v>151</v>
      </c>
      <c r="K307">
        <f>IF(coder1_YH!P307="",K306, coder1_YH!P307)</f>
        <v>1</v>
      </c>
      <c r="L307" s="324" t="str">
        <f>IF(clean_mod!AF307="",L306,clean_mod!AF307)</f>
        <v xml:space="preserve">151-NVGm </v>
      </c>
      <c r="M307" s="324" t="str">
        <f>IF(clean_mod!AG307="",M306,clean_mod!AG307)</f>
        <v>151-NVG_R</v>
      </c>
      <c r="N307" s="372" t="str">
        <f t="shared" si="32"/>
        <v>151-ctl-130</v>
      </c>
      <c r="O307" s="372" t="str">
        <f t="shared" si="33"/>
        <v>151-1-130</v>
      </c>
      <c r="P307" s="369">
        <v>130</v>
      </c>
      <c r="Q307" s="369" t="str">
        <f>LEFT(coder1_YH!AK307,1)</f>
        <v>0</v>
      </c>
      <c r="R307" s="369" t="str">
        <f>LEFT(coder1_YH!AL307,1)</f>
        <v>0</v>
      </c>
      <c r="S307" s="369" t="str">
        <f>coder1_YH!AJ307</f>
        <v>Multiple Choice</v>
      </c>
      <c r="T307" s="370">
        <f>coder1_YH!AN307</f>
        <v>5.2</v>
      </c>
      <c r="U307" s="370">
        <f>coder1_YH!AO307</f>
        <v>1.8</v>
      </c>
      <c r="V307" s="370">
        <f>coder1_YH!AP307</f>
        <v>9</v>
      </c>
      <c r="W307" s="370">
        <f>coder1_YH!AQ307</f>
        <v>6.2</v>
      </c>
      <c r="X307" s="370">
        <f>coder1_YH!AR307</f>
        <v>2.2000000000000002</v>
      </c>
      <c r="Y307" s="370">
        <f>coder1_YH!AS307</f>
        <v>9</v>
      </c>
      <c r="Z307" s="371">
        <f t="shared" si="34"/>
        <v>5.8</v>
      </c>
      <c r="AA307" s="371">
        <f t="shared" si="35"/>
        <v>1.9</v>
      </c>
      <c r="AB307" s="371">
        <f t="shared" si="36"/>
        <v>9</v>
      </c>
      <c r="AC307" s="371">
        <f t="shared" si="37"/>
        <v>7.4</v>
      </c>
      <c r="AD307" s="371">
        <f t="shared" si="38"/>
        <v>2.7</v>
      </c>
      <c r="AE307" s="371">
        <f t="shared" si="39"/>
        <v>9</v>
      </c>
    </row>
    <row r="308" spans="1:31" x14ac:dyDescent="0.2">
      <c r="A308">
        <f>coder1_YH!B308</f>
        <v>0</v>
      </c>
      <c r="B308">
        <f>coder1_YH!C308</f>
        <v>308</v>
      </c>
      <c r="C308">
        <f>coder1_YH!D308</f>
        <v>0</v>
      </c>
      <c r="D308" t="str">
        <f>coder1_YH!E308</f>
        <v/>
      </c>
      <c r="E308" t="str">
        <f>coder1_YH!F308</f>
        <v/>
      </c>
      <c r="G308" t="str">
        <f>IF(coder1_YH!G308="",G307, coder1_YH!G308)</f>
        <v>Nelson, 2005</v>
      </c>
      <c r="H308" s="405" t="str">
        <f>clean_mod!I308</f>
        <v>2005</v>
      </c>
      <c r="I308" t="str">
        <f>clean_mod!G308</f>
        <v>151</v>
      </c>
      <c r="J308">
        <f>clean_mod!H308</f>
        <v>151</v>
      </c>
      <c r="K308">
        <f>IF(coder1_YH!P308="",K307, coder1_YH!P308)</f>
        <v>1</v>
      </c>
      <c r="L308" s="324" t="str">
        <f>IF(clean_mod!AF308="",L307,clean_mod!AF308)</f>
        <v xml:space="preserve">151-NVGm </v>
      </c>
      <c r="M308" s="324" t="str">
        <f>IF(clean_mod!AG308="",M307,clean_mod!AG308)</f>
        <v>151-NVG_R</v>
      </c>
      <c r="N308" s="372" t="str">
        <f t="shared" si="32"/>
        <v>151-ctl-131</v>
      </c>
      <c r="O308" s="372" t="str">
        <f t="shared" si="33"/>
        <v>151-1-131</v>
      </c>
      <c r="P308" s="369">
        <v>131</v>
      </c>
      <c r="Q308" s="369" t="str">
        <f>LEFT(coder1_YH!AK308,1)</f>
        <v>1</v>
      </c>
      <c r="R308" s="369" t="str">
        <f>LEFT(coder1_YH!AL308,1)</f>
        <v>S</v>
      </c>
      <c r="S308" s="369" t="str">
        <f>coder1_YH!AJ308</f>
        <v>WJ Passage Comprehension</v>
      </c>
      <c r="T308" s="370">
        <f>coder1_YH!AN308</f>
        <v>79.2</v>
      </c>
      <c r="U308" s="370">
        <f>coder1_YH!AO308</f>
        <v>7.5</v>
      </c>
      <c r="V308" s="370">
        <f>coder1_YH!AP308</f>
        <v>9</v>
      </c>
      <c r="W308" s="370">
        <f>coder1_YH!AQ308</f>
        <v>78.7</v>
      </c>
      <c r="X308" s="370">
        <f>coder1_YH!AR308</f>
        <v>8.6999999999999993</v>
      </c>
      <c r="Y308" s="370">
        <f>coder1_YH!AS308</f>
        <v>9</v>
      </c>
      <c r="Z308" s="371">
        <f t="shared" si="34"/>
        <v>70.3</v>
      </c>
      <c r="AA308" s="371">
        <f t="shared" si="35"/>
        <v>17.399999999999999</v>
      </c>
      <c r="AB308" s="371">
        <f t="shared" si="36"/>
        <v>9</v>
      </c>
      <c r="AC308" s="371">
        <f t="shared" si="37"/>
        <v>75.599999999999994</v>
      </c>
      <c r="AD308" s="371">
        <f t="shared" si="38"/>
        <v>14.5</v>
      </c>
      <c r="AE308" s="371">
        <f t="shared" si="39"/>
        <v>9</v>
      </c>
    </row>
    <row r="309" spans="1:31" x14ac:dyDescent="0.2">
      <c r="A309">
        <f>coder1_YH!B309</f>
        <v>0</v>
      </c>
      <c r="B309">
        <f>coder1_YH!C309</f>
        <v>309</v>
      </c>
      <c r="C309">
        <f>coder1_YH!D309</f>
        <v>0</v>
      </c>
      <c r="D309" t="str">
        <f>coder1_YH!E309</f>
        <v/>
      </c>
      <c r="E309" t="b">
        <f>coder1_YH!F309</f>
        <v>1</v>
      </c>
      <c r="G309" t="str">
        <f>IF(coder1_YH!G309="",G308, coder1_YH!G309)</f>
        <v>Nelson, 2005</v>
      </c>
      <c r="H309" s="405" t="str">
        <f>clean_mod!I309</f>
        <v>2005</v>
      </c>
      <c r="I309" t="str">
        <f>clean_mod!G309</f>
        <v>151</v>
      </c>
      <c r="J309">
        <f>clean_mod!H309</f>
        <v>151</v>
      </c>
      <c r="K309" t="str">
        <f>IF(coder1_YH!P309="",K308, coder1_YH!P309)</f>
        <v>ctl</v>
      </c>
      <c r="L309" s="324" t="str">
        <f>IF(clean_mod!AF309="",L308,clean_mod!AF309)</f>
        <v xml:space="preserve">151-Nm </v>
      </c>
      <c r="M309" s="324" t="str">
        <f>IF(clean_mod!AG309="",M308,clean_mod!AG309)</f>
        <v>151-N_R</v>
      </c>
      <c r="N309" s="372" t="str">
        <f t="shared" si="32"/>
        <v>151-ctl-128</v>
      </c>
      <c r="O309" s="372" t="str">
        <f t="shared" si="33"/>
        <v>151-ctl-128</v>
      </c>
      <c r="P309" s="369">
        <v>128</v>
      </c>
      <c r="Q309" s="369" t="str">
        <f>LEFT(coder1_YH!AK309,1)</f>
        <v>0</v>
      </c>
      <c r="R309" s="369" t="str">
        <f>LEFT(coder1_YH!AL309,1)</f>
        <v>0</v>
      </c>
      <c r="S309" s="369" t="str">
        <f>coder1_YH!AJ309</f>
        <v>Retell Quality</v>
      </c>
      <c r="T309" s="370">
        <f>coder1_YH!AN309</f>
        <v>1.6</v>
      </c>
      <c r="U309" s="370">
        <f>coder1_YH!AO309</f>
        <v>1.2</v>
      </c>
      <c r="V309" s="370">
        <f>coder1_YH!AP309</f>
        <v>9</v>
      </c>
      <c r="W309" s="370">
        <f>coder1_YH!AQ309</f>
        <v>4.2</v>
      </c>
      <c r="X309" s="370">
        <f>coder1_YH!AR309</f>
        <v>1.3</v>
      </c>
      <c r="Y309" s="370">
        <f>coder1_YH!AS309</f>
        <v>9</v>
      </c>
      <c r="Z309" s="371">
        <f t="shared" si="34"/>
        <v>1.6</v>
      </c>
      <c r="AA309" s="371">
        <f t="shared" si="35"/>
        <v>1.2</v>
      </c>
      <c r="AB309" s="371">
        <f t="shared" si="36"/>
        <v>9</v>
      </c>
      <c r="AC309" s="371">
        <f t="shared" si="37"/>
        <v>4.2</v>
      </c>
      <c r="AD309" s="371">
        <f t="shared" si="38"/>
        <v>1.3</v>
      </c>
      <c r="AE309" s="371">
        <f t="shared" si="39"/>
        <v>9</v>
      </c>
    </row>
    <row r="310" spans="1:31" x14ac:dyDescent="0.2">
      <c r="A310">
        <f>coder1_YH!B310</f>
        <v>0</v>
      </c>
      <c r="B310">
        <f>coder1_YH!C310</f>
        <v>310</v>
      </c>
      <c r="C310">
        <f>coder1_YH!D310</f>
        <v>0</v>
      </c>
      <c r="D310" t="str">
        <f>coder1_YH!E310</f>
        <v/>
      </c>
      <c r="E310" t="str">
        <f>coder1_YH!F310</f>
        <v/>
      </c>
      <c r="G310" t="str">
        <f>IF(coder1_YH!G310="",G309, coder1_YH!G310)</f>
        <v>Nelson, 2005</v>
      </c>
      <c r="H310" s="405" t="str">
        <f>clean_mod!I310</f>
        <v>2005</v>
      </c>
      <c r="I310" t="str">
        <f>clean_mod!G310</f>
        <v>151</v>
      </c>
      <c r="J310">
        <f>clean_mod!H310</f>
        <v>151</v>
      </c>
      <c r="K310" t="str">
        <f>IF(coder1_YH!P310="",K309, coder1_YH!P310)</f>
        <v>ctl</v>
      </c>
      <c r="L310" s="324" t="str">
        <f>IF(clean_mod!AF310="",L309,clean_mod!AF310)</f>
        <v xml:space="preserve">151-Nm </v>
      </c>
      <c r="M310" s="324" t="str">
        <f>IF(clean_mod!AG310="",M309,clean_mod!AG310)</f>
        <v>151-N_R</v>
      </c>
      <c r="N310" s="372" t="str">
        <f t="shared" si="32"/>
        <v>151-ctl-129</v>
      </c>
      <c r="O310" s="372" t="str">
        <f t="shared" si="33"/>
        <v>151-ctl-129</v>
      </c>
      <c r="P310" s="369">
        <v>129</v>
      </c>
      <c r="Q310" s="369" t="str">
        <f>LEFT(coder1_YH!AK310,1)</f>
        <v>0</v>
      </c>
      <c r="R310" s="369" t="str">
        <f>LEFT(coder1_YH!AL310,1)</f>
        <v>0</v>
      </c>
      <c r="S310" s="369" t="str">
        <f>coder1_YH!AJ310</f>
        <v>Retell Main Idea</v>
      </c>
      <c r="T310" s="370">
        <f>coder1_YH!AN310</f>
        <v>0.6</v>
      </c>
      <c r="U310" s="370">
        <f>coder1_YH!AO310</f>
        <v>0.6</v>
      </c>
      <c r="V310" s="370">
        <f>coder1_YH!AP310</f>
        <v>9</v>
      </c>
      <c r="W310" s="370">
        <f>coder1_YH!AQ310</f>
        <v>1.4</v>
      </c>
      <c r="X310" s="370">
        <f>coder1_YH!AR310</f>
        <v>0.4</v>
      </c>
      <c r="Y310" s="370">
        <f>coder1_YH!AS310</f>
        <v>9</v>
      </c>
      <c r="Z310" s="371">
        <f t="shared" si="34"/>
        <v>0.6</v>
      </c>
      <c r="AA310" s="371">
        <f t="shared" si="35"/>
        <v>0.6</v>
      </c>
      <c r="AB310" s="371">
        <f t="shared" si="36"/>
        <v>9</v>
      </c>
      <c r="AC310" s="371">
        <f t="shared" si="37"/>
        <v>1.4</v>
      </c>
      <c r="AD310" s="371">
        <f t="shared" si="38"/>
        <v>0.4</v>
      </c>
      <c r="AE310" s="371">
        <f t="shared" si="39"/>
        <v>9</v>
      </c>
    </row>
    <row r="311" spans="1:31" x14ac:dyDescent="0.2">
      <c r="A311">
        <f>coder1_YH!B311</f>
        <v>0</v>
      </c>
      <c r="B311">
        <f>coder1_YH!C311</f>
        <v>311</v>
      </c>
      <c r="C311">
        <f>coder1_YH!D311</f>
        <v>0</v>
      </c>
      <c r="D311" t="str">
        <f>coder1_YH!E311</f>
        <v/>
      </c>
      <c r="E311" t="str">
        <f>coder1_YH!F311</f>
        <v/>
      </c>
      <c r="G311" t="str">
        <f>IF(coder1_YH!G311="",G310, coder1_YH!G311)</f>
        <v>Nelson, 2005</v>
      </c>
      <c r="H311" s="405" t="str">
        <f>clean_mod!I311</f>
        <v>2005</v>
      </c>
      <c r="I311" t="str">
        <f>clean_mod!G311</f>
        <v>151</v>
      </c>
      <c r="J311">
        <f>clean_mod!H311</f>
        <v>151</v>
      </c>
      <c r="K311" t="str">
        <f>IF(coder1_YH!P311="",K310, coder1_YH!P311)</f>
        <v>ctl</v>
      </c>
      <c r="L311" s="324" t="str">
        <f>IF(clean_mod!AF311="",L310,clean_mod!AF311)</f>
        <v xml:space="preserve">151-Nm </v>
      </c>
      <c r="M311" s="324" t="str">
        <f>IF(clean_mod!AG311="",M310,clean_mod!AG311)</f>
        <v>151-N_R</v>
      </c>
      <c r="N311" s="372" t="str">
        <f t="shared" si="32"/>
        <v>151-ctl-130</v>
      </c>
      <c r="O311" s="372" t="str">
        <f t="shared" si="33"/>
        <v>151-ctl-130</v>
      </c>
      <c r="P311" s="369">
        <v>130</v>
      </c>
      <c r="Q311" s="369" t="str">
        <f>LEFT(coder1_YH!AK311,1)</f>
        <v>0</v>
      </c>
      <c r="R311" s="369" t="str">
        <f>LEFT(coder1_YH!AL311,1)</f>
        <v>0</v>
      </c>
      <c r="S311" s="369" t="str">
        <f>coder1_YH!AJ311</f>
        <v>Multiple Choice</v>
      </c>
      <c r="T311" s="370">
        <f>coder1_YH!AN311</f>
        <v>5.8</v>
      </c>
      <c r="U311" s="370">
        <f>coder1_YH!AO311</f>
        <v>1.9</v>
      </c>
      <c r="V311" s="370">
        <f>coder1_YH!AP311</f>
        <v>9</v>
      </c>
      <c r="W311" s="370">
        <f>coder1_YH!AQ311</f>
        <v>7.4</v>
      </c>
      <c r="X311" s="370">
        <f>coder1_YH!AR311</f>
        <v>2.7</v>
      </c>
      <c r="Y311" s="370">
        <f>coder1_YH!AS311</f>
        <v>9</v>
      </c>
      <c r="Z311" s="371">
        <f t="shared" si="34"/>
        <v>5.8</v>
      </c>
      <c r="AA311" s="371">
        <f t="shared" si="35"/>
        <v>1.9</v>
      </c>
      <c r="AB311" s="371">
        <f t="shared" si="36"/>
        <v>9</v>
      </c>
      <c r="AC311" s="371">
        <f t="shared" si="37"/>
        <v>7.4</v>
      </c>
      <c r="AD311" s="371">
        <f t="shared" si="38"/>
        <v>2.7</v>
      </c>
      <c r="AE311" s="371">
        <f t="shared" si="39"/>
        <v>9</v>
      </c>
    </row>
    <row r="312" spans="1:31" s="265" customFormat="1" x14ac:dyDescent="0.2">
      <c r="A312">
        <f>coder1_YH!B312</f>
        <v>0</v>
      </c>
      <c r="B312">
        <f>coder1_YH!C312</f>
        <v>312</v>
      </c>
      <c r="C312">
        <f>coder1_YH!D312</f>
        <v>0</v>
      </c>
      <c r="D312" t="str">
        <f>coder1_YH!E312</f>
        <v/>
      </c>
      <c r="E312" t="str">
        <f>coder1_YH!F312</f>
        <v/>
      </c>
      <c r="F312"/>
      <c r="G312" t="str">
        <f>IF(coder1_YH!G312="",G311, coder1_YH!G312)</f>
        <v>Nelson, 2005</v>
      </c>
      <c r="H312" s="405" t="str">
        <f>clean_mod!I312</f>
        <v>2005</v>
      </c>
      <c r="I312" t="str">
        <f>clean_mod!G312</f>
        <v>151</v>
      </c>
      <c r="J312">
        <f>clean_mod!H312</f>
        <v>151</v>
      </c>
      <c r="K312" t="str">
        <f>IF(coder1_YH!P312="",K311, coder1_YH!P312)</f>
        <v>ctl</v>
      </c>
      <c r="L312" s="324" t="str">
        <f>IF(clean_mod!AF312="",L311,clean_mod!AF312)</f>
        <v xml:space="preserve">151-Nm </v>
      </c>
      <c r="M312" s="324" t="str">
        <f>IF(clean_mod!AG312="",M311,clean_mod!AG312)</f>
        <v>151-N_R</v>
      </c>
      <c r="N312" s="372" t="str">
        <f t="shared" si="32"/>
        <v>151-ctl-131</v>
      </c>
      <c r="O312" s="372" t="str">
        <f t="shared" si="33"/>
        <v>151-ctl-131</v>
      </c>
      <c r="P312" s="369">
        <v>131</v>
      </c>
      <c r="Q312" s="369" t="str">
        <f>LEFT(coder1_YH!AK312,1)</f>
        <v>1</v>
      </c>
      <c r="R312" s="369" t="str">
        <f>LEFT(coder1_YH!AL312,1)</f>
        <v>S</v>
      </c>
      <c r="S312" s="369" t="str">
        <f>coder1_YH!AJ312</f>
        <v>WJ Passage Comprehension</v>
      </c>
      <c r="T312" s="370">
        <f>coder1_YH!AN312</f>
        <v>70.3</v>
      </c>
      <c r="U312" s="370">
        <f>coder1_YH!AO312</f>
        <v>17.399999999999999</v>
      </c>
      <c r="V312" s="370">
        <f>coder1_YH!AP312</f>
        <v>9</v>
      </c>
      <c r="W312" s="370">
        <f>coder1_YH!AQ312</f>
        <v>75.599999999999994</v>
      </c>
      <c r="X312" s="370">
        <f>coder1_YH!AR312</f>
        <v>14.5</v>
      </c>
      <c r="Y312" s="370">
        <f>coder1_YH!AS312</f>
        <v>9</v>
      </c>
      <c r="Z312" s="371">
        <f t="shared" si="34"/>
        <v>70.3</v>
      </c>
      <c r="AA312" s="371">
        <f t="shared" si="35"/>
        <v>17.399999999999999</v>
      </c>
      <c r="AB312" s="371">
        <f t="shared" si="36"/>
        <v>9</v>
      </c>
      <c r="AC312" s="371">
        <f t="shared" si="37"/>
        <v>75.599999999999994</v>
      </c>
      <c r="AD312" s="371">
        <f t="shared" si="38"/>
        <v>14.5</v>
      </c>
      <c r="AE312" s="371">
        <f t="shared" si="39"/>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68B6-B941-F641-9D41-E7329B0C9000}">
  <dimension ref="A1:BA312"/>
  <sheetViews>
    <sheetView zoomScale="106" zoomScaleNormal="106" workbookViewId="0">
      <selection activeCell="I17" sqref="I17"/>
    </sheetView>
  </sheetViews>
  <sheetFormatPr baseColWidth="10" defaultRowHeight="15" x14ac:dyDescent="0.2"/>
  <cols>
    <col min="1" max="2" width="6.83203125" customWidth="1"/>
    <col min="3" max="3" width="12.6640625" customWidth="1"/>
    <col min="4" max="4" width="13.83203125" customWidth="1"/>
    <col min="5" max="5" width="14" customWidth="1"/>
    <col min="6" max="6" width="22.5" style="321" customWidth="1"/>
    <col min="7" max="7" width="8" style="321" customWidth="1"/>
    <col min="8" max="8" width="7.83203125" style="321" customWidth="1"/>
    <col min="9" max="9" width="7.6640625" style="404" customWidth="1"/>
    <col min="10" max="10" width="10.83203125" style="344"/>
    <col min="11" max="11" width="10.83203125" style="345"/>
    <col min="12" max="12" width="10.83203125" style="344"/>
    <col min="13" max="14" width="10.83203125" style="345"/>
    <col min="16" max="16" width="10.83203125" style="345"/>
    <col min="17" max="17" width="13.5" style="321" customWidth="1"/>
    <col min="18" max="18" width="10.83203125" style="321" customWidth="1"/>
    <col min="19" max="19" width="10" style="323" customWidth="1"/>
    <col min="20" max="20" width="9.33203125" style="323" customWidth="1"/>
    <col min="21" max="21" width="10" style="323" customWidth="1"/>
    <col min="22" max="23" width="10.83203125" style="323" customWidth="1"/>
    <col min="24" max="28" width="10.83203125" style="385" customWidth="1"/>
    <col min="29" max="31" width="10.83203125" style="323" customWidth="1"/>
    <col min="32" max="33" width="10.83203125" style="369" customWidth="1"/>
    <col min="34" max="35" width="10.83203125" style="344"/>
    <col min="36" max="40" width="10.83203125" style="345"/>
    <col min="41" max="41" width="10.1640625" style="345" customWidth="1"/>
    <col min="42" max="43" width="10.83203125" style="345"/>
    <col min="45" max="52" width="10.83203125" style="345"/>
    <col min="53" max="53" width="10.83203125" style="383"/>
  </cols>
  <sheetData>
    <row r="1" spans="1:53" x14ac:dyDescent="0.2">
      <c r="A1" t="str">
        <f>coder1_YH!B1</f>
        <v>EX_Identifier</v>
      </c>
      <c r="B1" t="str">
        <f>coder1_YH!C1</f>
        <v>esid</v>
      </c>
      <c r="C1" t="str">
        <f>coder1_YH!D1</f>
        <v>Unique_Study</v>
      </c>
      <c r="D1" t="str">
        <f>coder1_YH!E1</f>
        <v>Unique_Sample</v>
      </c>
      <c r="E1" t="str">
        <f>coder1_YH!F1</f>
        <v>Unique_TRUEcondition</v>
      </c>
      <c r="F1" s="321" t="str">
        <f>coder1_YH!G1</f>
        <v>Author Name</v>
      </c>
      <c r="G1" s="321" t="s">
        <v>923</v>
      </c>
      <c r="H1" s="321" t="s">
        <v>1012</v>
      </c>
      <c r="I1" s="404" t="s">
        <v>998</v>
      </c>
      <c r="J1" s="344" t="s">
        <v>957</v>
      </c>
      <c r="K1" s="345" t="s">
        <v>960</v>
      </c>
      <c r="L1" s="344" t="s">
        <v>961</v>
      </c>
      <c r="M1" s="345" t="s">
        <v>962</v>
      </c>
      <c r="N1" s="345" t="s">
        <v>963</v>
      </c>
      <c r="O1" s="345" t="s">
        <v>964</v>
      </c>
      <c r="P1" s="345" t="s">
        <v>965</v>
      </c>
      <c r="Q1" s="321" t="str">
        <f>coder1_YH!P1</f>
        <v>ConditionType</v>
      </c>
      <c r="R1" s="321" t="str">
        <f>coder1_YH!Q1</f>
        <v>Name of Condition</v>
      </c>
      <c r="S1" s="323" t="s">
        <v>1004</v>
      </c>
      <c r="T1" s="323" t="s">
        <v>1005</v>
      </c>
      <c r="U1" s="323" t="s">
        <v>1006</v>
      </c>
      <c r="V1" s="323" t="s">
        <v>1007</v>
      </c>
      <c r="W1" s="323" t="s">
        <v>1010</v>
      </c>
      <c r="X1" s="322" t="s">
        <v>930</v>
      </c>
      <c r="Y1" s="322" t="s">
        <v>931</v>
      </c>
      <c r="Z1" s="322" t="s">
        <v>993</v>
      </c>
      <c r="AA1" s="322" t="s">
        <v>936</v>
      </c>
      <c r="AB1" s="322" t="s">
        <v>994</v>
      </c>
      <c r="AC1" s="323" t="s">
        <v>990</v>
      </c>
      <c r="AD1" s="323" t="s">
        <v>991</v>
      </c>
      <c r="AE1" s="323" t="s">
        <v>1019</v>
      </c>
      <c r="AF1" s="369" t="s">
        <v>989</v>
      </c>
      <c r="AG1" s="369" t="s">
        <v>988</v>
      </c>
      <c r="AH1" s="344" t="s">
        <v>958</v>
      </c>
      <c r="AI1" s="344" t="s">
        <v>966</v>
      </c>
      <c r="AJ1" s="345" t="s">
        <v>967</v>
      </c>
      <c r="AK1" s="345" t="s">
        <v>968</v>
      </c>
      <c r="AL1" s="345" t="s">
        <v>969</v>
      </c>
      <c r="AM1" s="345" t="s">
        <v>970</v>
      </c>
      <c r="AN1" s="345" t="s">
        <v>971</v>
      </c>
      <c r="AO1" s="345" t="s">
        <v>972</v>
      </c>
      <c r="AP1" s="345" t="s">
        <v>973</v>
      </c>
      <c r="AQ1" s="345" t="s">
        <v>974</v>
      </c>
      <c r="AR1" s="368" t="s">
        <v>982</v>
      </c>
      <c r="AS1" s="345" t="s">
        <v>980</v>
      </c>
      <c r="AT1" s="345" t="s">
        <v>975</v>
      </c>
      <c r="AU1" s="345" t="s">
        <v>981</v>
      </c>
      <c r="AV1" s="345" t="s">
        <v>976</v>
      </c>
      <c r="AW1" s="345" t="s">
        <v>1009</v>
      </c>
      <c r="AX1" s="345" t="s">
        <v>977</v>
      </c>
      <c r="AY1" s="345" t="s">
        <v>978</v>
      </c>
      <c r="AZ1" s="345" t="s">
        <v>979</v>
      </c>
      <c r="BA1" s="383" t="s">
        <v>999</v>
      </c>
    </row>
    <row r="2" spans="1:53" x14ac:dyDescent="0.2">
      <c r="A2">
        <f>coder1_YH!B2</f>
        <v>0</v>
      </c>
      <c r="B2">
        <f>coder1_YH!C2</f>
        <v>2</v>
      </c>
      <c r="C2" t="b">
        <f>coder1_YH!D2</f>
        <v>1</v>
      </c>
      <c r="D2" t="b">
        <f>coder1_YH!E2</f>
        <v>1</v>
      </c>
      <c r="E2" t="b">
        <f>coder1_YH!F2</f>
        <v>1</v>
      </c>
      <c r="F2" s="321" t="str">
        <f>IF(coder1_YH!G2="", clean_mod!F1, coder1_YH!G2)</f>
        <v>Orkin et al., 2017</v>
      </c>
      <c r="G2" s="321" t="str">
        <f>LEFT(H2,3)</f>
        <v>101</v>
      </c>
      <c r="H2" s="321">
        <f>IF(coder1_YH!H2="", clean_mod!H1, coder1_YH!H2)</f>
        <v>101</v>
      </c>
      <c r="I2" s="404" t="str">
        <f>RIGHT(F2,4)</f>
        <v>2017</v>
      </c>
      <c r="J2" s="344" t="str">
        <f>IF(coder1_YH!I2="",J1,coder1_YH!I2)</f>
        <v>USA</v>
      </c>
      <c r="K2" s="345">
        <f>IF(J2="USA",0,1)</f>
        <v>0</v>
      </c>
      <c r="L2" s="344" t="str">
        <f>IF(coder1_YH!J2 = "",L1, coder1_YH!J2)</f>
        <v>English</v>
      </c>
      <c r="M2" s="345">
        <f>IF(L2="English",0,1)</f>
        <v>0</v>
      </c>
      <c r="N2" s="345" t="str">
        <f>IF(coder1_YH!K2 = "", N1, LEFT(coder1_YH!K2,1))</f>
        <v>1</v>
      </c>
      <c r="O2" s="345" t="str">
        <f>IF(coder1_YH!L2 = "", O1, LEFT(coder1_YH!L2,1))</f>
        <v>0</v>
      </c>
      <c r="P2" s="345" t="str">
        <f>IF(coder1_YH!M2 = "", P1, LEFT(coder1_YH!M2,1))</f>
        <v>0</v>
      </c>
      <c r="Q2" s="321">
        <f>coder1_YH!P2</f>
        <v>1</v>
      </c>
      <c r="R2" s="321" t="str">
        <f>coder1_YH!Q2</f>
        <v>Intervention group</v>
      </c>
      <c r="S2" s="323" t="str">
        <f>IF(ISNUMBER(SEARCH("N", $X2)), "N", "")</f>
        <v>N</v>
      </c>
      <c r="T2" s="323" t="str">
        <f>IF(ISNUMBER(SEARCH("V", $X2)), "V", "")</f>
        <v/>
      </c>
      <c r="U2" s="323" t="str">
        <f>IF(ISNUMBER(SEARCH("G", $X2)), "G", "")</f>
        <v/>
      </c>
      <c r="V2" s="323" t="str">
        <f>IF(ISNUMBER(SEARCH("T", $X2)), "T", "")</f>
        <v/>
      </c>
      <c r="W2" s="323">
        <f>4 - COUNTIF(S2:V2, "")</f>
        <v>1</v>
      </c>
      <c r="X2" s="385" t="str">
        <f>IF(coder1_YH!N2 = "",X1,coder1_YH!N2)</f>
        <v>N</v>
      </c>
      <c r="Y2" s="385" t="str">
        <f>IF(coder1_YH!O2 = "",Y1,coder1_YH!O2)</f>
        <v>cm</v>
      </c>
      <c r="Z2" s="385" t="str">
        <f>IF(X2=".","","M")</f>
        <v>M</v>
      </c>
      <c r="AA2" s="385" t="str">
        <f>IF(Y2=".","BAU","R")</f>
        <v>R</v>
      </c>
      <c r="AB2" s="385" t="str">
        <f>Z2&amp;AA2</f>
        <v>MR</v>
      </c>
      <c r="AC2" s="323" t="str">
        <f>X2&amp;Y2</f>
        <v>Ncm</v>
      </c>
      <c r="AD2" s="323" t="str">
        <f>IF(X2=".",AA2,X2&amp;"_"&amp;AA2)</f>
        <v>N_R</v>
      </c>
      <c r="AE2" s="323">
        <f>IF(Y2="cm", 1,0)</f>
        <v>1</v>
      </c>
      <c r="AF2" s="369" t="str">
        <f>$H2&amp;"-"&amp;AC2</f>
        <v>101-Ncm</v>
      </c>
      <c r="AG2" s="369" t="str">
        <f>$H2&amp;"-"&amp;AD2</f>
        <v>101-N_R</v>
      </c>
      <c r="AH2" s="344">
        <f>IF(coder1_YH!R2="",AH1,coder1_YH!R2)</f>
        <v>2.71</v>
      </c>
      <c r="AI2" s="344">
        <f t="shared" ref="AI2:AI65" si="0">IF(AH2="4, 5",4.5,IF(AH2="7, 8, 9",8,IF(AH2="3, 4",3.5,IF(AH2="7, 8",7.5,IF(AH2="5, 6",5.5,IF(AH2="4,5,6,7,8",6,AH2))))))</f>
        <v>2.71</v>
      </c>
      <c r="AJ2" s="345">
        <f>IF(AI2&lt;6,0,1)</f>
        <v>0</v>
      </c>
      <c r="AK2" s="408">
        <f>IF(coder1_YH!S2="",AK1,coder1_YH!S2)</f>
        <v>8.42</v>
      </c>
      <c r="AL2" s="345">
        <f>IF(coder1_YH!T2="",AL1,IF(coder1_YH!T2="mixed",0.25,coder1_YH!T2))</f>
        <v>1</v>
      </c>
      <c r="AM2" s="345">
        <f>IF(coder1_YH!U2 = "", AM1, IF(coder1_YH!U2="mixed","NA",coder1_YH!U2))</f>
        <v>0.91666666666666663</v>
      </c>
      <c r="AN2" s="345" t="str">
        <f>IF(coder1_YH!V2="",AN1,coder1_YH!V2)</f>
        <v>NA</v>
      </c>
      <c r="AO2" s="345" t="str">
        <f>IF(coder1_YH!W2="",AO1,coder1_YH!W2)</f>
        <v>NA</v>
      </c>
      <c r="AP2" s="345">
        <f>IF(coder1_YH!X2="",AP1,coder1_YH!X2)</f>
        <v>0.41666666666666669</v>
      </c>
      <c r="AQ2" s="345" t="str">
        <f>IF(coder1_YH!Y2="",AQ1,coder1_YH!Y2)</f>
        <v>NA</v>
      </c>
      <c r="AR2" t="str">
        <f>coder1_YH!AB2</f>
        <v>1 = Published or Commercially available curriculum</v>
      </c>
      <c r="AS2" s="345" t="str">
        <f>IF(coder1_YH!AC2 = "", AS1,IF(coder1_YH!AC2="BAU","BAU",LEFT(coder1_YH!AC2)))</f>
        <v>1</v>
      </c>
      <c r="AT2" s="345" t="str">
        <f>IF(coder1_YH!AD2 = "", AT1,IF(coder1_YH!AD2="BAU","BAU",LEFT(coder1_YH!AD2)))</f>
        <v>1</v>
      </c>
      <c r="AU2" s="345" t="str">
        <f>IF(coder1_YH!AE2 = "", AU1,IF(coder1_YH!AE2="BAU","BAU",LEFT(coder1_YH!AE2)))</f>
        <v>1</v>
      </c>
      <c r="AV2" s="345">
        <f>IF(coder1_YH!AF2="",AV1,coder1_YH!AF2)</f>
        <v>3000</v>
      </c>
      <c r="AW2" s="345">
        <f>IF(AV2="BAU","BAU",IF(AV2="NA","NA",AV2/60))</f>
        <v>50</v>
      </c>
      <c r="AX2" s="345">
        <f>IF(coder1_YH!AG2="",AX1,coder1_YH!AG2)</f>
        <v>25</v>
      </c>
      <c r="AY2" s="345">
        <f>IF(coder1_YH!AH2="",AY1,coder1_YH!AH2)</f>
        <v>120</v>
      </c>
      <c r="AZ2" s="345" t="str">
        <f>IF(coder1_YH!AI2 = "", AZ1, IF(coder1_YH!AI2="BAU","BAU",LEFT(coder1_YH!AI2)))</f>
        <v>1</v>
      </c>
      <c r="BA2" s="384">
        <f>clean_data!Y2</f>
        <v>24</v>
      </c>
    </row>
    <row r="3" spans="1:53" x14ac:dyDescent="0.2">
      <c r="A3">
        <f>coder1_YH!B3</f>
        <v>0</v>
      </c>
      <c r="B3">
        <f>coder1_YH!C3</f>
        <v>3</v>
      </c>
      <c r="C3">
        <f>coder1_YH!D3</f>
        <v>0</v>
      </c>
      <c r="D3" t="str">
        <f>coder1_YH!E3</f>
        <v/>
      </c>
      <c r="E3" t="b">
        <f>coder1_YH!F3</f>
        <v>1</v>
      </c>
      <c r="F3" s="321" t="str">
        <f>IF(coder1_YH!G3="", clean_mod!F2, coder1_YH!G3)</f>
        <v>Orkin et al., 2017</v>
      </c>
      <c r="G3" s="321" t="str">
        <f t="shared" ref="G3:G66" si="1">LEFT(H3,3)</f>
        <v>101</v>
      </c>
      <c r="H3" s="321">
        <f>IF(coder1_YH!H3="", clean_mod!H2, coder1_YH!H3)</f>
        <v>101</v>
      </c>
      <c r="I3" s="404" t="str">
        <f t="shared" ref="I3:I66" si="2">RIGHT(F3,4)</f>
        <v>2017</v>
      </c>
      <c r="J3" s="344" t="str">
        <f>IF(coder1_YH!I3="",J2,coder1_YH!I3)</f>
        <v>USA</v>
      </c>
      <c r="K3" s="345">
        <f t="shared" ref="K3:K66" si="3">IF(J3="USA",0,1)</f>
        <v>0</v>
      </c>
      <c r="L3" s="344" t="str">
        <f>IF(coder1_YH!J3 = "",L2, coder1_YH!J3)</f>
        <v>English</v>
      </c>
      <c r="M3" s="345">
        <f t="shared" ref="M3:M66" si="4">IF(L3="English",0,1)</f>
        <v>0</v>
      </c>
      <c r="N3" s="345" t="str">
        <f>IF(coder1_YH!K3 = "", N2, LEFT(coder1_YH!K3,1))</f>
        <v>1</v>
      </c>
      <c r="O3" s="345" t="str">
        <f>IF(coder1_YH!L3 = "", O2, LEFT(coder1_YH!L3,1))</f>
        <v>0</v>
      </c>
      <c r="P3" s="345" t="str">
        <f>IF(coder1_YH!M3 = "", P2, LEFT(coder1_YH!M3,1))</f>
        <v>0</v>
      </c>
      <c r="Q3" s="321" t="str">
        <f>coder1_YH!P3</f>
        <v>ctl</v>
      </c>
      <c r="R3" s="321" t="str">
        <f>coder1_YH!Q3</f>
        <v>Control group</v>
      </c>
      <c r="S3" s="323" t="str">
        <f t="shared" ref="S3:S66" si="5">IF(ISNUMBER(SEARCH("N", $X3)), "N", "")</f>
        <v/>
      </c>
      <c r="T3" s="323" t="str">
        <f t="shared" ref="T3:T66" si="6">IF(ISNUMBER(SEARCH("V", $X3)), "V", "")</f>
        <v/>
      </c>
      <c r="U3" s="323" t="str">
        <f t="shared" ref="U3:U66" si="7">IF(ISNUMBER(SEARCH("G", $X3)), "G", "")</f>
        <v/>
      </c>
      <c r="V3" s="323" t="str">
        <f t="shared" ref="V3:V66" si="8">IF(ISNUMBER(SEARCH("T", $X3)), "T", "")</f>
        <v/>
      </c>
      <c r="W3" s="323">
        <f t="shared" ref="W3:W66" si="9">4 - COUNTIF(S3:V3, "")</f>
        <v>0</v>
      </c>
      <c r="X3" s="385" t="str">
        <f>IF(coder1_YH!N3 = "",X2,coder1_YH!N3)</f>
        <v>.</v>
      </c>
      <c r="Y3" s="385" t="str">
        <f>IF(coder1_YH!O3 = "",Y2,coder1_YH!O3)</f>
        <v>cm</v>
      </c>
      <c r="Z3" s="385" t="str">
        <f t="shared" ref="Z3:Z66" si="10">IF(X3=".","","M")</f>
        <v/>
      </c>
      <c r="AA3" s="385" t="str">
        <f t="shared" ref="AA3:AA66" si="11">IF(Y3=".","BAU","R")</f>
        <v>R</v>
      </c>
      <c r="AB3" s="385" t="str">
        <f t="shared" ref="AB3:AB66" si="12">Z3&amp;AA3</f>
        <v>R</v>
      </c>
      <c r="AC3" s="323" t="str">
        <f t="shared" ref="AC3:AC66" si="13">X3&amp;Y3</f>
        <v>.cm</v>
      </c>
      <c r="AD3" s="323" t="str">
        <f t="shared" ref="AD3:AD66" si="14">IF(X3=".",AA3,X3&amp;"_"&amp;AA3)</f>
        <v>R</v>
      </c>
      <c r="AF3" s="369" t="str">
        <f t="shared" ref="AF3:AF66" si="15">$H3&amp;"-"&amp;AC3</f>
        <v>101-.cm</v>
      </c>
      <c r="AG3" s="369" t="str">
        <f t="shared" ref="AG3:AG66" si="16">$H3&amp;"-"&amp;AD3</f>
        <v>101-R</v>
      </c>
      <c r="AH3" s="344">
        <f>IF(coder1_YH!R3="",AH2,coder1_YH!R3)</f>
        <v>1.83</v>
      </c>
      <c r="AI3" s="344">
        <f t="shared" si="0"/>
        <v>1.83</v>
      </c>
      <c r="AJ3" s="345">
        <f t="shared" ref="AJ3:AJ66" si="17">IF(AI3&lt;6,0,1)</f>
        <v>0</v>
      </c>
      <c r="AK3" s="408">
        <f>IF(coder1_YH!S3="",AK2,coder1_YH!S3)</f>
        <v>7.96</v>
      </c>
      <c r="AL3" s="345">
        <f>IF(coder1_YH!T3="",AL2,IF(coder1_YH!T3="mixed",0.25,coder1_YH!T3))</f>
        <v>1</v>
      </c>
      <c r="AM3" s="345">
        <f>IF(coder1_YH!U3 = "", AM2, IF(coder1_YH!U3="mixed","NA",coder1_YH!U3))</f>
        <v>0.95652173913043481</v>
      </c>
      <c r="AN3" s="345" t="str">
        <f>IF(coder1_YH!V3="",AN2,coder1_YH!V3)</f>
        <v>NA</v>
      </c>
      <c r="AO3" s="345" t="str">
        <f>IF(coder1_YH!W3="",AO2,coder1_YH!W3)</f>
        <v>NA</v>
      </c>
      <c r="AP3" s="345">
        <f>IF(coder1_YH!X3="",AP2,coder1_YH!X3)</f>
        <v>0.47826086956521741</v>
      </c>
      <c r="AQ3" s="345" t="str">
        <f>IF(coder1_YH!Y3="",AQ2,coder1_YH!Y3)</f>
        <v>NA</v>
      </c>
      <c r="AR3" t="str">
        <f>coder1_YH!AB3</f>
        <v>1 = Published or Commercially available curriculum</v>
      </c>
      <c r="AS3" s="345" t="str">
        <f>IF(coder1_YH!AC3 = "", AS2,IF(coder1_YH!AC3="BAU","BAU",LEFT(coder1_YH!AC3)))</f>
        <v>1</v>
      </c>
      <c r="AT3" s="345" t="str">
        <f>IF(coder1_YH!AD3 = "", AT2,IF(coder1_YH!AD3="BAU","BAU",LEFT(coder1_YH!AD3)))</f>
        <v>1</v>
      </c>
      <c r="AU3" s="345" t="str">
        <f>IF(coder1_YH!AE3 = "", AU2,IF(coder1_YH!AE3="BAU","BAU",LEFT(coder1_YH!AE3)))</f>
        <v>1</v>
      </c>
      <c r="AV3" s="345">
        <f>IF(coder1_YH!AF3="",AV2,coder1_YH!AF3)</f>
        <v>3000</v>
      </c>
      <c r="AW3" s="345">
        <f t="shared" ref="AW3:AW66" si="18">IF(AV3="BAU","BAU",IF(AV3="NA","NA",AV3/60))</f>
        <v>50</v>
      </c>
      <c r="AX3" s="345">
        <f>IF(coder1_YH!AG3="",AX2,coder1_YH!AG3)</f>
        <v>25</v>
      </c>
      <c r="AY3" s="345">
        <f>IF(coder1_YH!AH3="",AY2,coder1_YH!AH3)</f>
        <v>120</v>
      </c>
      <c r="AZ3" s="345" t="str">
        <f>IF(coder1_YH!AI3 = "", AZ2, IF(coder1_YH!AI3="BAU","BAU",LEFT(coder1_YH!AI3)))</f>
        <v>1</v>
      </c>
      <c r="BA3" s="384">
        <f>clean_data!Y3</f>
        <v>23</v>
      </c>
    </row>
    <row r="4" spans="1:53" x14ac:dyDescent="0.2">
      <c r="A4">
        <f>coder1_YH!B4</f>
        <v>0</v>
      </c>
      <c r="B4">
        <f>coder1_YH!C4</f>
        <v>4</v>
      </c>
      <c r="C4">
        <f>coder1_YH!D4</f>
        <v>0</v>
      </c>
      <c r="D4">
        <f>coder1_YH!E4</f>
        <v>0</v>
      </c>
      <c r="E4" t="b">
        <f>coder1_YH!F4</f>
        <v>1</v>
      </c>
      <c r="F4" s="321" t="str">
        <f>IF(coder1_YH!G4="", clean_mod!F3, coder1_YH!G4)</f>
        <v>Toste et al., 2019</v>
      </c>
      <c r="G4" s="321" t="str">
        <f t="shared" si="1"/>
        <v>102</v>
      </c>
      <c r="H4" s="321">
        <f>IF(coder1_YH!H4="", clean_mod!H3, coder1_YH!H4)</f>
        <v>102</v>
      </c>
      <c r="I4" s="404" t="str">
        <f t="shared" si="2"/>
        <v>2019</v>
      </c>
      <c r="J4" s="344" t="str">
        <f>IF(coder1_YH!I4="",J3,coder1_YH!I4)</f>
        <v>USA</v>
      </c>
      <c r="K4" s="345">
        <f t="shared" si="3"/>
        <v>0</v>
      </c>
      <c r="L4" s="344" t="str">
        <f>IF(coder1_YH!J4 = "",L3, coder1_YH!J4)</f>
        <v>English</v>
      </c>
      <c r="M4" s="345">
        <f t="shared" si="4"/>
        <v>0</v>
      </c>
      <c r="N4" s="345" t="str">
        <f>IF(coder1_YH!K4 = "", N3, LEFT(coder1_YH!K4,1))</f>
        <v>0</v>
      </c>
      <c r="O4" s="345" t="str">
        <f>IF(coder1_YH!L4 = "", O3, LEFT(coder1_YH!L4,1))</f>
        <v>0</v>
      </c>
      <c r="P4" s="345" t="str">
        <f>IF(coder1_YH!M4 = "", P3, LEFT(coder1_YH!M4,1))</f>
        <v>0</v>
      </c>
      <c r="Q4" s="321">
        <f>coder1_YH!P4</f>
        <v>1</v>
      </c>
      <c r="R4" s="321" t="str">
        <f>coder1_YH!Q4</f>
        <v>MWR</v>
      </c>
      <c r="S4" s="323" t="str">
        <f t="shared" si="5"/>
        <v/>
      </c>
      <c r="T4" s="323" t="str">
        <f t="shared" si="6"/>
        <v/>
      </c>
      <c r="U4" s="323" t="str">
        <f t="shared" si="7"/>
        <v/>
      </c>
      <c r="V4" s="323" t="str">
        <f t="shared" si="8"/>
        <v/>
      </c>
      <c r="W4" s="323">
        <f t="shared" si="9"/>
        <v>0</v>
      </c>
      <c r="X4" s="385" t="str">
        <f>IF(coder1_YH!N4 = "",X3,coder1_YH!N4)</f>
        <v>.</v>
      </c>
      <c r="Y4" s="385" t="str">
        <f>IF(coder1_YH!O4 = "",Y3,coder1_YH!O4)</f>
        <v xml:space="preserve">c </v>
      </c>
      <c r="Z4" s="385" t="str">
        <f t="shared" si="10"/>
        <v/>
      </c>
      <c r="AA4" s="385" t="str">
        <f t="shared" si="11"/>
        <v>R</v>
      </c>
      <c r="AB4" s="385" t="str">
        <f t="shared" si="12"/>
        <v>R</v>
      </c>
      <c r="AC4" s="323" t="str">
        <f t="shared" si="13"/>
        <v xml:space="preserve">.c </v>
      </c>
      <c r="AD4" s="323" t="str">
        <f t="shared" si="14"/>
        <v>R</v>
      </c>
      <c r="AF4" s="369" t="str">
        <f t="shared" si="15"/>
        <v xml:space="preserve">102-.c </v>
      </c>
      <c r="AG4" s="369" t="str">
        <f t="shared" si="16"/>
        <v>102-R</v>
      </c>
      <c r="AH4" s="344" t="str">
        <f>IF(coder1_YH!R4="",AH3,coder1_YH!R4)</f>
        <v>4, 5</v>
      </c>
      <c r="AI4" s="344">
        <f t="shared" si="0"/>
        <v>4.5</v>
      </c>
      <c r="AJ4" s="345">
        <f t="shared" si="17"/>
        <v>0</v>
      </c>
      <c r="AK4" s="408">
        <f>IF(coder1_YH!S4="",AK3,coder1_YH!S4)</f>
        <v>10</v>
      </c>
      <c r="AL4" s="345">
        <f>IF(coder1_YH!T4="",AL3,IF(coder1_YH!T4="mixed",0.25,coder1_YH!T4))</f>
        <v>1</v>
      </c>
      <c r="AM4" s="345" t="str">
        <f>IF(coder1_YH!U4 = "", AM3, IF(coder1_YH!U4="mixed","NA",coder1_YH!U4))</f>
        <v>NA</v>
      </c>
      <c r="AN4" s="345">
        <f>IF(coder1_YH!V4="",AN3,coder1_YH!V4)</f>
        <v>0.88235294117647056</v>
      </c>
      <c r="AO4" s="345">
        <f>IF(coder1_YH!W4="",AO3,coder1_YH!W4)</f>
        <v>0.11764705882352941</v>
      </c>
      <c r="AP4" s="345">
        <f>IF(coder1_YH!X4="",AP3,coder1_YH!X4)</f>
        <v>0.52941176470588236</v>
      </c>
      <c r="AQ4" s="345">
        <f>IF(coder1_YH!Y4="",AQ3,coder1_YH!Y4)</f>
        <v>0.94117647058823528</v>
      </c>
      <c r="AR4" t="str">
        <f>coder1_YH!AB4</f>
        <v>0 = Researcher-developed curriculum</v>
      </c>
      <c r="AS4" s="345" t="str">
        <f>IF(coder1_YH!AC4 = "", AS3,IF(coder1_YH!AC4="BAU","BAU",LEFT(coder1_YH!AC4)))</f>
        <v>1</v>
      </c>
      <c r="AT4" s="345" t="str">
        <f>IF(coder1_YH!AD4 = "", AT3,IF(coder1_YH!AD4="BAU","BAU",LEFT(coder1_YH!AD4)))</f>
        <v>1</v>
      </c>
      <c r="AU4" s="345" t="str">
        <f>IF(coder1_YH!AE4 = "", AU3,IF(coder1_YH!AE4="BAU","BAU",LEFT(coder1_YH!AE4)))</f>
        <v>0</v>
      </c>
      <c r="AV4" s="345">
        <f>IF(coder1_YH!AF4="",AV3,coder1_YH!AF4)</f>
        <v>1600</v>
      </c>
      <c r="AW4" s="345">
        <f t="shared" si="18"/>
        <v>26.666666666666668</v>
      </c>
      <c r="AX4" s="345">
        <f>IF(coder1_YH!AG4="",AX3,coder1_YH!AG4)</f>
        <v>40</v>
      </c>
      <c r="AY4" s="345">
        <f>IF(coder1_YH!AH4="",AY3,coder1_YH!AH4)</f>
        <v>40</v>
      </c>
      <c r="AZ4" s="345" t="str">
        <f>IF(coder1_YH!AI4 = "", AZ3, IF(coder1_YH!AI4="BAU","BAU",LEFT(coder1_YH!AI4)))</f>
        <v>1</v>
      </c>
      <c r="BA4" s="384">
        <f>clean_data!Y4</f>
        <v>34</v>
      </c>
    </row>
    <row r="5" spans="1:53" x14ac:dyDescent="0.2">
      <c r="A5">
        <f>coder1_YH!B5</f>
        <v>0</v>
      </c>
      <c r="B5">
        <f>coder1_YH!C5</f>
        <v>5</v>
      </c>
      <c r="C5">
        <f>coder1_YH!D5</f>
        <v>0</v>
      </c>
      <c r="D5">
        <f>coder1_YH!E5</f>
        <v>0</v>
      </c>
      <c r="E5" t="str">
        <f>coder1_YH!F5</f>
        <v/>
      </c>
      <c r="F5" s="321" t="str">
        <f>IF(coder1_YH!G5="", clean_mod!F4, coder1_YH!G5)</f>
        <v>Toste et al., 2019</v>
      </c>
      <c r="G5" s="321" t="str">
        <f t="shared" si="1"/>
        <v>102</v>
      </c>
      <c r="H5" s="321">
        <f>IF(coder1_YH!H5="", clean_mod!H4, coder1_YH!H5)</f>
        <v>102</v>
      </c>
      <c r="I5" s="404" t="str">
        <f t="shared" si="2"/>
        <v>2019</v>
      </c>
      <c r="J5" s="344" t="str">
        <f>IF(coder1_YH!I5="",J4,coder1_YH!I5)</f>
        <v>USA</v>
      </c>
      <c r="K5" s="345">
        <f t="shared" si="3"/>
        <v>0</v>
      </c>
      <c r="L5" s="344" t="str">
        <f>IF(coder1_YH!J5 = "",L4, coder1_YH!J5)</f>
        <v>English</v>
      </c>
      <c r="M5" s="345">
        <f t="shared" si="4"/>
        <v>0</v>
      </c>
      <c r="N5" s="345" t="str">
        <f>IF(coder1_YH!K5 = "", N4, LEFT(coder1_YH!K5,1))</f>
        <v>0</v>
      </c>
      <c r="O5" s="345" t="str">
        <f>IF(coder1_YH!L5 = "", O4, LEFT(coder1_YH!L5,1))</f>
        <v>0</v>
      </c>
      <c r="P5" s="345" t="str">
        <f>IF(coder1_YH!M5 = "", P4, LEFT(coder1_YH!M5,1))</f>
        <v>0</v>
      </c>
      <c r="Q5" s="321">
        <f>coder1_YH!P5</f>
        <v>0</v>
      </c>
      <c r="R5" s="321">
        <f>coder1_YH!Q5</f>
        <v>0</v>
      </c>
      <c r="S5" s="323" t="str">
        <f t="shared" si="5"/>
        <v/>
      </c>
      <c r="T5" s="323" t="str">
        <f t="shared" si="6"/>
        <v/>
      </c>
      <c r="U5" s="323" t="str">
        <f t="shared" si="7"/>
        <v/>
      </c>
      <c r="V5" s="323" t="str">
        <f t="shared" si="8"/>
        <v/>
      </c>
      <c r="W5" s="323">
        <f t="shared" si="9"/>
        <v>0</v>
      </c>
      <c r="X5" s="385" t="str">
        <f>IF(coder1_YH!N5 = "",X4,coder1_YH!N5)</f>
        <v>.</v>
      </c>
      <c r="Y5" s="385" t="str">
        <f>IF(coder1_YH!O5 = "",Y4,coder1_YH!O5)</f>
        <v xml:space="preserve">c </v>
      </c>
      <c r="Z5" s="385" t="str">
        <f t="shared" si="10"/>
        <v/>
      </c>
      <c r="AA5" s="385" t="str">
        <f t="shared" si="11"/>
        <v>R</v>
      </c>
      <c r="AB5" s="385" t="str">
        <f t="shared" si="12"/>
        <v>R</v>
      </c>
      <c r="AC5" s="323" t="str">
        <f>X5&amp;Y5</f>
        <v xml:space="preserve">.c </v>
      </c>
      <c r="AD5" s="323" t="str">
        <f t="shared" si="14"/>
        <v>R</v>
      </c>
      <c r="AF5" s="369" t="str">
        <f t="shared" si="15"/>
        <v xml:space="preserve">102-.c </v>
      </c>
      <c r="AG5" s="369" t="str">
        <f t="shared" si="16"/>
        <v>102-R</v>
      </c>
      <c r="AH5" s="344" t="str">
        <f>IF(coder1_YH!R5="",AH4,coder1_YH!R5)</f>
        <v>4, 5</v>
      </c>
      <c r="AI5" s="344">
        <f t="shared" si="0"/>
        <v>4.5</v>
      </c>
      <c r="AJ5" s="345">
        <f t="shared" si="17"/>
        <v>0</v>
      </c>
      <c r="AK5" s="408">
        <f>IF(coder1_YH!S5="",AK4,coder1_YH!S5)</f>
        <v>10</v>
      </c>
      <c r="AL5" s="345">
        <f>IF(coder1_YH!T5="",AL4,IF(coder1_YH!T5="mixed",0.25,coder1_YH!T5))</f>
        <v>1</v>
      </c>
      <c r="AM5" s="345" t="str">
        <f>IF(coder1_YH!U5 = "", AM4, IF(coder1_YH!U5="mixed","NA",coder1_YH!U5))</f>
        <v>NA</v>
      </c>
      <c r="AN5" s="345">
        <f>IF(coder1_YH!V5="",AN4,coder1_YH!V5)</f>
        <v>0.88235294117647056</v>
      </c>
      <c r="AO5" s="345">
        <f>IF(coder1_YH!W5="",AO4,coder1_YH!W5)</f>
        <v>0.11764705882352941</v>
      </c>
      <c r="AP5" s="345">
        <f>IF(coder1_YH!X5="",AP4,coder1_YH!X5)</f>
        <v>0.52941176470588236</v>
      </c>
      <c r="AQ5" s="345">
        <f>IF(coder1_YH!Y5="",AQ4,coder1_YH!Y5)</f>
        <v>0.94117647058823528</v>
      </c>
      <c r="AR5">
        <f>coder1_YH!AB5</f>
        <v>0</v>
      </c>
      <c r="AS5" s="345" t="str">
        <f>IF(coder1_YH!AC5 = "", AS4,IF(coder1_YH!AC5="BAU","BAU",LEFT(coder1_YH!AC5)))</f>
        <v>1</v>
      </c>
      <c r="AT5" s="345" t="str">
        <f>IF(coder1_YH!AD5 = "", AT4,IF(coder1_YH!AD5="BAU","BAU",LEFT(coder1_YH!AD5)))</f>
        <v>1</v>
      </c>
      <c r="AU5" s="345" t="str">
        <f>IF(coder1_YH!AE5 = "", AU4,IF(coder1_YH!AE5="BAU","BAU",LEFT(coder1_YH!AE5)))</f>
        <v>0</v>
      </c>
      <c r="AV5" s="345">
        <f>IF(coder1_YH!AF5="",AV4,coder1_YH!AF5)</f>
        <v>1600</v>
      </c>
      <c r="AW5" s="345">
        <f t="shared" si="18"/>
        <v>26.666666666666668</v>
      </c>
      <c r="AX5" s="345">
        <f>IF(coder1_YH!AG5="",AX4,coder1_YH!AG5)</f>
        <v>40</v>
      </c>
      <c r="AY5" s="345">
        <f>IF(coder1_YH!AH5="",AY4,coder1_YH!AH5)</f>
        <v>40</v>
      </c>
      <c r="AZ5" s="345" t="str">
        <f>IF(coder1_YH!AI5 = "", AZ4, IF(coder1_YH!AI5="BAU","BAU",LEFT(coder1_YH!AI5)))</f>
        <v>1</v>
      </c>
      <c r="BA5" s="384">
        <f>clean_data!Y5</f>
        <v>34</v>
      </c>
    </row>
    <row r="6" spans="1:53" x14ac:dyDescent="0.2">
      <c r="A6">
        <f>coder1_YH!B6</f>
        <v>0</v>
      </c>
      <c r="B6">
        <f>coder1_YH!C6</f>
        <v>6</v>
      </c>
      <c r="C6" t="b">
        <f>coder1_YH!D6</f>
        <v>1</v>
      </c>
      <c r="D6" t="b">
        <f>coder1_YH!E6</f>
        <v>1</v>
      </c>
      <c r="E6" t="b">
        <f>coder1_YH!F6</f>
        <v>1</v>
      </c>
      <c r="F6" s="321" t="str">
        <f>IF(coder1_YH!G6="", clean_mod!F5, coder1_YH!G6)</f>
        <v>Toste et al., 2019</v>
      </c>
      <c r="G6" s="321" t="str">
        <f t="shared" si="1"/>
        <v>102</v>
      </c>
      <c r="H6" s="321">
        <f>IF(coder1_YH!H6="", clean_mod!H5, coder1_YH!H6)</f>
        <v>102</v>
      </c>
      <c r="I6" s="404" t="str">
        <f t="shared" si="2"/>
        <v>2019</v>
      </c>
      <c r="J6" s="344" t="str">
        <f>IF(coder1_YH!I6="",J5,coder1_YH!I6)</f>
        <v>USA</v>
      </c>
      <c r="K6" s="345">
        <f t="shared" si="3"/>
        <v>0</v>
      </c>
      <c r="L6" s="344" t="str">
        <f>IF(coder1_YH!J6 = "",L5, coder1_YH!J6)</f>
        <v>English</v>
      </c>
      <c r="M6" s="345">
        <f t="shared" si="4"/>
        <v>0</v>
      </c>
      <c r="N6" s="345" t="str">
        <f>IF(coder1_YH!K6 = "", N5, LEFT(coder1_YH!K6,1))</f>
        <v>0</v>
      </c>
      <c r="O6" s="345" t="str">
        <f>IF(coder1_YH!L6 = "", O5, LEFT(coder1_YH!L6,1))</f>
        <v>0</v>
      </c>
      <c r="P6" s="345" t="str">
        <f>IF(coder1_YH!M6 = "", P5, LEFT(coder1_YH!M6,1))</f>
        <v>0</v>
      </c>
      <c r="Q6" s="321">
        <f>coder1_YH!P6</f>
        <v>2</v>
      </c>
      <c r="R6" s="321" t="str">
        <f>coder1_YH!Q6</f>
        <v>MWR+MB</v>
      </c>
      <c r="S6" s="323" t="str">
        <f t="shared" si="5"/>
        <v/>
      </c>
      <c r="T6" s="323" t="str">
        <f t="shared" si="6"/>
        <v/>
      </c>
      <c r="U6" s="323" t="str">
        <f t="shared" si="7"/>
        <v>G</v>
      </c>
      <c r="V6" s="323" t="str">
        <f t="shared" si="8"/>
        <v>T</v>
      </c>
      <c r="W6" s="323">
        <f t="shared" si="9"/>
        <v>2</v>
      </c>
      <c r="X6" s="385" t="str">
        <f>IF(coder1_YH!N6 = "",X5,coder1_YH!N6)</f>
        <v>GT</v>
      </c>
      <c r="Y6" s="385" t="str">
        <f>IF(coder1_YH!O6 = "",Y5,coder1_YH!O6)</f>
        <v xml:space="preserve">c </v>
      </c>
      <c r="Z6" s="385" t="str">
        <f t="shared" si="10"/>
        <v>M</v>
      </c>
      <c r="AA6" s="385" t="str">
        <f t="shared" si="11"/>
        <v>R</v>
      </c>
      <c r="AB6" s="385" t="str">
        <f t="shared" si="12"/>
        <v>MR</v>
      </c>
      <c r="AC6" s="323" t="str">
        <f t="shared" si="13"/>
        <v xml:space="preserve">GTc </v>
      </c>
      <c r="AD6" s="323" t="str">
        <f t="shared" si="14"/>
        <v>GT_R</v>
      </c>
      <c r="AE6" s="323">
        <f>IF(Y6="cm", 1,0)</f>
        <v>0</v>
      </c>
      <c r="AF6" s="369" t="str">
        <f t="shared" si="15"/>
        <v xml:space="preserve">102-GTc </v>
      </c>
      <c r="AG6" s="369" t="str">
        <f t="shared" si="16"/>
        <v>102-GT_R</v>
      </c>
      <c r="AH6" s="344" t="str">
        <f>IF(coder1_YH!R6="",AH5,coder1_YH!R6)</f>
        <v>4, 5</v>
      </c>
      <c r="AI6" s="344">
        <f t="shared" si="0"/>
        <v>4.5</v>
      </c>
      <c r="AJ6" s="345">
        <f t="shared" si="17"/>
        <v>0</v>
      </c>
      <c r="AK6" s="408">
        <f>IF(coder1_YH!S6="",AK5,coder1_YH!S6)</f>
        <v>9.9210526315789469</v>
      </c>
      <c r="AL6" s="345">
        <f>IF(coder1_YH!T6="",AL5,IF(coder1_YH!T6="mixed",0.25,coder1_YH!T6))</f>
        <v>1</v>
      </c>
      <c r="AM6" s="345" t="str">
        <f>IF(coder1_YH!U6 = "", AM5, IF(coder1_YH!U6="mixed","NA",coder1_YH!U6))</f>
        <v>NA</v>
      </c>
      <c r="AN6" s="345">
        <f>IF(coder1_YH!V6="",AN5,coder1_YH!V6)</f>
        <v>0.89473684210526316</v>
      </c>
      <c r="AO6" s="345">
        <f>IF(coder1_YH!W6="",AO5,coder1_YH!W6)</f>
        <v>0.31578947368421051</v>
      </c>
      <c r="AP6" s="345">
        <f>IF(coder1_YH!X6="",AP5,coder1_YH!X6)</f>
        <v>0.47368421052631576</v>
      </c>
      <c r="AQ6" s="345">
        <f>IF(coder1_YH!Y6="",AQ5,coder1_YH!Y6)</f>
        <v>0.97368421052631582</v>
      </c>
      <c r="AR6" t="str">
        <f>coder1_YH!AB6</f>
        <v>0 = Researcher-developed curriculum</v>
      </c>
      <c r="AS6" s="345" t="str">
        <f>IF(coder1_YH!AC6 = "", AS5,IF(coder1_YH!AC6="BAU","BAU",LEFT(coder1_YH!AC6)))</f>
        <v>1</v>
      </c>
      <c r="AT6" s="345" t="str">
        <f>IF(coder1_YH!AD6 = "", AT5,IF(coder1_YH!AD6="BAU","BAU",LEFT(coder1_YH!AD6)))</f>
        <v>1</v>
      </c>
      <c r="AU6" s="345" t="str">
        <f>IF(coder1_YH!AE6 = "", AU5,IF(coder1_YH!AE6="BAU","BAU",LEFT(coder1_YH!AE6)))</f>
        <v>0</v>
      </c>
      <c r="AV6" s="345">
        <f>IF(coder1_YH!AF6="",AV5,coder1_YH!AF6)</f>
        <v>1600</v>
      </c>
      <c r="AW6" s="345">
        <f t="shared" si="18"/>
        <v>26.666666666666668</v>
      </c>
      <c r="AX6" s="345">
        <f>IF(coder1_YH!AG6="",AX5,coder1_YH!AG6)</f>
        <v>40</v>
      </c>
      <c r="AY6" s="345">
        <f>IF(coder1_YH!AH6="",AY5,coder1_YH!AH6)</f>
        <v>40</v>
      </c>
      <c r="AZ6" s="345" t="str">
        <f>IF(coder1_YH!AI6 = "", AZ5, IF(coder1_YH!AI6="BAU","BAU",LEFT(coder1_YH!AI6)))</f>
        <v>1</v>
      </c>
      <c r="BA6" s="384">
        <f>clean_data!Y6</f>
        <v>38</v>
      </c>
    </row>
    <row r="7" spans="1:53" x14ac:dyDescent="0.2">
      <c r="A7">
        <f>coder1_YH!B7</f>
        <v>0</v>
      </c>
      <c r="B7">
        <f>coder1_YH!C7</f>
        <v>7</v>
      </c>
      <c r="C7">
        <f>coder1_YH!D7</f>
        <v>0</v>
      </c>
      <c r="D7">
        <f>coder1_YH!E7</f>
        <v>0</v>
      </c>
      <c r="E7" t="str">
        <f>coder1_YH!F7</f>
        <v/>
      </c>
      <c r="F7" s="321" t="str">
        <f>IF(coder1_YH!G7="", clean_mod!F6, coder1_YH!G7)</f>
        <v>Toste et al., 2019</v>
      </c>
      <c r="G7" s="321" t="str">
        <f t="shared" si="1"/>
        <v>102</v>
      </c>
      <c r="H7" s="321">
        <f>IF(coder1_YH!H7="", clean_mod!H6, coder1_YH!H7)</f>
        <v>102</v>
      </c>
      <c r="I7" s="404" t="str">
        <f t="shared" si="2"/>
        <v>2019</v>
      </c>
      <c r="J7" s="344" t="str">
        <f>IF(coder1_YH!I7="",J6,coder1_YH!I7)</f>
        <v>USA</v>
      </c>
      <c r="K7" s="345">
        <f t="shared" si="3"/>
        <v>0</v>
      </c>
      <c r="L7" s="344" t="str">
        <f>IF(coder1_YH!J7 = "",L6, coder1_YH!J7)</f>
        <v>English</v>
      </c>
      <c r="M7" s="345">
        <f t="shared" si="4"/>
        <v>0</v>
      </c>
      <c r="N7" s="345" t="str">
        <f>IF(coder1_YH!K7 = "", N6, LEFT(coder1_YH!K7,1))</f>
        <v>0</v>
      </c>
      <c r="O7" s="345" t="str">
        <f>IF(coder1_YH!L7 = "", O6, LEFT(coder1_YH!L7,1))</f>
        <v>0</v>
      </c>
      <c r="P7" s="345" t="str">
        <f>IF(coder1_YH!M7 = "", P6, LEFT(coder1_YH!M7,1))</f>
        <v>0</v>
      </c>
      <c r="Q7" s="321">
        <f>coder1_YH!P7</f>
        <v>0</v>
      </c>
      <c r="R7" s="321">
        <f>coder1_YH!Q7</f>
        <v>0</v>
      </c>
      <c r="S7" s="323" t="str">
        <f t="shared" si="5"/>
        <v/>
      </c>
      <c r="T7" s="323" t="str">
        <f t="shared" si="6"/>
        <v/>
      </c>
      <c r="U7" s="323" t="str">
        <f t="shared" si="7"/>
        <v>G</v>
      </c>
      <c r="V7" s="323" t="str">
        <f t="shared" si="8"/>
        <v>T</v>
      </c>
      <c r="W7" s="323">
        <f t="shared" si="9"/>
        <v>2</v>
      </c>
      <c r="X7" s="385" t="str">
        <f>IF(coder1_YH!N7 = "",X6,coder1_YH!N7)</f>
        <v>GT</v>
      </c>
      <c r="Y7" s="385" t="str">
        <f>IF(coder1_YH!O7 = "",Y6,coder1_YH!O7)</f>
        <v xml:space="preserve">c </v>
      </c>
      <c r="Z7" s="385" t="str">
        <f t="shared" si="10"/>
        <v>M</v>
      </c>
      <c r="AA7" s="385" t="str">
        <f t="shared" si="11"/>
        <v>R</v>
      </c>
      <c r="AB7" s="385" t="str">
        <f t="shared" si="12"/>
        <v>MR</v>
      </c>
      <c r="AC7" s="323" t="str">
        <f t="shared" si="13"/>
        <v xml:space="preserve">GTc </v>
      </c>
      <c r="AD7" s="323" t="str">
        <f t="shared" si="14"/>
        <v>GT_R</v>
      </c>
      <c r="AF7" s="369" t="str">
        <f t="shared" si="15"/>
        <v xml:space="preserve">102-GTc </v>
      </c>
      <c r="AG7" s="369" t="str">
        <f t="shared" si="16"/>
        <v>102-GT_R</v>
      </c>
      <c r="AH7" s="344" t="str">
        <f>IF(coder1_YH!R7="",AH6,coder1_YH!R7)</f>
        <v>4, 5</v>
      </c>
      <c r="AI7" s="344">
        <f t="shared" si="0"/>
        <v>4.5</v>
      </c>
      <c r="AJ7" s="345">
        <f t="shared" si="17"/>
        <v>0</v>
      </c>
      <c r="AK7" s="408">
        <f>IF(coder1_YH!S7="",AK6,coder1_YH!S7)</f>
        <v>9.9210526315789469</v>
      </c>
      <c r="AL7" s="345">
        <f>IF(coder1_YH!T7="",AL6,IF(coder1_YH!T7="mixed",0.25,coder1_YH!T7))</f>
        <v>1</v>
      </c>
      <c r="AM7" s="345" t="str">
        <f>IF(coder1_YH!U7 = "", AM6, IF(coder1_YH!U7="mixed","NA",coder1_YH!U7))</f>
        <v>NA</v>
      </c>
      <c r="AN7" s="345">
        <f>IF(coder1_YH!V7="",AN6,coder1_YH!V7)</f>
        <v>0.89473684210526316</v>
      </c>
      <c r="AO7" s="345">
        <f>IF(coder1_YH!W7="",AO6,coder1_YH!W7)</f>
        <v>0.31578947368421051</v>
      </c>
      <c r="AP7" s="345">
        <f>IF(coder1_YH!X7="",AP6,coder1_YH!X7)</f>
        <v>0.47368421052631576</v>
      </c>
      <c r="AQ7" s="345">
        <f>IF(coder1_YH!Y7="",AQ6,coder1_YH!Y7)</f>
        <v>0.97368421052631582</v>
      </c>
      <c r="AR7">
        <f>coder1_YH!AB7</f>
        <v>0</v>
      </c>
      <c r="AS7" s="345" t="str">
        <f>IF(coder1_YH!AC7 = "", AS6,IF(coder1_YH!AC7="BAU","BAU",LEFT(coder1_YH!AC7)))</f>
        <v>1</v>
      </c>
      <c r="AT7" s="345" t="str">
        <f>IF(coder1_YH!AD7 = "", AT6,IF(coder1_YH!AD7="BAU","BAU",LEFT(coder1_YH!AD7)))</f>
        <v>1</v>
      </c>
      <c r="AU7" s="345" t="str">
        <f>IF(coder1_YH!AE7 = "", AU6,IF(coder1_YH!AE7="BAU","BAU",LEFT(coder1_YH!AE7)))</f>
        <v>0</v>
      </c>
      <c r="AV7" s="345">
        <f>IF(coder1_YH!AF7="",AV6,coder1_YH!AF7)</f>
        <v>1600</v>
      </c>
      <c r="AW7" s="345">
        <f t="shared" si="18"/>
        <v>26.666666666666668</v>
      </c>
      <c r="AX7" s="345">
        <f>IF(coder1_YH!AG7="",AX6,coder1_YH!AG7)</f>
        <v>40</v>
      </c>
      <c r="AY7" s="345">
        <f>IF(coder1_YH!AH7="",AY6,coder1_YH!AH7)</f>
        <v>40</v>
      </c>
      <c r="AZ7" s="345" t="str">
        <f>IF(coder1_YH!AI7 = "", AZ6, IF(coder1_YH!AI7="BAU","BAU",LEFT(coder1_YH!AI7)))</f>
        <v>1</v>
      </c>
      <c r="BA7" s="384">
        <f>clean_data!Y7</f>
        <v>38</v>
      </c>
    </row>
    <row r="8" spans="1:53" x14ac:dyDescent="0.2">
      <c r="A8">
        <f>coder1_YH!B8</f>
        <v>0</v>
      </c>
      <c r="B8">
        <f>coder1_YH!C8</f>
        <v>8</v>
      </c>
      <c r="C8">
        <f>coder1_YH!D8</f>
        <v>0</v>
      </c>
      <c r="D8">
        <f>coder1_YH!E8</f>
        <v>0</v>
      </c>
      <c r="E8" t="b">
        <f>coder1_YH!F8</f>
        <v>1</v>
      </c>
      <c r="F8" s="321" t="str">
        <f>IF(coder1_YH!G8="", clean_mod!F7, coder1_YH!G8)</f>
        <v>Toste et al., 2019</v>
      </c>
      <c r="G8" s="321" t="str">
        <f t="shared" si="1"/>
        <v>102</v>
      </c>
      <c r="H8" s="321">
        <f>IF(coder1_YH!H8="", clean_mod!H7, coder1_YH!H8)</f>
        <v>102</v>
      </c>
      <c r="I8" s="404" t="str">
        <f t="shared" si="2"/>
        <v>2019</v>
      </c>
      <c r="J8" s="344" t="str">
        <f>IF(coder1_YH!I8="",J7,coder1_YH!I8)</f>
        <v>USA</v>
      </c>
      <c r="K8" s="345">
        <f t="shared" si="3"/>
        <v>0</v>
      </c>
      <c r="L8" s="344" t="str">
        <f>IF(coder1_YH!J8 = "",L7, coder1_YH!J8)</f>
        <v>English</v>
      </c>
      <c r="M8" s="345">
        <f t="shared" si="4"/>
        <v>0</v>
      </c>
      <c r="N8" s="345" t="str">
        <f>IF(coder1_YH!K8 = "", N7, LEFT(coder1_YH!K8,1))</f>
        <v>0</v>
      </c>
      <c r="O8" s="345" t="str">
        <f>IF(coder1_YH!L8 = "", O7, LEFT(coder1_YH!L8,1))</f>
        <v>0</v>
      </c>
      <c r="P8" s="345" t="str">
        <f>IF(coder1_YH!M8 = "", P7, LEFT(coder1_YH!M8,1))</f>
        <v>0</v>
      </c>
      <c r="Q8" s="321" t="str">
        <f>coder1_YH!P8</f>
        <v>ctl</v>
      </c>
      <c r="R8" s="321" t="str">
        <f>coder1_YH!Q8</f>
        <v>BAU</v>
      </c>
      <c r="S8" s="323" t="str">
        <f t="shared" si="5"/>
        <v/>
      </c>
      <c r="T8" s="323" t="str">
        <f t="shared" si="6"/>
        <v/>
      </c>
      <c r="U8" s="323" t="str">
        <f t="shared" si="7"/>
        <v/>
      </c>
      <c r="V8" s="323" t="str">
        <f t="shared" si="8"/>
        <v/>
      </c>
      <c r="W8" s="323">
        <f t="shared" si="9"/>
        <v>0</v>
      </c>
      <c r="X8" s="385" t="str">
        <f>IF(coder1_YH!N8 = "",X7,coder1_YH!N8)</f>
        <v>.</v>
      </c>
      <c r="Y8" s="385" t="str">
        <f>IF(coder1_YH!O8 = "",Y7,coder1_YH!O8)</f>
        <v>.</v>
      </c>
      <c r="Z8" s="385" t="str">
        <f t="shared" si="10"/>
        <v/>
      </c>
      <c r="AA8" s="385" t="str">
        <f t="shared" si="11"/>
        <v>BAU</v>
      </c>
      <c r="AB8" s="385" t="str">
        <f t="shared" si="12"/>
        <v>BAU</v>
      </c>
      <c r="AC8" s="323" t="str">
        <f t="shared" si="13"/>
        <v>..</v>
      </c>
      <c r="AD8" s="323" t="str">
        <f t="shared" si="14"/>
        <v>BAU</v>
      </c>
      <c r="AF8" s="369" t="str">
        <f t="shared" si="15"/>
        <v>102-..</v>
      </c>
      <c r="AG8" s="369" t="str">
        <f t="shared" si="16"/>
        <v>102-BAU</v>
      </c>
      <c r="AH8" s="344" t="str">
        <f>IF(coder1_YH!R8="",AH7,coder1_YH!R8)</f>
        <v>4, 5</v>
      </c>
      <c r="AI8" s="344">
        <f t="shared" si="0"/>
        <v>4.5</v>
      </c>
      <c r="AJ8" s="345">
        <f t="shared" si="17"/>
        <v>0</v>
      </c>
      <c r="AK8" s="408">
        <f>IF(coder1_YH!S8="",AK7,coder1_YH!S8)</f>
        <v>9.9594594594594597</v>
      </c>
      <c r="AL8" s="345">
        <f>IF(coder1_YH!T8="",AL7,IF(coder1_YH!T8="mixed",0.25,coder1_YH!T8))</f>
        <v>1</v>
      </c>
      <c r="AM8" s="345" t="str">
        <f>IF(coder1_YH!U8 = "", AM7, IF(coder1_YH!U8="mixed","NA",coder1_YH!U8))</f>
        <v>NA</v>
      </c>
      <c r="AN8" s="345">
        <f>IF(coder1_YH!V8="",AN7,coder1_YH!V8)</f>
        <v>0.91891891891891897</v>
      </c>
      <c r="AO8" s="345">
        <f>IF(coder1_YH!W8="",AO7,coder1_YH!W8)</f>
        <v>0.35135135135135137</v>
      </c>
      <c r="AP8" s="345">
        <f>IF(coder1_YH!X8="",AP7,coder1_YH!X8)</f>
        <v>0.45945945945945948</v>
      </c>
      <c r="AQ8" s="345">
        <f>IF(coder1_YH!Y8="",AQ7,coder1_YH!Y8)</f>
        <v>0.97297297297297303</v>
      </c>
      <c r="AR8" t="str">
        <f>coder1_YH!AB8</f>
        <v>2 = District/State curriculum</v>
      </c>
      <c r="AS8" s="345" t="str">
        <f>IF(coder1_YH!AC8 = "", AS7,IF(coder1_YH!AC8="BAU","BAU",LEFT(coder1_YH!AC8)))</f>
        <v>BAU</v>
      </c>
      <c r="AT8" s="345" t="str">
        <f>IF(coder1_YH!AD8 = "", AT7,IF(coder1_YH!AD8="BAU","BAU",LEFT(coder1_YH!AD8)))</f>
        <v>BAU</v>
      </c>
      <c r="AU8" s="345" t="str">
        <f>IF(coder1_YH!AE8 = "", AU7,IF(coder1_YH!AE8="BAU","BAU",LEFT(coder1_YH!AE8)))</f>
        <v>BAU</v>
      </c>
      <c r="AV8" s="345" t="str">
        <f>IF(coder1_YH!AF8="",AV7,coder1_YH!AF8)</f>
        <v>BAU</v>
      </c>
      <c r="AW8" s="345" t="str">
        <f t="shared" si="18"/>
        <v>BAU</v>
      </c>
      <c r="AX8" s="345" t="str">
        <f>IF(coder1_YH!AG8="",AX7,coder1_YH!AG8)</f>
        <v>BAU</v>
      </c>
      <c r="AY8" s="345" t="str">
        <f>IF(coder1_YH!AH8="",AY7,coder1_YH!AH8)</f>
        <v>BAU</v>
      </c>
      <c r="AZ8" s="345" t="str">
        <f>IF(coder1_YH!AI8 = "", AZ7, IF(coder1_YH!AI8="BAU","BAU",LEFT(coder1_YH!AI8)))</f>
        <v>BAU</v>
      </c>
      <c r="BA8" s="384">
        <f>clean_data!Y8</f>
        <v>36</v>
      </c>
    </row>
    <row r="9" spans="1:53" x14ac:dyDescent="0.2">
      <c r="A9">
        <f>coder1_YH!B9</f>
        <v>0</v>
      </c>
      <c r="B9">
        <f>coder1_YH!C9</f>
        <v>9</v>
      </c>
      <c r="C9">
        <f>coder1_YH!D9</f>
        <v>0</v>
      </c>
      <c r="D9">
        <f>coder1_YH!E9</f>
        <v>0</v>
      </c>
      <c r="E9" t="str">
        <f>coder1_YH!F9</f>
        <v/>
      </c>
      <c r="F9" s="321" t="str">
        <f>IF(coder1_YH!G9="", clean_mod!F8, coder1_YH!G9)</f>
        <v>Toste et al., 2019</v>
      </c>
      <c r="G9" s="321" t="str">
        <f t="shared" si="1"/>
        <v>102</v>
      </c>
      <c r="H9" s="321">
        <f>IF(coder1_YH!H9="", clean_mod!H8, coder1_YH!H9)</f>
        <v>102</v>
      </c>
      <c r="I9" s="404" t="str">
        <f t="shared" si="2"/>
        <v>2019</v>
      </c>
      <c r="J9" s="344" t="str">
        <f>IF(coder1_YH!I9="",J8,coder1_YH!I9)</f>
        <v>USA</v>
      </c>
      <c r="K9" s="345">
        <f t="shared" si="3"/>
        <v>0</v>
      </c>
      <c r="L9" s="344" t="str">
        <f>IF(coder1_YH!J9 = "",L8, coder1_YH!J9)</f>
        <v>English</v>
      </c>
      <c r="M9" s="345">
        <f t="shared" si="4"/>
        <v>0</v>
      </c>
      <c r="N9" s="345" t="str">
        <f>IF(coder1_YH!K9 = "", N8, LEFT(coder1_YH!K9,1))</f>
        <v>0</v>
      </c>
      <c r="O9" s="345" t="str">
        <f>IF(coder1_YH!L9 = "", O8, LEFT(coder1_YH!L9,1))</f>
        <v>0</v>
      </c>
      <c r="P9" s="345" t="str">
        <f>IF(coder1_YH!M9 = "", P8, LEFT(coder1_YH!M9,1))</f>
        <v>0</v>
      </c>
      <c r="Q9" s="321">
        <f>coder1_YH!P9</f>
        <v>0</v>
      </c>
      <c r="R9" s="321">
        <f>coder1_YH!Q9</f>
        <v>0</v>
      </c>
      <c r="S9" s="323" t="str">
        <f t="shared" si="5"/>
        <v/>
      </c>
      <c r="T9" s="323" t="str">
        <f t="shared" si="6"/>
        <v/>
      </c>
      <c r="U9" s="323" t="str">
        <f t="shared" si="7"/>
        <v/>
      </c>
      <c r="V9" s="323" t="str">
        <f t="shared" si="8"/>
        <v/>
      </c>
      <c r="W9" s="323">
        <f t="shared" si="9"/>
        <v>0</v>
      </c>
      <c r="X9" s="385" t="str">
        <f>IF(coder1_YH!N9 = "",X8,coder1_YH!N9)</f>
        <v>.</v>
      </c>
      <c r="Y9" s="385" t="str">
        <f>IF(coder1_YH!O9 = "",Y8,coder1_YH!O9)</f>
        <v>.</v>
      </c>
      <c r="Z9" s="385" t="str">
        <f t="shared" si="10"/>
        <v/>
      </c>
      <c r="AA9" s="385" t="str">
        <f t="shared" si="11"/>
        <v>BAU</v>
      </c>
      <c r="AB9" s="385" t="str">
        <f t="shared" si="12"/>
        <v>BAU</v>
      </c>
      <c r="AC9" s="323" t="str">
        <f t="shared" si="13"/>
        <v>..</v>
      </c>
      <c r="AD9" s="323" t="str">
        <f t="shared" si="14"/>
        <v>BAU</v>
      </c>
      <c r="AF9" s="369" t="str">
        <f t="shared" si="15"/>
        <v>102-..</v>
      </c>
      <c r="AG9" s="369" t="str">
        <f t="shared" si="16"/>
        <v>102-BAU</v>
      </c>
      <c r="AH9" s="344" t="str">
        <f>IF(coder1_YH!R9="",AH8,coder1_YH!R9)</f>
        <v>4, 5</v>
      </c>
      <c r="AI9" s="344">
        <f t="shared" si="0"/>
        <v>4.5</v>
      </c>
      <c r="AJ9" s="345">
        <f t="shared" si="17"/>
        <v>0</v>
      </c>
      <c r="AK9" s="408">
        <f>IF(coder1_YH!S9="",AK8,coder1_YH!S9)</f>
        <v>9.9594594594594597</v>
      </c>
      <c r="AL9" s="345">
        <f>IF(coder1_YH!T9="",AL8,IF(coder1_YH!T9="mixed",0.25,coder1_YH!T9))</f>
        <v>1</v>
      </c>
      <c r="AM9" s="345" t="str">
        <f>IF(coder1_YH!U9 = "", AM8, IF(coder1_YH!U9="mixed","NA",coder1_YH!U9))</f>
        <v>NA</v>
      </c>
      <c r="AN9" s="345">
        <f>IF(coder1_YH!V9="",AN8,coder1_YH!V9)</f>
        <v>0.91891891891891897</v>
      </c>
      <c r="AO9" s="345">
        <f>IF(coder1_YH!W9="",AO8,coder1_YH!W9)</f>
        <v>0.35135135135135137</v>
      </c>
      <c r="AP9" s="345">
        <f>IF(coder1_YH!X9="",AP8,coder1_YH!X9)</f>
        <v>0.45945945945945948</v>
      </c>
      <c r="AQ9" s="345">
        <f>IF(coder1_YH!Y9="",AQ8,coder1_YH!Y9)</f>
        <v>0.97297297297297303</v>
      </c>
      <c r="AR9">
        <f>coder1_YH!AB9</f>
        <v>0</v>
      </c>
      <c r="AS9" s="345" t="str">
        <f>IF(coder1_YH!AC9 = "", AS8,IF(coder1_YH!AC9="BAU","BAU",LEFT(coder1_YH!AC9)))</f>
        <v>BAU</v>
      </c>
      <c r="AT9" s="345" t="str">
        <f>IF(coder1_YH!AD9 = "", AT8,IF(coder1_YH!AD9="BAU","BAU",LEFT(coder1_YH!AD9)))</f>
        <v>BAU</v>
      </c>
      <c r="AU9" s="345" t="str">
        <f>IF(coder1_YH!AE9 = "", AU8,IF(coder1_YH!AE9="BAU","BAU",LEFT(coder1_YH!AE9)))</f>
        <v>BAU</v>
      </c>
      <c r="AV9" s="345" t="str">
        <f>IF(coder1_YH!AF9="",AV8,coder1_YH!AF9)</f>
        <v>BAU</v>
      </c>
      <c r="AW9" s="345" t="str">
        <f t="shared" si="18"/>
        <v>BAU</v>
      </c>
      <c r="AX9" s="345" t="str">
        <f>IF(coder1_YH!AG9="",AX8,coder1_YH!AG9)</f>
        <v>BAU</v>
      </c>
      <c r="AY9" s="345" t="str">
        <f>IF(coder1_YH!AH9="",AY8,coder1_YH!AH9)</f>
        <v>BAU</v>
      </c>
      <c r="AZ9" s="345" t="str">
        <f>IF(coder1_YH!AI9 = "", AZ8, IF(coder1_YH!AI9="BAU","BAU",LEFT(coder1_YH!AI9)))</f>
        <v>BAU</v>
      </c>
      <c r="BA9" s="384">
        <f>clean_data!Y9</f>
        <v>36</v>
      </c>
    </row>
    <row r="10" spans="1:53" x14ac:dyDescent="0.2">
      <c r="A10">
        <f>coder1_YH!B10</f>
        <v>0</v>
      </c>
      <c r="B10">
        <f>coder1_YH!C10</f>
        <v>10</v>
      </c>
      <c r="C10">
        <f>coder1_YH!D10</f>
        <v>0</v>
      </c>
      <c r="D10">
        <f>coder1_YH!E10</f>
        <v>0</v>
      </c>
      <c r="E10" t="b">
        <f>coder1_YH!F10</f>
        <v>1</v>
      </c>
      <c r="F10" s="321" t="str">
        <f>IF(coder1_YH!G10="", clean_mod!F9, coder1_YH!G10)</f>
        <v>Toste et al., 2017</v>
      </c>
      <c r="G10" s="321" t="str">
        <f t="shared" si="1"/>
        <v>103</v>
      </c>
      <c r="H10" s="321">
        <f>IF(coder1_YH!H10="", clean_mod!H9, coder1_YH!H10)</f>
        <v>103</v>
      </c>
      <c r="I10" s="404" t="str">
        <f t="shared" si="2"/>
        <v>2017</v>
      </c>
      <c r="J10" s="344" t="str">
        <f>IF(coder1_YH!I10="",J9,coder1_YH!I10)</f>
        <v>USA</v>
      </c>
      <c r="K10" s="345">
        <f t="shared" si="3"/>
        <v>0</v>
      </c>
      <c r="L10" s="344" t="str">
        <f>IF(coder1_YH!J10 = "",L9, coder1_YH!J10)</f>
        <v>English</v>
      </c>
      <c r="M10" s="345">
        <f t="shared" si="4"/>
        <v>0</v>
      </c>
      <c r="N10" s="345" t="str">
        <f>IF(coder1_YH!K10 = "", N9, LEFT(coder1_YH!K10,1))</f>
        <v>0</v>
      </c>
      <c r="O10" s="345" t="str">
        <f>IF(coder1_YH!L10 = "", O9, LEFT(coder1_YH!L10,1))</f>
        <v>0</v>
      </c>
      <c r="P10" s="345" t="str">
        <f>IF(coder1_YH!M10 = "", P9, LEFT(coder1_YH!M10,1))</f>
        <v>0</v>
      </c>
      <c r="Q10" s="321">
        <f>coder1_YH!P10</f>
        <v>2</v>
      </c>
      <c r="R10" s="321" t="str">
        <f>coder1_YH!Q10</f>
        <v>MWR only</v>
      </c>
      <c r="S10" s="323" t="str">
        <f t="shared" si="5"/>
        <v/>
      </c>
      <c r="T10" s="323" t="str">
        <f t="shared" si="6"/>
        <v/>
      </c>
      <c r="U10" s="323" t="str">
        <f t="shared" si="7"/>
        <v/>
      </c>
      <c r="V10" s="323" t="str">
        <f t="shared" si="8"/>
        <v/>
      </c>
      <c r="W10" s="323">
        <f t="shared" si="9"/>
        <v>0</v>
      </c>
      <c r="X10" s="385" t="str">
        <f>IF(coder1_YH!N10 = "",X9,coder1_YH!N10)</f>
        <v>.</v>
      </c>
      <c r="Y10" s="385" t="str">
        <f>IF(coder1_YH!O10 = "",Y9,coder1_YH!O10)</f>
        <v xml:space="preserve">c </v>
      </c>
      <c r="Z10" s="385" t="str">
        <f t="shared" si="10"/>
        <v/>
      </c>
      <c r="AA10" s="385" t="str">
        <f t="shared" si="11"/>
        <v>R</v>
      </c>
      <c r="AB10" s="385" t="str">
        <f t="shared" si="12"/>
        <v>R</v>
      </c>
      <c r="AC10" s="323" t="str">
        <f t="shared" si="13"/>
        <v xml:space="preserve">.c </v>
      </c>
      <c r="AD10" s="323" t="str">
        <f t="shared" si="14"/>
        <v>R</v>
      </c>
      <c r="AF10" s="369" t="str">
        <f t="shared" si="15"/>
        <v xml:space="preserve">103-.c </v>
      </c>
      <c r="AG10" s="369" t="str">
        <f t="shared" si="16"/>
        <v>103-R</v>
      </c>
      <c r="AH10" s="344" t="str">
        <f>IF(coder1_YH!R10="",AH9,coder1_YH!R10)</f>
        <v>3, 4</v>
      </c>
      <c r="AI10" s="344">
        <f t="shared" si="0"/>
        <v>3.5</v>
      </c>
      <c r="AJ10" s="345">
        <f t="shared" si="17"/>
        <v>0</v>
      </c>
      <c r="AK10" s="408">
        <f>IF(coder1_YH!S10="",AK9,coder1_YH!S10)</f>
        <v>8.8389830508474585</v>
      </c>
      <c r="AL10" s="345">
        <f>IF(coder1_YH!T10="",AL9,IF(coder1_YH!T10="mixed",0.25,coder1_YH!T10))</f>
        <v>1</v>
      </c>
      <c r="AM10" s="345" t="str">
        <f>IF(coder1_YH!U10 = "", AM9, IF(coder1_YH!U10="mixed","NA",coder1_YH!U10))</f>
        <v>NA</v>
      </c>
      <c r="AN10" s="345">
        <f>IF(coder1_YH!V10="",AN9,coder1_YH!V10)</f>
        <v>0.6875</v>
      </c>
      <c r="AO10" s="345" t="str">
        <f>IF(coder1_YH!W10="",AO9,coder1_YH!W10)</f>
        <v>NA</v>
      </c>
      <c r="AP10" s="345">
        <f>IF(coder1_YH!X10="",AP9,coder1_YH!X10)</f>
        <v>0.49152542372881358</v>
      </c>
      <c r="AQ10" s="345">
        <f>IF(coder1_YH!Y10="",AQ9,coder1_YH!Y10)</f>
        <v>0.91249999999999998</v>
      </c>
      <c r="AR10" t="str">
        <f>coder1_YH!AB10</f>
        <v>0 = Researcher-developed curriculum</v>
      </c>
      <c r="AS10" s="345" t="str">
        <f>IF(coder1_YH!AC10 = "", AS9,IF(coder1_YH!AC10="BAU","BAU",LEFT(coder1_YH!AC10)))</f>
        <v>1</v>
      </c>
      <c r="AT10" s="345" t="str">
        <f>IF(coder1_YH!AD10 = "", AT9,IF(coder1_YH!AD10="BAU","BAU",LEFT(coder1_YH!AD10)))</f>
        <v>1</v>
      </c>
      <c r="AU10" s="345" t="str">
        <f>IF(coder1_YH!AE10 = "", AU9,IF(coder1_YH!AE10="BAU","BAU",LEFT(coder1_YH!AE10)))</f>
        <v>0</v>
      </c>
      <c r="AV10" s="345">
        <f>IF(coder1_YH!AF10="",AV9,coder1_YH!AF10)</f>
        <v>840</v>
      </c>
      <c r="AW10" s="345">
        <f t="shared" si="18"/>
        <v>14</v>
      </c>
      <c r="AX10" s="345">
        <f>IF(coder1_YH!AG10="",AX9,coder1_YH!AG10)</f>
        <v>24</v>
      </c>
      <c r="AY10" s="345">
        <f>IF(coder1_YH!AH10="",AY9,coder1_YH!AH10)</f>
        <v>35</v>
      </c>
      <c r="AZ10" s="345" t="str">
        <f>IF(coder1_YH!AI10 = "", AZ9, IF(coder1_YH!AI10="BAU","BAU",LEFT(coder1_YH!AI10)))</f>
        <v>1</v>
      </c>
      <c r="BA10" s="384">
        <f>clean_data!Y10</f>
        <v>18</v>
      </c>
    </row>
    <row r="11" spans="1:53" x14ac:dyDescent="0.2">
      <c r="A11">
        <f>coder1_YH!B11</f>
        <v>0</v>
      </c>
      <c r="B11">
        <f>coder1_YH!C11</f>
        <v>11</v>
      </c>
      <c r="C11" t="b">
        <f>coder1_YH!D11</f>
        <v>1</v>
      </c>
      <c r="D11" t="b">
        <f>coder1_YH!E11</f>
        <v>1</v>
      </c>
      <c r="E11" t="b">
        <f>coder1_YH!F11</f>
        <v>1</v>
      </c>
      <c r="F11" s="321" t="str">
        <f>IF(coder1_YH!G11="", clean_mod!F10, coder1_YH!G11)</f>
        <v>Toste et al., 2017</v>
      </c>
      <c r="G11" s="321" t="str">
        <f t="shared" si="1"/>
        <v>103</v>
      </c>
      <c r="H11" s="321">
        <f>IF(coder1_YH!H11="", clean_mod!H10, coder1_YH!H11)</f>
        <v>103</v>
      </c>
      <c r="I11" s="404" t="str">
        <f t="shared" si="2"/>
        <v>2017</v>
      </c>
      <c r="J11" s="344" t="str">
        <f>IF(coder1_YH!I11="",J10,coder1_YH!I11)</f>
        <v>USA</v>
      </c>
      <c r="K11" s="345">
        <f t="shared" si="3"/>
        <v>0</v>
      </c>
      <c r="L11" s="344" t="str">
        <f>IF(coder1_YH!J11 = "",L10, coder1_YH!J11)</f>
        <v>English</v>
      </c>
      <c r="M11" s="345">
        <f t="shared" si="4"/>
        <v>0</v>
      </c>
      <c r="N11" s="345" t="str">
        <f>IF(coder1_YH!K11 = "", N10, LEFT(coder1_YH!K11,1))</f>
        <v>0</v>
      </c>
      <c r="O11" s="345" t="str">
        <f>IF(coder1_YH!L11 = "", O10, LEFT(coder1_YH!L11,1))</f>
        <v>0</v>
      </c>
      <c r="P11" s="345" t="str">
        <f>IF(coder1_YH!M11 = "", P10, LEFT(coder1_YH!M11,1))</f>
        <v>0</v>
      </c>
      <c r="Q11" s="321">
        <f>coder1_YH!P11</f>
        <v>1</v>
      </c>
      <c r="R11" s="321" t="str">
        <f>coder1_YH!Q11</f>
        <v>MWR + MB</v>
      </c>
      <c r="S11" s="323" t="str">
        <f t="shared" si="5"/>
        <v/>
      </c>
      <c r="T11" s="323" t="str">
        <f t="shared" si="6"/>
        <v/>
      </c>
      <c r="U11" s="323" t="str">
        <f t="shared" si="7"/>
        <v/>
      </c>
      <c r="V11" s="323" t="str">
        <f t="shared" si="8"/>
        <v>T</v>
      </c>
      <c r="W11" s="323">
        <f t="shared" si="9"/>
        <v>1</v>
      </c>
      <c r="X11" s="385" t="str">
        <f>IF(coder1_YH!N11 = "",X10,coder1_YH!N11)</f>
        <v>T</v>
      </c>
      <c r="Y11" s="385" t="str">
        <f>IF(coder1_YH!O11 = "",Y10,coder1_YH!O11)</f>
        <v xml:space="preserve">c </v>
      </c>
      <c r="Z11" s="385" t="str">
        <f t="shared" si="10"/>
        <v>M</v>
      </c>
      <c r="AA11" s="385" t="str">
        <f t="shared" si="11"/>
        <v>R</v>
      </c>
      <c r="AB11" s="385" t="str">
        <f t="shared" si="12"/>
        <v>MR</v>
      </c>
      <c r="AC11" s="323" t="str">
        <f t="shared" si="13"/>
        <v xml:space="preserve">Tc </v>
      </c>
      <c r="AD11" s="323" t="str">
        <f t="shared" si="14"/>
        <v>T_R</v>
      </c>
      <c r="AE11" s="323">
        <f>IF(Y11="cm", 1,0)</f>
        <v>0</v>
      </c>
      <c r="AF11" s="369" t="str">
        <f t="shared" si="15"/>
        <v xml:space="preserve">103-Tc </v>
      </c>
      <c r="AG11" s="369" t="str">
        <f t="shared" si="16"/>
        <v>103-T_R</v>
      </c>
      <c r="AH11" s="344" t="str">
        <f>IF(coder1_YH!R11="",AH10,coder1_YH!R11)</f>
        <v>3, 4</v>
      </c>
      <c r="AI11" s="344">
        <f t="shared" si="0"/>
        <v>3.5</v>
      </c>
      <c r="AJ11" s="345">
        <f t="shared" si="17"/>
        <v>0</v>
      </c>
      <c r="AK11" s="408">
        <f>IF(coder1_YH!S11="",AK10,coder1_YH!S11)</f>
        <v>8.8389830508474585</v>
      </c>
      <c r="AL11" s="345">
        <f>IF(coder1_YH!T11="",AL10,IF(coder1_YH!T11="mixed",0.25,coder1_YH!T11))</f>
        <v>1</v>
      </c>
      <c r="AM11" s="345" t="str">
        <f>IF(coder1_YH!U11 = "", AM10, IF(coder1_YH!U11="mixed","NA",coder1_YH!U11))</f>
        <v>NA</v>
      </c>
      <c r="AN11" s="345">
        <f>IF(coder1_YH!V11="",AN10,coder1_YH!V11)</f>
        <v>0.6875</v>
      </c>
      <c r="AO11" s="345" t="str">
        <f>IF(coder1_YH!W11="",AO10,coder1_YH!W11)</f>
        <v>NA</v>
      </c>
      <c r="AP11" s="345">
        <f>IF(coder1_YH!X11="",AP10,coder1_YH!X11)</f>
        <v>0.49152542372881358</v>
      </c>
      <c r="AQ11" s="345">
        <f>IF(coder1_YH!Y11="",AQ10,coder1_YH!Y11)</f>
        <v>0.91249999999999998</v>
      </c>
      <c r="AR11" t="str">
        <f>coder1_YH!AB11</f>
        <v>0 = Researcher-developed curriculum</v>
      </c>
      <c r="AS11" s="345" t="str">
        <f>IF(coder1_YH!AC11 = "", AS10,IF(coder1_YH!AC11="BAU","BAU",LEFT(coder1_YH!AC11)))</f>
        <v>1</v>
      </c>
      <c r="AT11" s="345" t="str">
        <f>IF(coder1_YH!AD11 = "", AT10,IF(coder1_YH!AD11="BAU","BAU",LEFT(coder1_YH!AD11)))</f>
        <v>1</v>
      </c>
      <c r="AU11" s="345" t="str">
        <f>IF(coder1_YH!AE11 = "", AU10,IF(coder1_YH!AE11="BAU","BAU",LEFT(coder1_YH!AE11)))</f>
        <v>0</v>
      </c>
      <c r="AV11" s="345">
        <f>IF(coder1_YH!AF11="",AV10,coder1_YH!AF11)</f>
        <v>960</v>
      </c>
      <c r="AW11" s="345">
        <f t="shared" si="18"/>
        <v>16</v>
      </c>
      <c r="AX11" s="345">
        <f>IF(coder1_YH!AG11="",AX10,coder1_YH!AG11)</f>
        <v>24</v>
      </c>
      <c r="AY11" s="345">
        <f>IF(coder1_YH!AH11="",AY10,coder1_YH!AH11)</f>
        <v>40</v>
      </c>
      <c r="AZ11" s="345" t="str">
        <f>IF(coder1_YH!AI11 = "", AZ10, IF(coder1_YH!AI11="BAU","BAU",LEFT(coder1_YH!AI11)))</f>
        <v>1</v>
      </c>
      <c r="BA11" s="384">
        <f>clean_data!Y11</f>
        <v>19</v>
      </c>
    </row>
    <row r="12" spans="1:53" x14ac:dyDescent="0.2">
      <c r="A12">
        <f>coder1_YH!B12</f>
        <v>0</v>
      </c>
      <c r="B12">
        <f>coder1_YH!C12</f>
        <v>12</v>
      </c>
      <c r="C12">
        <f>coder1_YH!D12</f>
        <v>0</v>
      </c>
      <c r="D12">
        <f>coder1_YH!E12</f>
        <v>0</v>
      </c>
      <c r="E12" t="b">
        <f>coder1_YH!F12</f>
        <v>1</v>
      </c>
      <c r="F12" s="321" t="str">
        <f>IF(coder1_YH!G12="", clean_mod!F11, coder1_YH!G12)</f>
        <v>Toste et al., 2017</v>
      </c>
      <c r="G12" s="321" t="str">
        <f t="shared" si="1"/>
        <v>103</v>
      </c>
      <c r="H12" s="321">
        <f>IF(coder1_YH!H12="", clean_mod!H11, coder1_YH!H12)</f>
        <v>103</v>
      </c>
      <c r="I12" s="404" t="str">
        <f t="shared" si="2"/>
        <v>2017</v>
      </c>
      <c r="J12" s="344" t="str">
        <f>IF(coder1_YH!I12="",J11,coder1_YH!I12)</f>
        <v>USA</v>
      </c>
      <c r="K12" s="345">
        <f t="shared" si="3"/>
        <v>0</v>
      </c>
      <c r="L12" s="344" t="str">
        <f>IF(coder1_YH!J12 = "",L11, coder1_YH!J12)</f>
        <v>English</v>
      </c>
      <c r="M12" s="345">
        <f t="shared" si="4"/>
        <v>0</v>
      </c>
      <c r="N12" s="345" t="str">
        <f>IF(coder1_YH!K12 = "", N11, LEFT(coder1_YH!K12,1))</f>
        <v>0</v>
      </c>
      <c r="O12" s="345" t="str">
        <f>IF(coder1_YH!L12 = "", O11, LEFT(coder1_YH!L12,1))</f>
        <v>0</v>
      </c>
      <c r="P12" s="345" t="str">
        <f>IF(coder1_YH!M12 = "", P11, LEFT(coder1_YH!M12,1))</f>
        <v>0</v>
      </c>
      <c r="Q12" s="321" t="str">
        <f>coder1_YH!P12</f>
        <v>ctl</v>
      </c>
      <c r="R12" s="321" t="str">
        <f>coder1_YH!Q12</f>
        <v>BAU</v>
      </c>
      <c r="S12" s="323" t="str">
        <f t="shared" si="5"/>
        <v/>
      </c>
      <c r="T12" s="323" t="str">
        <f t="shared" si="6"/>
        <v/>
      </c>
      <c r="U12" s="323" t="str">
        <f t="shared" si="7"/>
        <v/>
      </c>
      <c r="V12" s="323" t="str">
        <f t="shared" si="8"/>
        <v/>
      </c>
      <c r="W12" s="323">
        <f t="shared" si="9"/>
        <v>0</v>
      </c>
      <c r="X12" s="385" t="str">
        <f>IF(coder1_YH!N12 = "",X11,coder1_YH!N12)</f>
        <v>.</v>
      </c>
      <c r="Y12" s="385" t="str">
        <f>IF(coder1_YH!O12 = "",Y11,coder1_YH!O12)</f>
        <v>.</v>
      </c>
      <c r="Z12" s="385" t="str">
        <f t="shared" si="10"/>
        <v/>
      </c>
      <c r="AA12" s="385" t="str">
        <f t="shared" si="11"/>
        <v>BAU</v>
      </c>
      <c r="AB12" s="385" t="str">
        <f t="shared" si="12"/>
        <v>BAU</v>
      </c>
      <c r="AC12" s="323" t="str">
        <f t="shared" si="13"/>
        <v>..</v>
      </c>
      <c r="AD12" s="323" t="str">
        <f t="shared" si="14"/>
        <v>BAU</v>
      </c>
      <c r="AF12" s="369" t="str">
        <f t="shared" si="15"/>
        <v>103-..</v>
      </c>
      <c r="AG12" s="369" t="str">
        <f t="shared" si="16"/>
        <v>103-BAU</v>
      </c>
      <c r="AH12" s="344" t="str">
        <f>IF(coder1_YH!R12="",AH11,coder1_YH!R12)</f>
        <v>3, 4</v>
      </c>
      <c r="AI12" s="344">
        <f t="shared" si="0"/>
        <v>3.5</v>
      </c>
      <c r="AJ12" s="345">
        <f t="shared" si="17"/>
        <v>0</v>
      </c>
      <c r="AK12" s="408">
        <f>IF(coder1_YH!S12="",AK11,coder1_YH!S12)</f>
        <v>8.8389830508474585</v>
      </c>
      <c r="AL12" s="345">
        <f>IF(coder1_YH!T12="",AL11,IF(coder1_YH!T12="mixed",0.25,coder1_YH!T12))</f>
        <v>1</v>
      </c>
      <c r="AM12" s="345" t="str">
        <f>IF(coder1_YH!U12 = "", AM11, IF(coder1_YH!U12="mixed","NA",coder1_YH!U12))</f>
        <v>NA</v>
      </c>
      <c r="AN12" s="345">
        <f>IF(coder1_YH!V12="",AN11,coder1_YH!V12)</f>
        <v>0.6875</v>
      </c>
      <c r="AO12" s="345" t="str">
        <f>IF(coder1_YH!W12="",AO11,coder1_YH!W12)</f>
        <v>NA</v>
      </c>
      <c r="AP12" s="345">
        <f>IF(coder1_YH!X12="",AP11,coder1_YH!X12)</f>
        <v>0.49152542372881358</v>
      </c>
      <c r="AQ12" s="345">
        <f>IF(coder1_YH!Y12="",AQ11,coder1_YH!Y12)</f>
        <v>0.91249999999999998</v>
      </c>
      <c r="AR12" t="str">
        <f>coder1_YH!AB12</f>
        <v>2 = District/State curriculum</v>
      </c>
      <c r="AS12" s="345" t="str">
        <f>IF(coder1_YH!AC12 = "", AS11,IF(coder1_YH!AC12="BAU","BAU",LEFT(coder1_YH!AC12)))</f>
        <v>BAU</v>
      </c>
      <c r="AT12" s="345" t="str">
        <f>IF(coder1_YH!AD12 = "", AT11,IF(coder1_YH!AD12="BAU","BAU",LEFT(coder1_YH!AD12)))</f>
        <v>BAU</v>
      </c>
      <c r="AU12" s="345" t="str">
        <f>IF(coder1_YH!AE12 = "", AU11,IF(coder1_YH!AE12="BAU","BAU",LEFT(coder1_YH!AE12)))</f>
        <v>BAU</v>
      </c>
      <c r="AV12" s="345" t="str">
        <f>IF(coder1_YH!AF12="",AV11,coder1_YH!AF12)</f>
        <v>BAU</v>
      </c>
      <c r="AW12" s="345" t="str">
        <f t="shared" si="18"/>
        <v>BAU</v>
      </c>
      <c r="AX12" s="345" t="str">
        <f>IF(coder1_YH!AG12="",AX11,coder1_YH!AG12)</f>
        <v>BAU</v>
      </c>
      <c r="AY12" s="345" t="str">
        <f>IF(coder1_YH!AH12="",AY11,coder1_YH!AH12)</f>
        <v>BAU</v>
      </c>
      <c r="AZ12" s="345" t="str">
        <f>IF(coder1_YH!AI12 = "", AZ11, IF(coder1_YH!AI12="BAU","BAU",LEFT(coder1_YH!AI12)))</f>
        <v>BAU</v>
      </c>
      <c r="BA12" s="384">
        <f>clean_data!Y12</f>
        <v>21</v>
      </c>
    </row>
    <row r="13" spans="1:53" x14ac:dyDescent="0.2">
      <c r="A13">
        <f>coder1_YH!B13</f>
        <v>0</v>
      </c>
      <c r="B13">
        <f>coder1_YH!C13</f>
        <v>13</v>
      </c>
      <c r="C13" t="b">
        <f>coder1_YH!D13</f>
        <v>1</v>
      </c>
      <c r="D13" t="b">
        <f>coder1_YH!E13</f>
        <v>1</v>
      </c>
      <c r="E13" t="b">
        <f>coder1_YH!F13</f>
        <v>1</v>
      </c>
      <c r="F13" s="321" t="str">
        <f>IF(coder1_YH!G13="", clean_mod!F12, coder1_YH!G13)</f>
        <v>Berkeley et al., 2011</v>
      </c>
      <c r="G13" s="321" t="str">
        <f t="shared" si="1"/>
        <v>104</v>
      </c>
      <c r="H13" s="321">
        <f>IF(coder1_YH!H13="", clean_mod!H12, coder1_YH!H13)</f>
        <v>104</v>
      </c>
      <c r="I13" s="404" t="str">
        <f t="shared" si="2"/>
        <v>2011</v>
      </c>
      <c r="J13" s="344" t="str">
        <f>IF(coder1_YH!I13="",J12,coder1_YH!I13)</f>
        <v>USA</v>
      </c>
      <c r="K13" s="345">
        <f t="shared" si="3"/>
        <v>0</v>
      </c>
      <c r="L13" s="344" t="str">
        <f>IF(coder1_YH!J13 = "",L12, coder1_YH!J13)</f>
        <v>English</v>
      </c>
      <c r="M13" s="345">
        <f t="shared" si="4"/>
        <v>0</v>
      </c>
      <c r="N13" s="345" t="str">
        <f>IF(coder1_YH!K13 = "", N12, LEFT(coder1_YH!K13,1))</f>
        <v>0</v>
      </c>
      <c r="O13" s="345" t="str">
        <f>IF(coder1_YH!L13 = "", O12, LEFT(coder1_YH!L13,1))</f>
        <v>0</v>
      </c>
      <c r="P13" s="345" t="str">
        <f>IF(coder1_YH!M13 = "", P12, LEFT(coder1_YH!M13,1))</f>
        <v>0</v>
      </c>
      <c r="Q13" s="321">
        <f>coder1_YH!P13</f>
        <v>1</v>
      </c>
      <c r="R13" s="321" t="str">
        <f>coder1_YH!Q13</f>
        <v>RCS + AR</v>
      </c>
      <c r="S13" s="323" t="str">
        <f t="shared" si="5"/>
        <v>N</v>
      </c>
      <c r="T13" s="323" t="str">
        <f t="shared" si="6"/>
        <v/>
      </c>
      <c r="U13" s="323" t="str">
        <f t="shared" si="7"/>
        <v/>
      </c>
      <c r="V13" s="323" t="str">
        <f t="shared" si="8"/>
        <v>T</v>
      </c>
      <c r="W13" s="323">
        <f t="shared" si="9"/>
        <v>2</v>
      </c>
      <c r="X13" s="385" t="str">
        <f>IF(coder1_YH!N13 = "",X12,coder1_YH!N13)</f>
        <v>NT</v>
      </c>
      <c r="Y13" s="385" t="str">
        <f>IF(coder1_YH!O13 = "",Y12,coder1_YH!O13)</f>
        <v xml:space="preserve">m </v>
      </c>
      <c r="Z13" s="385" t="str">
        <f t="shared" si="10"/>
        <v>M</v>
      </c>
      <c r="AA13" s="385" t="str">
        <f t="shared" si="11"/>
        <v>R</v>
      </c>
      <c r="AB13" s="385" t="str">
        <f t="shared" si="12"/>
        <v>MR</v>
      </c>
      <c r="AC13" s="323" t="str">
        <f t="shared" si="13"/>
        <v xml:space="preserve">NTm </v>
      </c>
      <c r="AD13" s="323" t="str">
        <f t="shared" si="14"/>
        <v>NT_R</v>
      </c>
      <c r="AE13" s="323">
        <f>IF(Y13="cm", 1,0)</f>
        <v>0</v>
      </c>
      <c r="AF13" s="369" t="str">
        <f t="shared" si="15"/>
        <v xml:space="preserve">104-NTm </v>
      </c>
      <c r="AG13" s="369" t="str">
        <f t="shared" si="16"/>
        <v>104-NT_R</v>
      </c>
      <c r="AH13" s="344" t="str">
        <f>IF(coder1_YH!R13="",AH12,coder1_YH!R13)</f>
        <v>7, 8, 9</v>
      </c>
      <c r="AI13" s="344">
        <f t="shared" si="0"/>
        <v>8</v>
      </c>
      <c r="AJ13" s="345">
        <f t="shared" si="17"/>
        <v>1</v>
      </c>
      <c r="AK13" s="408">
        <f>IF(coder1_YH!S13="",AK12,coder1_YH!S13)</f>
        <v>14.737499999999999</v>
      </c>
      <c r="AL13" s="345">
        <f>IF(coder1_YH!T13="",AL12,IF(coder1_YH!T13="mixed",0.25,coder1_YH!T13))</f>
        <v>1</v>
      </c>
      <c r="AM13" s="345">
        <f>IF(coder1_YH!U13 = "", AM12, IF(coder1_YH!U13="mixed","NA",coder1_YH!U13))</f>
        <v>1</v>
      </c>
      <c r="AN13" s="345" t="str">
        <f>IF(coder1_YH!V13="",AN12,coder1_YH!V13)</f>
        <v>NA</v>
      </c>
      <c r="AO13" s="345">
        <f>IF(coder1_YH!W13="",AO12,coder1_YH!W13)</f>
        <v>0.30000000000000004</v>
      </c>
      <c r="AP13" s="345">
        <f>IF(coder1_YH!X13="",AP12,coder1_YH!X13)</f>
        <v>0.75</v>
      </c>
      <c r="AQ13" s="345">
        <f>IF(coder1_YH!Y13="",AQ12,coder1_YH!Y13)</f>
        <v>0.75</v>
      </c>
      <c r="AR13" t="str">
        <f>coder1_YH!AB13</f>
        <v>0 = Researcher-developed curriculum</v>
      </c>
      <c r="AS13" s="345" t="str">
        <f>IF(coder1_YH!AC13 = "", AS12,IF(coder1_YH!AC13="BAU","BAU",LEFT(coder1_YH!AC13)))</f>
        <v>1</v>
      </c>
      <c r="AT13" s="345" t="str">
        <f>IF(coder1_YH!AD13 = "", AT12,IF(coder1_YH!AD13="BAU","BAU",LEFT(coder1_YH!AD13)))</f>
        <v>1</v>
      </c>
      <c r="AU13" s="345" t="str">
        <f>IF(coder1_YH!AE13 = "", AU12,IF(coder1_YH!AE13="BAU","BAU",LEFT(coder1_YH!AE13)))</f>
        <v>0</v>
      </c>
      <c r="AV13" s="345">
        <f>IF(coder1_YH!AF13="",AV12,coder1_YH!AF13)</f>
        <v>360</v>
      </c>
      <c r="AW13" s="345">
        <f t="shared" si="18"/>
        <v>6</v>
      </c>
      <c r="AX13" s="345">
        <f>IF(coder1_YH!AG13="",AX12,coder1_YH!AG13)</f>
        <v>12</v>
      </c>
      <c r="AY13" s="345">
        <f>IF(coder1_YH!AH13="",AY12,coder1_YH!AH13)</f>
        <v>30</v>
      </c>
      <c r="AZ13" s="345" t="str">
        <f>IF(coder1_YH!AI13 = "", AZ12, IF(coder1_YH!AI13="BAU","BAU",LEFT(coder1_YH!AI13)))</f>
        <v>1</v>
      </c>
      <c r="BA13" s="384">
        <f>clean_data!Y13</f>
        <v>20</v>
      </c>
    </row>
    <row r="14" spans="1:53" x14ac:dyDescent="0.2">
      <c r="A14">
        <f>coder1_YH!B14</f>
        <v>0</v>
      </c>
      <c r="B14">
        <f>coder1_YH!C14</f>
        <v>14</v>
      </c>
      <c r="C14">
        <f>coder1_YH!D14</f>
        <v>0</v>
      </c>
      <c r="D14" t="str">
        <f>coder1_YH!E14</f>
        <v/>
      </c>
      <c r="E14" t="str">
        <f>coder1_YH!F14</f>
        <v/>
      </c>
      <c r="F14" s="321" t="str">
        <f>IF(coder1_YH!G14="", clean_mod!F13, coder1_YH!G14)</f>
        <v>Berkeley et al., 2011</v>
      </c>
      <c r="G14" s="321" t="str">
        <f t="shared" si="1"/>
        <v>104</v>
      </c>
      <c r="H14" s="321">
        <f>IF(coder1_YH!H14="", clean_mod!H13, coder1_YH!H14)</f>
        <v>104</v>
      </c>
      <c r="I14" s="404" t="str">
        <f t="shared" si="2"/>
        <v>2011</v>
      </c>
      <c r="J14" s="344" t="str">
        <f>IF(coder1_YH!I14="",J13,coder1_YH!I14)</f>
        <v>USA</v>
      </c>
      <c r="K14" s="345">
        <f t="shared" si="3"/>
        <v>0</v>
      </c>
      <c r="L14" s="344" t="str">
        <f>IF(coder1_YH!J14 = "",L13, coder1_YH!J14)</f>
        <v>English</v>
      </c>
      <c r="M14" s="345">
        <f t="shared" si="4"/>
        <v>0</v>
      </c>
      <c r="N14" s="345" t="str">
        <f>IF(coder1_YH!K14 = "", N13, LEFT(coder1_YH!K14,1))</f>
        <v>0</v>
      </c>
      <c r="O14" s="345" t="str">
        <f>IF(coder1_YH!L14 = "", O13, LEFT(coder1_YH!L14,1))</f>
        <v>0</v>
      </c>
      <c r="P14" s="345" t="str">
        <f>IF(coder1_YH!M14 = "", P13, LEFT(coder1_YH!M14,1))</f>
        <v>0</v>
      </c>
      <c r="Q14" s="321">
        <f>coder1_YH!P14</f>
        <v>0</v>
      </c>
      <c r="R14" s="321">
        <f>coder1_YH!Q14</f>
        <v>0</v>
      </c>
      <c r="S14" s="323" t="str">
        <f t="shared" si="5"/>
        <v>N</v>
      </c>
      <c r="T14" s="323" t="str">
        <f t="shared" si="6"/>
        <v/>
      </c>
      <c r="U14" s="323" t="str">
        <f t="shared" si="7"/>
        <v/>
      </c>
      <c r="V14" s="323" t="str">
        <f t="shared" si="8"/>
        <v>T</v>
      </c>
      <c r="W14" s="323">
        <f t="shared" si="9"/>
        <v>2</v>
      </c>
      <c r="X14" s="385" t="str">
        <f>IF(coder1_YH!N14 = "",X13,coder1_YH!N14)</f>
        <v>NT</v>
      </c>
      <c r="Y14" s="385" t="str">
        <f>IF(coder1_YH!O14 = "",Y13,coder1_YH!O14)</f>
        <v xml:space="preserve">m </v>
      </c>
      <c r="Z14" s="385" t="str">
        <f t="shared" si="10"/>
        <v>M</v>
      </c>
      <c r="AA14" s="385" t="str">
        <f t="shared" si="11"/>
        <v>R</v>
      </c>
      <c r="AB14" s="385" t="str">
        <f t="shared" si="12"/>
        <v>MR</v>
      </c>
      <c r="AC14" s="323" t="str">
        <f t="shared" si="13"/>
        <v xml:space="preserve">NTm </v>
      </c>
      <c r="AD14" s="323" t="str">
        <f t="shared" si="14"/>
        <v>NT_R</v>
      </c>
      <c r="AF14" s="369" t="str">
        <f t="shared" si="15"/>
        <v xml:space="preserve">104-NTm </v>
      </c>
      <c r="AG14" s="369" t="str">
        <f t="shared" si="16"/>
        <v>104-NT_R</v>
      </c>
      <c r="AH14" s="344" t="str">
        <f>IF(coder1_YH!R14="",AH13,coder1_YH!R14)</f>
        <v>7, 8, 9</v>
      </c>
      <c r="AI14" s="344">
        <f t="shared" si="0"/>
        <v>8</v>
      </c>
      <c r="AJ14" s="345">
        <f t="shared" si="17"/>
        <v>1</v>
      </c>
      <c r="AK14" s="408">
        <f>IF(coder1_YH!S14="",AK13,coder1_YH!S14)</f>
        <v>14.737499999999999</v>
      </c>
      <c r="AL14" s="345">
        <f>IF(coder1_YH!T14="",AL13,IF(coder1_YH!T14="mixed",0.25,coder1_YH!T14))</f>
        <v>1</v>
      </c>
      <c r="AM14" s="345">
        <f>IF(coder1_YH!U14 = "", AM13, IF(coder1_YH!U14="mixed","NA",coder1_YH!U14))</f>
        <v>1</v>
      </c>
      <c r="AN14" s="345" t="str">
        <f>IF(coder1_YH!V14="",AN13,coder1_YH!V14)</f>
        <v>NA</v>
      </c>
      <c r="AO14" s="345">
        <f>IF(coder1_YH!W14="",AO13,coder1_YH!W14)</f>
        <v>0.30000000000000004</v>
      </c>
      <c r="AP14" s="345">
        <f>IF(coder1_YH!X14="",AP13,coder1_YH!X14)</f>
        <v>0.75</v>
      </c>
      <c r="AQ14" s="345">
        <f>IF(coder1_YH!Y14="",AQ13,coder1_YH!Y14)</f>
        <v>0.75</v>
      </c>
      <c r="AR14">
        <f>coder1_YH!AB14</f>
        <v>0</v>
      </c>
      <c r="AS14" s="345" t="str">
        <f>IF(coder1_YH!AC14 = "", AS13,IF(coder1_YH!AC14="BAU","BAU",LEFT(coder1_YH!AC14)))</f>
        <v>1</v>
      </c>
      <c r="AT14" s="345" t="str">
        <f>IF(coder1_YH!AD14 = "", AT13,IF(coder1_YH!AD14="BAU","BAU",LEFT(coder1_YH!AD14)))</f>
        <v>1</v>
      </c>
      <c r="AU14" s="345" t="str">
        <f>IF(coder1_YH!AE14 = "", AU13,IF(coder1_YH!AE14="BAU","BAU",LEFT(coder1_YH!AE14)))</f>
        <v>0</v>
      </c>
      <c r="AV14" s="345">
        <f>IF(coder1_YH!AF14="",AV13,coder1_YH!AF14)</f>
        <v>360</v>
      </c>
      <c r="AW14" s="345">
        <f t="shared" si="18"/>
        <v>6</v>
      </c>
      <c r="AX14" s="345">
        <f>IF(coder1_YH!AG14="",AX13,coder1_YH!AG14)</f>
        <v>12</v>
      </c>
      <c r="AY14" s="345">
        <f>IF(coder1_YH!AH14="",AY13,coder1_YH!AH14)</f>
        <v>30</v>
      </c>
      <c r="AZ14" s="345" t="str">
        <f>IF(coder1_YH!AI14 = "", AZ13, IF(coder1_YH!AI14="BAU","BAU",LEFT(coder1_YH!AI14)))</f>
        <v>1</v>
      </c>
      <c r="BA14" s="384">
        <f>clean_data!Y14</f>
        <v>20</v>
      </c>
    </row>
    <row r="15" spans="1:53" x14ac:dyDescent="0.2">
      <c r="A15">
        <f>coder1_YH!B15</f>
        <v>0</v>
      </c>
      <c r="B15">
        <f>coder1_YH!C15</f>
        <v>15</v>
      </c>
      <c r="C15">
        <f>coder1_YH!D15</f>
        <v>0</v>
      </c>
      <c r="D15" t="str">
        <f>coder1_YH!E15</f>
        <v/>
      </c>
      <c r="E15" t="b">
        <f>coder1_YH!F15</f>
        <v>1</v>
      </c>
      <c r="F15" s="321" t="str">
        <f>IF(coder1_YH!G15="", clean_mod!F14, coder1_YH!G15)</f>
        <v>Berkeley et al., 2011</v>
      </c>
      <c r="G15" s="321" t="str">
        <f t="shared" si="1"/>
        <v>104</v>
      </c>
      <c r="H15" s="321">
        <f>IF(coder1_YH!H15="", clean_mod!H14, coder1_YH!H15)</f>
        <v>104</v>
      </c>
      <c r="I15" s="404" t="str">
        <f t="shared" si="2"/>
        <v>2011</v>
      </c>
      <c r="J15" s="344" t="str">
        <f>IF(coder1_YH!I15="",J14,coder1_YH!I15)</f>
        <v>USA</v>
      </c>
      <c r="K15" s="345">
        <f t="shared" si="3"/>
        <v>0</v>
      </c>
      <c r="L15" s="344" t="str">
        <f>IF(coder1_YH!J15 = "",L14, coder1_YH!J15)</f>
        <v>English</v>
      </c>
      <c r="M15" s="345">
        <f t="shared" si="4"/>
        <v>0</v>
      </c>
      <c r="N15" s="345" t="str">
        <f>IF(coder1_YH!K15 = "", N14, LEFT(coder1_YH!K15,1))</f>
        <v>0</v>
      </c>
      <c r="O15" s="345" t="str">
        <f>IF(coder1_YH!L15 = "", O14, LEFT(coder1_YH!L15,1))</f>
        <v>0</v>
      </c>
      <c r="P15" s="345" t="str">
        <f>IF(coder1_YH!M15 = "", P14, LEFT(coder1_YH!M15,1))</f>
        <v>0</v>
      </c>
      <c r="Q15" s="321">
        <f>coder1_YH!P15</f>
        <v>2</v>
      </c>
      <c r="R15" s="321" t="str">
        <f>coder1_YH!Q15</f>
        <v>RCS</v>
      </c>
      <c r="S15" s="323" t="str">
        <f t="shared" si="5"/>
        <v>N</v>
      </c>
      <c r="T15" s="323" t="str">
        <f t="shared" si="6"/>
        <v/>
      </c>
      <c r="U15" s="323" t="str">
        <f t="shared" si="7"/>
        <v/>
      </c>
      <c r="V15" s="323" t="str">
        <f t="shared" si="8"/>
        <v/>
      </c>
      <c r="W15" s="323">
        <f t="shared" si="9"/>
        <v>1</v>
      </c>
      <c r="X15" s="385" t="str">
        <f>IF(coder1_YH!N15 = "",X14,coder1_YH!N15)</f>
        <v>N</v>
      </c>
      <c r="Y15" s="385" t="str">
        <f>IF(coder1_YH!O15 = "",Y14,coder1_YH!O15)</f>
        <v xml:space="preserve">m </v>
      </c>
      <c r="Z15" s="385" t="str">
        <f t="shared" si="10"/>
        <v>M</v>
      </c>
      <c r="AA15" s="385" t="str">
        <f t="shared" si="11"/>
        <v>R</v>
      </c>
      <c r="AB15" s="385" t="str">
        <f t="shared" si="12"/>
        <v>MR</v>
      </c>
      <c r="AC15" s="323" t="str">
        <f t="shared" si="13"/>
        <v xml:space="preserve">Nm </v>
      </c>
      <c r="AD15" s="323" t="str">
        <f t="shared" si="14"/>
        <v>N_R</v>
      </c>
      <c r="AF15" s="369" t="str">
        <f t="shared" si="15"/>
        <v xml:space="preserve">104-Nm </v>
      </c>
      <c r="AG15" s="369" t="str">
        <f t="shared" si="16"/>
        <v>104-N_R</v>
      </c>
      <c r="AH15" s="344" t="str">
        <f>IF(coder1_YH!R15="",AH14,coder1_YH!R15)</f>
        <v>7, 8, 9</v>
      </c>
      <c r="AI15" s="344">
        <f t="shared" si="0"/>
        <v>8</v>
      </c>
      <c r="AJ15" s="345">
        <f t="shared" si="17"/>
        <v>1</v>
      </c>
      <c r="AK15" s="408">
        <f>IF(coder1_YH!S15="",AK14,coder1_YH!S15)</f>
        <v>14.737499999999999</v>
      </c>
      <c r="AL15" s="345">
        <f>IF(coder1_YH!T15="",AL14,IF(coder1_YH!T15="mixed",0.25,coder1_YH!T15))</f>
        <v>1</v>
      </c>
      <c r="AM15" s="345">
        <f>IF(coder1_YH!U15 = "", AM14, IF(coder1_YH!U15="mixed","NA",coder1_YH!U15))</f>
        <v>1</v>
      </c>
      <c r="AN15" s="345" t="str">
        <f>IF(coder1_YH!V15="",AN14,coder1_YH!V15)</f>
        <v>NA</v>
      </c>
      <c r="AO15" s="345">
        <f>IF(coder1_YH!W15="",AO14,coder1_YH!W15)</f>
        <v>0.42105263157894735</v>
      </c>
      <c r="AP15" s="345">
        <f>IF(coder1_YH!X15="",AP14,coder1_YH!X15)</f>
        <v>0.57894736842105265</v>
      </c>
      <c r="AQ15" s="345">
        <f>IF(coder1_YH!Y15="",AQ14,coder1_YH!Y15)</f>
        <v>0.94736842105263164</v>
      </c>
      <c r="AR15" t="str">
        <f>coder1_YH!AB15</f>
        <v>0 = Researcher-developed curriculum</v>
      </c>
      <c r="AS15" s="345" t="str">
        <f>IF(coder1_YH!AC15 = "", AS14,IF(coder1_YH!AC15="BAU","BAU",LEFT(coder1_YH!AC15)))</f>
        <v>1</v>
      </c>
      <c r="AT15" s="345" t="str">
        <f>IF(coder1_YH!AD15 = "", AT14,IF(coder1_YH!AD15="BAU","BAU",LEFT(coder1_YH!AD15)))</f>
        <v>1</v>
      </c>
      <c r="AU15" s="345" t="str">
        <f>IF(coder1_YH!AE15 = "", AU14,IF(coder1_YH!AE15="BAU","BAU",LEFT(coder1_YH!AE15)))</f>
        <v>1</v>
      </c>
      <c r="AV15" s="345">
        <f>IF(coder1_YH!AF15="",AV14,coder1_YH!AF15)</f>
        <v>360</v>
      </c>
      <c r="AW15" s="345">
        <f t="shared" si="18"/>
        <v>6</v>
      </c>
      <c r="AX15" s="345">
        <f>IF(coder1_YH!AG15="",AX14,coder1_YH!AG15)</f>
        <v>12</v>
      </c>
      <c r="AY15" s="345">
        <f>IF(coder1_YH!AH15="",AY14,coder1_YH!AH15)</f>
        <v>30</v>
      </c>
      <c r="AZ15" s="345" t="str">
        <f>IF(coder1_YH!AI15 = "", AZ14, IF(coder1_YH!AI15="BAU","BAU",LEFT(coder1_YH!AI15)))</f>
        <v>1</v>
      </c>
      <c r="BA15" s="384">
        <f>clean_data!Y15</f>
        <v>19</v>
      </c>
    </row>
    <row r="16" spans="1:53" x14ac:dyDescent="0.2">
      <c r="A16">
        <f>coder1_YH!B16</f>
        <v>0</v>
      </c>
      <c r="B16">
        <f>coder1_YH!C16</f>
        <v>16</v>
      </c>
      <c r="C16">
        <f>coder1_YH!D16</f>
        <v>0</v>
      </c>
      <c r="D16" t="str">
        <f>coder1_YH!E16</f>
        <v/>
      </c>
      <c r="E16" t="str">
        <f>coder1_YH!F16</f>
        <v/>
      </c>
      <c r="F16" s="321" t="str">
        <f>IF(coder1_YH!G16="", clean_mod!F15, coder1_YH!G16)</f>
        <v>Berkeley et al., 2011</v>
      </c>
      <c r="G16" s="321" t="str">
        <f t="shared" si="1"/>
        <v>104</v>
      </c>
      <c r="H16" s="321">
        <f>IF(coder1_YH!H16="", clean_mod!H15, coder1_YH!H16)</f>
        <v>104</v>
      </c>
      <c r="I16" s="404" t="str">
        <f t="shared" si="2"/>
        <v>2011</v>
      </c>
      <c r="J16" s="344" t="str">
        <f>IF(coder1_YH!I16="",J15,coder1_YH!I16)</f>
        <v>USA</v>
      </c>
      <c r="K16" s="345">
        <f t="shared" si="3"/>
        <v>0</v>
      </c>
      <c r="L16" s="344" t="str">
        <f>IF(coder1_YH!J16 = "",L15, coder1_YH!J16)</f>
        <v>English</v>
      </c>
      <c r="M16" s="345">
        <f t="shared" si="4"/>
        <v>0</v>
      </c>
      <c r="N16" s="345" t="str">
        <f>IF(coder1_YH!K16 = "", N15, LEFT(coder1_YH!K16,1))</f>
        <v>0</v>
      </c>
      <c r="O16" s="345" t="str">
        <f>IF(coder1_YH!L16 = "", O15, LEFT(coder1_YH!L16,1))</f>
        <v>0</v>
      </c>
      <c r="P16" s="345" t="str">
        <f>IF(coder1_YH!M16 = "", P15, LEFT(coder1_YH!M16,1))</f>
        <v>0</v>
      </c>
      <c r="Q16" s="321">
        <f>coder1_YH!P16</f>
        <v>0</v>
      </c>
      <c r="R16" s="321">
        <f>coder1_YH!Q16</f>
        <v>0</v>
      </c>
      <c r="S16" s="323" t="str">
        <f t="shared" si="5"/>
        <v>N</v>
      </c>
      <c r="T16" s="323" t="str">
        <f t="shared" si="6"/>
        <v/>
      </c>
      <c r="U16" s="323" t="str">
        <f t="shared" si="7"/>
        <v/>
      </c>
      <c r="V16" s="323" t="str">
        <f t="shared" si="8"/>
        <v/>
      </c>
      <c r="W16" s="323">
        <f t="shared" si="9"/>
        <v>1</v>
      </c>
      <c r="X16" s="385" t="str">
        <f>IF(coder1_YH!N16 = "",X15,coder1_YH!N16)</f>
        <v>N</v>
      </c>
      <c r="Y16" s="385" t="str">
        <f>IF(coder1_YH!O16 = "",Y15,coder1_YH!O16)</f>
        <v xml:space="preserve">m </v>
      </c>
      <c r="Z16" s="385" t="str">
        <f t="shared" si="10"/>
        <v>M</v>
      </c>
      <c r="AA16" s="385" t="str">
        <f t="shared" si="11"/>
        <v>R</v>
      </c>
      <c r="AB16" s="385" t="str">
        <f t="shared" si="12"/>
        <v>MR</v>
      </c>
      <c r="AC16" s="323" t="str">
        <f t="shared" si="13"/>
        <v xml:space="preserve">Nm </v>
      </c>
      <c r="AD16" s="323" t="str">
        <f t="shared" si="14"/>
        <v>N_R</v>
      </c>
      <c r="AF16" s="369" t="str">
        <f t="shared" si="15"/>
        <v xml:space="preserve">104-Nm </v>
      </c>
      <c r="AG16" s="369" t="str">
        <f t="shared" si="16"/>
        <v>104-N_R</v>
      </c>
      <c r="AH16" s="344" t="str">
        <f>IF(coder1_YH!R16="",AH15,coder1_YH!R16)</f>
        <v>7, 8, 9</v>
      </c>
      <c r="AI16" s="344">
        <f t="shared" si="0"/>
        <v>8</v>
      </c>
      <c r="AJ16" s="345">
        <f t="shared" si="17"/>
        <v>1</v>
      </c>
      <c r="AK16" s="408">
        <f>IF(coder1_YH!S16="",AK15,coder1_YH!S16)</f>
        <v>14.737499999999999</v>
      </c>
      <c r="AL16" s="345">
        <f>IF(coder1_YH!T16="",AL15,IF(coder1_YH!T16="mixed",0.25,coder1_YH!T16))</f>
        <v>1</v>
      </c>
      <c r="AM16" s="345">
        <f>IF(coder1_YH!U16 = "", AM15, IF(coder1_YH!U16="mixed","NA",coder1_YH!U16))</f>
        <v>1</v>
      </c>
      <c r="AN16" s="345" t="str">
        <f>IF(coder1_YH!V16="",AN15,coder1_YH!V16)</f>
        <v>NA</v>
      </c>
      <c r="AO16" s="345">
        <f>IF(coder1_YH!W16="",AO15,coder1_YH!W16)</f>
        <v>0.42105263157894735</v>
      </c>
      <c r="AP16" s="345">
        <f>IF(coder1_YH!X16="",AP15,coder1_YH!X16)</f>
        <v>0.57894736842105265</v>
      </c>
      <c r="AQ16" s="345">
        <f>IF(coder1_YH!Y16="",AQ15,coder1_YH!Y16)</f>
        <v>0.94736842105263164</v>
      </c>
      <c r="AR16">
        <f>coder1_YH!AB16</f>
        <v>0</v>
      </c>
      <c r="AS16" s="345" t="str">
        <f>IF(coder1_YH!AC16 = "", AS15,IF(coder1_YH!AC16="BAU","BAU",LEFT(coder1_YH!AC16)))</f>
        <v>1</v>
      </c>
      <c r="AT16" s="345" t="str">
        <f>IF(coder1_YH!AD16 = "", AT15,IF(coder1_YH!AD16="BAU","BAU",LEFT(coder1_YH!AD16)))</f>
        <v>1</v>
      </c>
      <c r="AU16" s="345" t="str">
        <f>IF(coder1_YH!AE16 = "", AU15,IF(coder1_YH!AE16="BAU","BAU",LEFT(coder1_YH!AE16)))</f>
        <v>1</v>
      </c>
      <c r="AV16" s="345">
        <f>IF(coder1_YH!AF16="",AV15,coder1_YH!AF16)</f>
        <v>360</v>
      </c>
      <c r="AW16" s="345">
        <f t="shared" si="18"/>
        <v>6</v>
      </c>
      <c r="AX16" s="345">
        <f>IF(coder1_YH!AG16="",AX15,coder1_YH!AG16)</f>
        <v>12</v>
      </c>
      <c r="AY16" s="345">
        <f>IF(coder1_YH!AH16="",AY15,coder1_YH!AH16)</f>
        <v>30</v>
      </c>
      <c r="AZ16" s="345" t="str">
        <f>IF(coder1_YH!AI16 = "", AZ15, IF(coder1_YH!AI16="BAU","BAU",LEFT(coder1_YH!AI16)))</f>
        <v>1</v>
      </c>
      <c r="BA16" s="384">
        <f>clean_data!Y16</f>
        <v>19</v>
      </c>
    </row>
    <row r="17" spans="1:53" x14ac:dyDescent="0.2">
      <c r="A17">
        <f>coder1_YH!B17</f>
        <v>0</v>
      </c>
      <c r="B17">
        <f>coder1_YH!C17</f>
        <v>17</v>
      </c>
      <c r="C17">
        <f>coder1_YH!D17</f>
        <v>0</v>
      </c>
      <c r="D17" t="str">
        <f>coder1_YH!E17</f>
        <v/>
      </c>
      <c r="E17" t="b">
        <f>coder1_YH!F17</f>
        <v>1</v>
      </c>
      <c r="F17" s="321" t="str">
        <f>IF(coder1_YH!G17="", clean_mod!F16, coder1_YH!G17)</f>
        <v>Berkeley et al., 2011</v>
      </c>
      <c r="G17" s="321" t="str">
        <f t="shared" si="1"/>
        <v>104</v>
      </c>
      <c r="H17" s="321">
        <f>IF(coder1_YH!H17="", clean_mod!H16, coder1_YH!H17)</f>
        <v>104</v>
      </c>
      <c r="I17" s="404" t="str">
        <f t="shared" si="2"/>
        <v>2011</v>
      </c>
      <c r="J17" s="344" t="str">
        <f>IF(coder1_YH!I17="",J16,coder1_YH!I17)</f>
        <v>USA</v>
      </c>
      <c r="K17" s="345">
        <f t="shared" si="3"/>
        <v>0</v>
      </c>
      <c r="L17" s="344" t="str">
        <f>IF(coder1_YH!J17 = "",L16, coder1_YH!J17)</f>
        <v>English</v>
      </c>
      <c r="M17" s="345">
        <f t="shared" si="4"/>
        <v>0</v>
      </c>
      <c r="N17" s="345" t="str">
        <f>IF(coder1_YH!K17 = "", N16, LEFT(coder1_YH!K17,1))</f>
        <v>0</v>
      </c>
      <c r="O17" s="345" t="str">
        <f>IF(coder1_YH!L17 = "", O16, LEFT(coder1_YH!L17,1))</f>
        <v>0</v>
      </c>
      <c r="P17" s="345" t="str">
        <f>IF(coder1_YH!M17 = "", P16, LEFT(coder1_YH!M17,1))</f>
        <v>0</v>
      </c>
      <c r="Q17" s="321" t="str">
        <f>coder1_YH!P17</f>
        <v>ctl</v>
      </c>
      <c r="R17" s="321" t="str">
        <f>coder1_YH!Q17</f>
        <v>RN</v>
      </c>
      <c r="S17" s="323" t="str">
        <f t="shared" si="5"/>
        <v/>
      </c>
      <c r="T17" s="323" t="str">
        <f t="shared" si="6"/>
        <v/>
      </c>
      <c r="U17" s="323" t="str">
        <f t="shared" si="7"/>
        <v>G</v>
      </c>
      <c r="V17" s="323" t="str">
        <f t="shared" si="8"/>
        <v/>
      </c>
      <c r="W17" s="323">
        <f t="shared" si="9"/>
        <v>1</v>
      </c>
      <c r="X17" s="385" t="str">
        <f>IF(coder1_YH!N17 = "",X16,coder1_YH!N17)</f>
        <v>G</v>
      </c>
      <c r="Y17" s="385" t="str">
        <f>IF(coder1_YH!O17 = "",Y16,coder1_YH!O17)</f>
        <v>cm</v>
      </c>
      <c r="Z17" s="385" t="str">
        <f t="shared" si="10"/>
        <v>M</v>
      </c>
      <c r="AA17" s="385" t="str">
        <f t="shared" si="11"/>
        <v>R</v>
      </c>
      <c r="AB17" s="385" t="str">
        <f t="shared" si="12"/>
        <v>MR</v>
      </c>
      <c r="AC17" s="323" t="str">
        <f t="shared" si="13"/>
        <v>Gcm</v>
      </c>
      <c r="AD17" s="323" t="str">
        <f t="shared" si="14"/>
        <v>G_R</v>
      </c>
      <c r="AF17" s="369" t="str">
        <f t="shared" si="15"/>
        <v>104-Gcm</v>
      </c>
      <c r="AG17" s="369" t="str">
        <f t="shared" si="16"/>
        <v>104-G_R</v>
      </c>
      <c r="AH17" s="344" t="str">
        <f>IF(coder1_YH!R17="",AH16,coder1_YH!R17)</f>
        <v>7, 8, 9</v>
      </c>
      <c r="AI17" s="344">
        <f t="shared" si="0"/>
        <v>8</v>
      </c>
      <c r="AJ17" s="345">
        <f t="shared" si="17"/>
        <v>1</v>
      </c>
      <c r="AK17" s="408">
        <f>IF(coder1_YH!S17="",AK16,coder1_YH!S17)</f>
        <v>14.737499999999999</v>
      </c>
      <c r="AL17" s="345">
        <f>IF(coder1_YH!T17="",AL16,IF(coder1_YH!T17="mixed",0.25,coder1_YH!T17))</f>
        <v>1</v>
      </c>
      <c r="AM17" s="345">
        <f>IF(coder1_YH!U17 = "", AM16, IF(coder1_YH!U17="mixed","NA",coder1_YH!U17))</f>
        <v>1</v>
      </c>
      <c r="AN17" s="345" t="str">
        <f>IF(coder1_YH!V17="",AN16,coder1_YH!V17)</f>
        <v>NA</v>
      </c>
      <c r="AO17" s="345">
        <f>IF(coder1_YH!W17="",AO16,coder1_YH!W17)</f>
        <v>0.44999999999999996</v>
      </c>
      <c r="AP17" s="345">
        <f>IF(coder1_YH!X17="",AP16,coder1_YH!X17)</f>
        <v>0.7</v>
      </c>
      <c r="AQ17" s="345">
        <f>IF(coder1_YH!Y17="",AQ16,coder1_YH!Y17)</f>
        <v>0.95</v>
      </c>
      <c r="AR17" t="str">
        <f>coder1_YH!AB17</f>
        <v>1 = Published or Commercially available curriculum</v>
      </c>
      <c r="AS17" s="345" t="str">
        <f>IF(coder1_YH!AC17 = "", AS16,IF(coder1_YH!AC17="BAU","BAU",LEFT(coder1_YH!AC17)))</f>
        <v>1</v>
      </c>
      <c r="AT17" s="345" t="str">
        <f>IF(coder1_YH!AD17 = "", AT16,IF(coder1_YH!AD17="BAU","BAU",LEFT(coder1_YH!AD17)))</f>
        <v>1</v>
      </c>
      <c r="AU17" s="345" t="str">
        <f>IF(coder1_YH!AE17 = "", AU16,IF(coder1_YH!AE17="BAU","BAU",LEFT(coder1_YH!AE17)))</f>
        <v>1</v>
      </c>
      <c r="AV17" s="345">
        <f>IF(coder1_YH!AF17="",AV16,coder1_YH!AF17)</f>
        <v>360</v>
      </c>
      <c r="AW17" s="345">
        <f t="shared" si="18"/>
        <v>6</v>
      </c>
      <c r="AX17" s="345">
        <f>IF(coder1_YH!AG17="",AX16,coder1_YH!AG17)</f>
        <v>12</v>
      </c>
      <c r="AY17" s="345">
        <f>IF(coder1_YH!AH17="",AY16,coder1_YH!AH17)</f>
        <v>30</v>
      </c>
      <c r="AZ17" s="345" t="str">
        <f>IF(coder1_YH!AI17 = "", AZ16, IF(coder1_YH!AI17="BAU","BAU",LEFT(coder1_YH!AI17)))</f>
        <v>1</v>
      </c>
      <c r="BA17" s="384">
        <f>clean_data!Y17</f>
        <v>20</v>
      </c>
    </row>
    <row r="18" spans="1:53" x14ac:dyDescent="0.2">
      <c r="A18">
        <f>coder1_YH!B18</f>
        <v>0</v>
      </c>
      <c r="B18">
        <f>coder1_YH!C18</f>
        <v>18</v>
      </c>
      <c r="C18">
        <f>coder1_YH!D18</f>
        <v>0</v>
      </c>
      <c r="D18" t="str">
        <f>coder1_YH!E18</f>
        <v/>
      </c>
      <c r="E18" t="str">
        <f>coder1_YH!F18</f>
        <v/>
      </c>
      <c r="F18" s="321" t="str">
        <f>IF(coder1_YH!G18="", clean_mod!F17, coder1_YH!G18)</f>
        <v>Berkeley et al., 2011</v>
      </c>
      <c r="G18" s="321" t="str">
        <f t="shared" si="1"/>
        <v>104</v>
      </c>
      <c r="H18" s="321">
        <f>IF(coder1_YH!H18="", clean_mod!H17, coder1_YH!H18)</f>
        <v>104</v>
      </c>
      <c r="I18" s="404" t="str">
        <f t="shared" si="2"/>
        <v>2011</v>
      </c>
      <c r="J18" s="344" t="str">
        <f>IF(coder1_YH!I18="",J17,coder1_YH!I18)</f>
        <v>USA</v>
      </c>
      <c r="K18" s="345">
        <f t="shared" si="3"/>
        <v>0</v>
      </c>
      <c r="L18" s="344" t="str">
        <f>IF(coder1_YH!J18 = "",L17, coder1_YH!J18)</f>
        <v>English</v>
      </c>
      <c r="M18" s="345">
        <f t="shared" si="4"/>
        <v>0</v>
      </c>
      <c r="N18" s="345" t="str">
        <f>IF(coder1_YH!K18 = "", N17, LEFT(coder1_YH!K18,1))</f>
        <v>0</v>
      </c>
      <c r="O18" s="345" t="str">
        <f>IF(coder1_YH!L18 = "", O17, LEFT(coder1_YH!L18,1))</f>
        <v>0</v>
      </c>
      <c r="P18" s="345" t="str">
        <f>IF(coder1_YH!M18 = "", P17, LEFT(coder1_YH!M18,1))</f>
        <v>0</v>
      </c>
      <c r="Q18" s="321">
        <f>coder1_YH!P18</f>
        <v>0</v>
      </c>
      <c r="R18" s="321">
        <f>coder1_YH!Q18</f>
        <v>0</v>
      </c>
      <c r="S18" s="323" t="str">
        <f t="shared" si="5"/>
        <v/>
      </c>
      <c r="T18" s="323" t="str">
        <f t="shared" si="6"/>
        <v/>
      </c>
      <c r="U18" s="323" t="str">
        <f t="shared" si="7"/>
        <v>G</v>
      </c>
      <c r="V18" s="323" t="str">
        <f t="shared" si="8"/>
        <v/>
      </c>
      <c r="W18" s="323">
        <f t="shared" si="9"/>
        <v>1</v>
      </c>
      <c r="X18" s="385" t="str">
        <f>IF(coder1_YH!N18 = "",X17,coder1_YH!N18)</f>
        <v>G</v>
      </c>
      <c r="Y18" s="385" t="str">
        <f>IF(coder1_YH!O18 = "",Y17,coder1_YH!O18)</f>
        <v>cm</v>
      </c>
      <c r="Z18" s="385" t="str">
        <f t="shared" si="10"/>
        <v>M</v>
      </c>
      <c r="AA18" s="385" t="str">
        <f t="shared" si="11"/>
        <v>R</v>
      </c>
      <c r="AB18" s="385" t="str">
        <f t="shared" si="12"/>
        <v>MR</v>
      </c>
      <c r="AC18" s="323" t="str">
        <f t="shared" si="13"/>
        <v>Gcm</v>
      </c>
      <c r="AD18" s="323" t="str">
        <f t="shared" si="14"/>
        <v>G_R</v>
      </c>
      <c r="AF18" s="369" t="str">
        <f t="shared" si="15"/>
        <v>104-Gcm</v>
      </c>
      <c r="AG18" s="369" t="str">
        <f t="shared" si="16"/>
        <v>104-G_R</v>
      </c>
      <c r="AH18" s="344" t="str">
        <f>IF(coder1_YH!R18="",AH17,coder1_YH!R18)</f>
        <v>7, 8, 9</v>
      </c>
      <c r="AI18" s="344">
        <f t="shared" si="0"/>
        <v>8</v>
      </c>
      <c r="AJ18" s="345">
        <f t="shared" si="17"/>
        <v>1</v>
      </c>
      <c r="AK18" s="408">
        <f>IF(coder1_YH!S18="",AK17,coder1_YH!S18)</f>
        <v>14.737499999999999</v>
      </c>
      <c r="AL18" s="345">
        <f>IF(coder1_YH!T18="",AL17,IF(coder1_YH!T18="mixed",0.25,coder1_YH!T18))</f>
        <v>1</v>
      </c>
      <c r="AM18" s="345">
        <f>IF(coder1_YH!U18 = "", AM17, IF(coder1_YH!U18="mixed","NA",coder1_YH!U18))</f>
        <v>1</v>
      </c>
      <c r="AN18" s="345" t="str">
        <f>IF(coder1_YH!V18="",AN17,coder1_YH!V18)</f>
        <v>NA</v>
      </c>
      <c r="AO18" s="345">
        <f>IF(coder1_YH!W18="",AO17,coder1_YH!W18)</f>
        <v>0.44999999999999996</v>
      </c>
      <c r="AP18" s="345">
        <f>IF(coder1_YH!X18="",AP17,coder1_YH!X18)</f>
        <v>0.7</v>
      </c>
      <c r="AQ18" s="345">
        <f>IF(coder1_YH!Y18="",AQ17,coder1_YH!Y18)</f>
        <v>0.95</v>
      </c>
      <c r="AR18">
        <f>coder1_YH!AB18</f>
        <v>0</v>
      </c>
      <c r="AS18" s="345" t="str">
        <f>IF(coder1_YH!AC18 = "", AS17,IF(coder1_YH!AC18="BAU","BAU",LEFT(coder1_YH!AC18)))</f>
        <v>1</v>
      </c>
      <c r="AT18" s="345" t="str">
        <f>IF(coder1_YH!AD18 = "", AT17,IF(coder1_YH!AD18="BAU","BAU",LEFT(coder1_YH!AD18)))</f>
        <v>1</v>
      </c>
      <c r="AU18" s="345" t="str">
        <f>IF(coder1_YH!AE18 = "", AU17,IF(coder1_YH!AE18="BAU","BAU",LEFT(coder1_YH!AE18)))</f>
        <v>1</v>
      </c>
      <c r="AV18" s="345">
        <f>IF(coder1_YH!AF18="",AV17,coder1_YH!AF18)</f>
        <v>360</v>
      </c>
      <c r="AW18" s="345">
        <f t="shared" si="18"/>
        <v>6</v>
      </c>
      <c r="AX18" s="345">
        <f>IF(coder1_YH!AG18="",AX17,coder1_YH!AG18)</f>
        <v>12</v>
      </c>
      <c r="AY18" s="345">
        <f>IF(coder1_YH!AH18="",AY17,coder1_YH!AH18)</f>
        <v>30</v>
      </c>
      <c r="AZ18" s="345" t="str">
        <f>IF(coder1_YH!AI18 = "", AZ17, IF(coder1_YH!AI18="BAU","BAU",LEFT(coder1_YH!AI18)))</f>
        <v>1</v>
      </c>
      <c r="BA18" s="384">
        <f>clean_data!Y18</f>
        <v>20</v>
      </c>
    </row>
    <row r="19" spans="1:53" x14ac:dyDescent="0.2">
      <c r="A19">
        <f>coder1_YH!B19</f>
        <v>0</v>
      </c>
      <c r="B19">
        <f>coder1_YH!C19</f>
        <v>19</v>
      </c>
      <c r="C19" t="b">
        <f>coder1_YH!D19</f>
        <v>1</v>
      </c>
      <c r="D19" t="b">
        <f>coder1_YH!E19</f>
        <v>1</v>
      </c>
      <c r="E19" t="b">
        <f>coder1_YH!F19</f>
        <v>1</v>
      </c>
      <c r="F19" s="321" t="str">
        <f>IF(coder1_YH!G19="", clean_mod!F18, coder1_YH!G19)</f>
        <v>Schunk and Rice, 1989</v>
      </c>
      <c r="G19" s="321" t="str">
        <f t="shared" si="1"/>
        <v>105</v>
      </c>
      <c r="H19" s="321">
        <f>IF(coder1_YH!H19="", clean_mod!H18, coder1_YH!H19)</f>
        <v>105</v>
      </c>
      <c r="I19" s="404" t="str">
        <f t="shared" si="2"/>
        <v>1989</v>
      </c>
      <c r="J19" s="344" t="str">
        <f>IF(coder1_YH!I19="",J18,coder1_YH!I19)</f>
        <v>USA</v>
      </c>
      <c r="K19" s="345">
        <f t="shared" si="3"/>
        <v>0</v>
      </c>
      <c r="L19" s="344" t="str">
        <f>IF(coder1_YH!J19 = "",L18, coder1_YH!J19)</f>
        <v>English</v>
      </c>
      <c r="M19" s="345">
        <f t="shared" si="4"/>
        <v>0</v>
      </c>
      <c r="N19" s="345" t="str">
        <f>IF(coder1_YH!K19 = "", N18, LEFT(coder1_YH!K19,1))</f>
        <v>0</v>
      </c>
      <c r="O19" s="345" t="str">
        <f>IF(coder1_YH!L19 = "", O18, LEFT(coder1_YH!L19,1))</f>
        <v>0</v>
      </c>
      <c r="P19" s="345" t="str">
        <f>IF(coder1_YH!M19 = "", P18, LEFT(coder1_YH!M19,1))</f>
        <v>0</v>
      </c>
      <c r="Q19" s="321">
        <f>coder1_YH!P19</f>
        <v>1</v>
      </c>
      <c r="R19" s="321" t="str">
        <f>coder1_YH!Q19</f>
        <v xml:space="preserve">T - Process Goal </v>
      </c>
      <c r="S19" s="323" t="str">
        <f t="shared" si="5"/>
        <v/>
      </c>
      <c r="T19" s="323" t="str">
        <f t="shared" si="6"/>
        <v/>
      </c>
      <c r="U19" s="323" t="str">
        <f t="shared" si="7"/>
        <v>G</v>
      </c>
      <c r="V19" s="323" t="str">
        <f t="shared" si="8"/>
        <v/>
      </c>
      <c r="W19" s="323">
        <f t="shared" si="9"/>
        <v>1</v>
      </c>
      <c r="X19" s="385" t="str">
        <f>IF(coder1_YH!N19 = "",X18,coder1_YH!N19)</f>
        <v>G</v>
      </c>
      <c r="Y19" s="385" t="str">
        <f>IF(coder1_YH!O19 = "",Y18,coder1_YH!O19)</f>
        <v xml:space="preserve">m </v>
      </c>
      <c r="Z19" s="385" t="str">
        <f t="shared" si="10"/>
        <v>M</v>
      </c>
      <c r="AA19" s="385" t="str">
        <f t="shared" si="11"/>
        <v>R</v>
      </c>
      <c r="AB19" s="385" t="str">
        <f t="shared" si="12"/>
        <v>MR</v>
      </c>
      <c r="AC19" s="323" t="str">
        <f t="shared" si="13"/>
        <v xml:space="preserve">Gm </v>
      </c>
      <c r="AD19" s="323" t="str">
        <f t="shared" si="14"/>
        <v>G_R</v>
      </c>
      <c r="AE19" s="323">
        <f>IF(Y19="cm", 1,0)</f>
        <v>0</v>
      </c>
      <c r="AF19" s="369" t="str">
        <f t="shared" si="15"/>
        <v xml:space="preserve">105-Gm </v>
      </c>
      <c r="AG19" s="369" t="str">
        <f t="shared" si="16"/>
        <v>105-G_R</v>
      </c>
      <c r="AH19" s="344" t="str">
        <f>IF(coder1_YH!R19="",AH18,coder1_YH!R19)</f>
        <v>4, 5</v>
      </c>
      <c r="AI19" s="344">
        <f t="shared" si="0"/>
        <v>4.5</v>
      </c>
      <c r="AJ19" s="345">
        <f t="shared" si="17"/>
        <v>0</v>
      </c>
      <c r="AK19" s="408">
        <f>IF(coder1_YH!S19="",AK18,coder1_YH!S19)</f>
        <v>11.2</v>
      </c>
      <c r="AL19" s="345">
        <f>IF(coder1_YH!T19="",AL18,IF(coder1_YH!T19="mixed",0.25,coder1_YH!T19))</f>
        <v>1</v>
      </c>
      <c r="AM19" s="345" t="str">
        <f>IF(coder1_YH!U19 = "", AM18, IF(coder1_YH!U19="mixed","NA",coder1_YH!U19))</f>
        <v>NA</v>
      </c>
      <c r="AN19" s="345">
        <f>IF(coder1_YH!V19="",AN18,coder1_YH!V19)</f>
        <v>0.85</v>
      </c>
      <c r="AO19" s="345">
        <f>IF(coder1_YH!W19="",AO18,coder1_YH!W19)</f>
        <v>0.63636363636363635</v>
      </c>
      <c r="AP19" s="345">
        <f>IF(coder1_YH!X19="",AP18,coder1_YH!X19)</f>
        <v>0.45454545454545453</v>
      </c>
      <c r="AQ19" s="345">
        <f>IF(coder1_YH!Y19="",AQ18,coder1_YH!Y19)</f>
        <v>0.88</v>
      </c>
      <c r="AR19" t="str">
        <f>coder1_YH!AB19</f>
        <v>0 = Researcher-developed curriculum</v>
      </c>
      <c r="AS19" s="345" t="str">
        <f>IF(coder1_YH!AC19 = "", AS18,IF(coder1_YH!AC19="BAU","BAU",LEFT(coder1_YH!AC19)))</f>
        <v>1</v>
      </c>
      <c r="AT19" s="345" t="str">
        <f>IF(coder1_YH!AD19 = "", AT18,IF(coder1_YH!AD19="BAU","BAU",LEFT(coder1_YH!AD19)))</f>
        <v>1</v>
      </c>
      <c r="AU19" s="345" t="str">
        <f>IF(coder1_YH!AE19 = "", AU18,IF(coder1_YH!AE19="BAU","BAU",LEFT(coder1_YH!AE19)))</f>
        <v>0</v>
      </c>
      <c r="AV19" s="345">
        <f>IF(coder1_YH!AF19="",AV18,coder1_YH!AF19)</f>
        <v>525</v>
      </c>
      <c r="AW19" s="345">
        <f t="shared" si="18"/>
        <v>8.75</v>
      </c>
      <c r="AX19" s="345">
        <f>IF(coder1_YH!AG19="",AX18,coder1_YH!AG19)</f>
        <v>15</v>
      </c>
      <c r="AY19" s="345">
        <f>IF(coder1_YH!AH19="",AY18,coder1_YH!AH19)</f>
        <v>35</v>
      </c>
      <c r="AZ19" s="345" t="str">
        <f>IF(coder1_YH!AI19 = "", AZ18, IF(coder1_YH!AI19="BAU","BAU",LEFT(coder1_YH!AI19)))</f>
        <v>1</v>
      </c>
      <c r="BA19" s="384">
        <f>clean_data!Y19</f>
        <v>11</v>
      </c>
    </row>
    <row r="20" spans="1:53" x14ac:dyDescent="0.2">
      <c r="A20">
        <f>coder1_YH!B20</f>
        <v>0</v>
      </c>
      <c r="B20">
        <f>coder1_YH!C20</f>
        <v>20</v>
      </c>
      <c r="C20">
        <f>coder1_YH!D20</f>
        <v>0</v>
      </c>
      <c r="D20" t="str">
        <f>coder1_YH!E20</f>
        <v/>
      </c>
      <c r="E20" t="b">
        <f>coder1_YH!F20</f>
        <v>1</v>
      </c>
      <c r="F20" s="321" t="str">
        <f>IF(coder1_YH!G20="", clean_mod!F19, coder1_YH!G20)</f>
        <v>Schunk and Rice, 1989</v>
      </c>
      <c r="G20" s="321" t="str">
        <f t="shared" si="1"/>
        <v>105</v>
      </c>
      <c r="H20" s="321">
        <f>IF(coder1_YH!H20="", clean_mod!H19, coder1_YH!H20)</f>
        <v>105</v>
      </c>
      <c r="I20" s="404" t="str">
        <f t="shared" si="2"/>
        <v>1989</v>
      </c>
      <c r="J20" s="344" t="str">
        <f>IF(coder1_YH!I20="",J19,coder1_YH!I20)</f>
        <v>USA</v>
      </c>
      <c r="K20" s="345">
        <f t="shared" si="3"/>
        <v>0</v>
      </c>
      <c r="L20" s="344" t="str">
        <f>IF(coder1_YH!J20 = "",L19, coder1_YH!J20)</f>
        <v>English</v>
      </c>
      <c r="M20" s="345">
        <f t="shared" si="4"/>
        <v>0</v>
      </c>
      <c r="N20" s="345" t="str">
        <f>IF(coder1_YH!K20 = "", N19, LEFT(coder1_YH!K20,1))</f>
        <v>0</v>
      </c>
      <c r="O20" s="345" t="str">
        <f>IF(coder1_YH!L20 = "", O19, LEFT(coder1_YH!L20,1))</f>
        <v>0</v>
      </c>
      <c r="P20" s="345" t="str">
        <f>IF(coder1_YH!M20 = "", P19, LEFT(coder1_YH!M20,1))</f>
        <v>0</v>
      </c>
      <c r="Q20" s="321">
        <f>coder1_YH!P20</f>
        <v>2</v>
      </c>
      <c r="R20" s="321" t="str">
        <f>coder1_YH!Q20</f>
        <v xml:space="preserve">T - Product Goal </v>
      </c>
      <c r="S20" s="323" t="str">
        <f t="shared" si="5"/>
        <v/>
      </c>
      <c r="T20" s="323" t="str">
        <f t="shared" si="6"/>
        <v/>
      </c>
      <c r="U20" s="323" t="str">
        <f t="shared" si="7"/>
        <v>G</v>
      </c>
      <c r="V20" s="323" t="str">
        <f t="shared" si="8"/>
        <v/>
      </c>
      <c r="W20" s="323">
        <f t="shared" si="9"/>
        <v>1</v>
      </c>
      <c r="X20" s="385" t="str">
        <f>IF(coder1_YH!N20 = "",X19,coder1_YH!N20)</f>
        <v>G</v>
      </c>
      <c r="Y20" s="385" t="str">
        <f>IF(coder1_YH!O20 = "",Y19,coder1_YH!O20)</f>
        <v xml:space="preserve">m </v>
      </c>
      <c r="Z20" s="385" t="str">
        <f t="shared" si="10"/>
        <v>M</v>
      </c>
      <c r="AA20" s="385" t="str">
        <f t="shared" si="11"/>
        <v>R</v>
      </c>
      <c r="AB20" s="385" t="str">
        <f t="shared" si="12"/>
        <v>MR</v>
      </c>
      <c r="AC20" s="323" t="str">
        <f t="shared" si="13"/>
        <v xml:space="preserve">Gm </v>
      </c>
      <c r="AD20" s="323" t="str">
        <f t="shared" si="14"/>
        <v>G_R</v>
      </c>
      <c r="AF20" s="369" t="str">
        <f t="shared" si="15"/>
        <v xml:space="preserve">105-Gm </v>
      </c>
      <c r="AG20" s="369" t="str">
        <f t="shared" si="16"/>
        <v>105-G_R</v>
      </c>
      <c r="AH20" s="344" t="str">
        <f>IF(coder1_YH!R20="",AH19,coder1_YH!R20)</f>
        <v>4, 5</v>
      </c>
      <c r="AI20" s="344">
        <f t="shared" si="0"/>
        <v>4.5</v>
      </c>
      <c r="AJ20" s="345">
        <f t="shared" si="17"/>
        <v>0</v>
      </c>
      <c r="AK20" s="408">
        <f>IF(coder1_YH!S20="",AK19,coder1_YH!S20)</f>
        <v>11.2</v>
      </c>
      <c r="AL20" s="345">
        <f>IF(coder1_YH!T20="",AL19,IF(coder1_YH!T20="mixed",0.25,coder1_YH!T20))</f>
        <v>1</v>
      </c>
      <c r="AM20" s="345" t="str">
        <f>IF(coder1_YH!U20 = "", AM19, IF(coder1_YH!U20="mixed","NA",coder1_YH!U20))</f>
        <v>NA</v>
      </c>
      <c r="AN20" s="345">
        <f>IF(coder1_YH!V20="",AN19,coder1_YH!V20)</f>
        <v>0.85</v>
      </c>
      <c r="AO20" s="345">
        <f>IF(coder1_YH!W20="",AO19,coder1_YH!W20)</f>
        <v>0.63636363636363635</v>
      </c>
      <c r="AP20" s="345">
        <f>IF(coder1_YH!X20="",AP19,coder1_YH!X20)</f>
        <v>0.45454545454545453</v>
      </c>
      <c r="AQ20" s="345">
        <f>IF(coder1_YH!Y20="",AQ19,coder1_YH!Y20)</f>
        <v>0.88</v>
      </c>
      <c r="AR20" t="str">
        <f>coder1_YH!AB20</f>
        <v>0 = Researcher-developed curriculum</v>
      </c>
      <c r="AS20" s="345" t="str">
        <f>IF(coder1_YH!AC20 = "", AS19,IF(coder1_YH!AC20="BAU","BAU",LEFT(coder1_YH!AC20)))</f>
        <v>1</v>
      </c>
      <c r="AT20" s="345" t="str">
        <f>IF(coder1_YH!AD20 = "", AT19,IF(coder1_YH!AD20="BAU","BAU",LEFT(coder1_YH!AD20)))</f>
        <v>1</v>
      </c>
      <c r="AU20" s="345" t="str">
        <f>IF(coder1_YH!AE20 = "", AU19,IF(coder1_YH!AE20="BAU","BAU",LEFT(coder1_YH!AE20)))</f>
        <v>0</v>
      </c>
      <c r="AV20" s="345">
        <f>IF(coder1_YH!AF20="",AV19,coder1_YH!AF20)</f>
        <v>525</v>
      </c>
      <c r="AW20" s="345">
        <f t="shared" si="18"/>
        <v>8.75</v>
      </c>
      <c r="AX20" s="345">
        <f>IF(coder1_YH!AG20="",AX19,coder1_YH!AG20)</f>
        <v>15</v>
      </c>
      <c r="AY20" s="345">
        <f>IF(coder1_YH!AH20="",AY19,coder1_YH!AH20)</f>
        <v>35</v>
      </c>
      <c r="AZ20" s="345" t="str">
        <f>IF(coder1_YH!AI20 = "", AZ19, IF(coder1_YH!AI20="BAU","BAU",LEFT(coder1_YH!AI20)))</f>
        <v>1</v>
      </c>
      <c r="BA20" s="384">
        <f>clean_data!Y20</f>
        <v>11</v>
      </c>
    </row>
    <row r="21" spans="1:53" x14ac:dyDescent="0.2">
      <c r="A21">
        <f>coder1_YH!B21</f>
        <v>0</v>
      </c>
      <c r="B21">
        <f>coder1_YH!C21</f>
        <v>21</v>
      </c>
      <c r="C21">
        <f>coder1_YH!D21</f>
        <v>0</v>
      </c>
      <c r="D21" t="str">
        <f>coder1_YH!E21</f>
        <v/>
      </c>
      <c r="E21" t="b">
        <f>coder1_YH!F21</f>
        <v>1</v>
      </c>
      <c r="F21" s="321" t="str">
        <f>IF(coder1_YH!G21="", clean_mod!F20, coder1_YH!G21)</f>
        <v>Schunk and Rice, 1989</v>
      </c>
      <c r="G21" s="321" t="str">
        <f t="shared" si="1"/>
        <v>105</v>
      </c>
      <c r="H21" s="321">
        <f>IF(coder1_YH!H21="", clean_mod!H20, coder1_YH!H21)</f>
        <v>105</v>
      </c>
      <c r="I21" s="404" t="str">
        <f t="shared" si="2"/>
        <v>1989</v>
      </c>
      <c r="J21" s="344" t="str">
        <f>IF(coder1_YH!I21="",J20,coder1_YH!I21)</f>
        <v>USA</v>
      </c>
      <c r="K21" s="345">
        <f t="shared" si="3"/>
        <v>0</v>
      </c>
      <c r="L21" s="344" t="str">
        <f>IF(coder1_YH!J21 = "",L20, coder1_YH!J21)</f>
        <v>English</v>
      </c>
      <c r="M21" s="345">
        <f t="shared" si="4"/>
        <v>0</v>
      </c>
      <c r="N21" s="345" t="str">
        <f>IF(coder1_YH!K21 = "", N20, LEFT(coder1_YH!K21,1))</f>
        <v>0</v>
      </c>
      <c r="O21" s="345" t="str">
        <f>IF(coder1_YH!L21 = "", O20, LEFT(coder1_YH!L21,1))</f>
        <v>0</v>
      </c>
      <c r="P21" s="345" t="str">
        <f>IF(coder1_YH!M21 = "", P20, LEFT(coder1_YH!M21,1))</f>
        <v>0</v>
      </c>
      <c r="Q21" s="321" t="str">
        <f>coder1_YH!P21</f>
        <v>ctl</v>
      </c>
      <c r="R21" s="321" t="str">
        <f>coder1_YH!Q21</f>
        <v>C -general goal</v>
      </c>
      <c r="S21" s="323" t="str">
        <f t="shared" si="5"/>
        <v/>
      </c>
      <c r="T21" s="323" t="str">
        <f t="shared" si="6"/>
        <v/>
      </c>
      <c r="U21" s="323" t="str">
        <f t="shared" si="7"/>
        <v/>
      </c>
      <c r="V21" s="323" t="str">
        <f t="shared" si="8"/>
        <v/>
      </c>
      <c r="W21" s="323">
        <f t="shared" si="9"/>
        <v>0</v>
      </c>
      <c r="X21" s="385" t="str">
        <f>IF(coder1_YH!N21 = "",X20,coder1_YH!N21)</f>
        <v>.</v>
      </c>
      <c r="Y21" s="385" t="str">
        <f>IF(coder1_YH!O21 = "",Y20,coder1_YH!O21)</f>
        <v xml:space="preserve">m </v>
      </c>
      <c r="Z21" s="385" t="str">
        <f t="shared" si="10"/>
        <v/>
      </c>
      <c r="AA21" s="385" t="str">
        <f t="shared" si="11"/>
        <v>R</v>
      </c>
      <c r="AB21" s="385" t="str">
        <f t="shared" si="12"/>
        <v>R</v>
      </c>
      <c r="AC21" s="323" t="str">
        <f t="shared" si="13"/>
        <v xml:space="preserve">.m </v>
      </c>
      <c r="AD21" s="323" t="str">
        <f t="shared" si="14"/>
        <v>R</v>
      </c>
      <c r="AF21" s="369" t="str">
        <f t="shared" si="15"/>
        <v xml:space="preserve">105-.m </v>
      </c>
      <c r="AG21" s="369" t="str">
        <f t="shared" si="16"/>
        <v>105-R</v>
      </c>
      <c r="AH21" s="344" t="str">
        <f>IF(coder1_YH!R21="",AH20,coder1_YH!R21)</f>
        <v>4, 5</v>
      </c>
      <c r="AI21" s="344">
        <f t="shared" si="0"/>
        <v>4.5</v>
      </c>
      <c r="AJ21" s="345">
        <f t="shared" si="17"/>
        <v>0</v>
      </c>
      <c r="AK21" s="408">
        <f>IF(coder1_YH!S21="",AK20,coder1_YH!S21)</f>
        <v>11.2</v>
      </c>
      <c r="AL21" s="345">
        <f>IF(coder1_YH!T21="",AL20,IF(coder1_YH!T21="mixed",0.25,coder1_YH!T21))</f>
        <v>1</v>
      </c>
      <c r="AM21" s="345" t="str">
        <f>IF(coder1_YH!U21 = "", AM20, IF(coder1_YH!U21="mixed","NA",coder1_YH!U21))</f>
        <v>NA</v>
      </c>
      <c r="AN21" s="345">
        <f>IF(coder1_YH!V21="",AN20,coder1_YH!V21)</f>
        <v>0.85</v>
      </c>
      <c r="AO21" s="345">
        <f>IF(coder1_YH!W21="",AO20,coder1_YH!W21)</f>
        <v>0.63636363636363635</v>
      </c>
      <c r="AP21" s="345">
        <f>IF(coder1_YH!X21="",AP20,coder1_YH!X21)</f>
        <v>0.45454545454545453</v>
      </c>
      <c r="AQ21" s="345">
        <f>IF(coder1_YH!Y21="",AQ20,coder1_YH!Y21)</f>
        <v>0.88</v>
      </c>
      <c r="AR21" t="str">
        <f>coder1_YH!AB21</f>
        <v>0 = Researcher-developed curriculum</v>
      </c>
      <c r="AS21" s="345" t="str">
        <f>IF(coder1_YH!AC21 = "", AS20,IF(coder1_YH!AC21="BAU","BAU",LEFT(coder1_YH!AC21)))</f>
        <v>1</v>
      </c>
      <c r="AT21" s="345" t="str">
        <f>IF(coder1_YH!AD21 = "", AT20,IF(coder1_YH!AD21="BAU","BAU",LEFT(coder1_YH!AD21)))</f>
        <v>1</v>
      </c>
      <c r="AU21" s="345" t="str">
        <f>IF(coder1_YH!AE21 = "", AU20,IF(coder1_YH!AE21="BAU","BAU",LEFT(coder1_YH!AE21)))</f>
        <v>0</v>
      </c>
      <c r="AV21" s="345">
        <f>IF(coder1_YH!AF21="",AV20,coder1_YH!AF21)</f>
        <v>525</v>
      </c>
      <c r="AW21" s="345">
        <f t="shared" si="18"/>
        <v>8.75</v>
      </c>
      <c r="AX21" s="345">
        <f>IF(coder1_YH!AG21="",AX20,coder1_YH!AG21)</f>
        <v>15</v>
      </c>
      <c r="AY21" s="345">
        <f>IF(coder1_YH!AH21="",AY20,coder1_YH!AH21)</f>
        <v>35</v>
      </c>
      <c r="AZ21" s="345" t="str">
        <f>IF(coder1_YH!AI21 = "", AZ20, IF(coder1_YH!AI21="BAU","BAU",LEFT(coder1_YH!AI21)))</f>
        <v>1</v>
      </c>
      <c r="BA21" s="384">
        <f>clean_data!Y21</f>
        <v>11</v>
      </c>
    </row>
    <row r="22" spans="1:53" x14ac:dyDescent="0.2">
      <c r="A22" t="str">
        <f>coder1_YH!B22</f>
        <v>EX</v>
      </c>
      <c r="B22">
        <f>coder1_YH!C22</f>
        <v>22</v>
      </c>
      <c r="C22">
        <f>coder1_YH!D22</f>
        <v>0</v>
      </c>
      <c r="D22">
        <f>coder1_YH!E22</f>
        <v>0</v>
      </c>
      <c r="E22" t="b">
        <f>coder1_YH!F22</f>
        <v>1</v>
      </c>
      <c r="F22" s="321" t="str">
        <f>IF(coder1_YH!G22="", clean_mod!F21, coder1_YH!G22)</f>
        <v>Schunk and Rice, 1991</v>
      </c>
      <c r="G22" s="321" t="str">
        <f t="shared" si="1"/>
        <v>106</v>
      </c>
      <c r="H22" s="321">
        <f>IF(coder1_YH!H22="", clean_mod!H21, coder1_YH!H22)</f>
        <v>106</v>
      </c>
      <c r="I22" s="404" t="str">
        <f t="shared" si="2"/>
        <v>1991</v>
      </c>
      <c r="J22" s="344" t="str">
        <f>IF(coder1_YH!I22="",J21,coder1_YH!I22)</f>
        <v>USA</v>
      </c>
      <c r="K22" s="345">
        <f t="shared" si="3"/>
        <v>0</v>
      </c>
      <c r="L22" s="344" t="str">
        <f>IF(coder1_YH!J22 = "",L21, coder1_YH!J22)</f>
        <v>English</v>
      </c>
      <c r="M22" s="345">
        <f t="shared" si="4"/>
        <v>0</v>
      </c>
      <c r="N22" s="345" t="str">
        <f>IF(coder1_YH!K22 = "", N21, LEFT(coder1_YH!K22,1))</f>
        <v>0</v>
      </c>
      <c r="O22" s="345" t="str">
        <f>IF(coder1_YH!L22 = "", O21, LEFT(coder1_YH!L22,1))</f>
        <v>0</v>
      </c>
      <c r="P22" s="345" t="str">
        <f>IF(coder1_YH!M22 = "", P21, LEFT(coder1_YH!M22,1))</f>
        <v>0</v>
      </c>
      <c r="Q22" s="321">
        <f>coder1_YH!P22</f>
        <v>1</v>
      </c>
      <c r="R22" s="321" t="str">
        <f>coder1_YH!Q22</f>
        <v>Product Goal</v>
      </c>
      <c r="S22" s="323" t="str">
        <f t="shared" si="5"/>
        <v/>
      </c>
      <c r="T22" s="323" t="str">
        <f t="shared" si="6"/>
        <v/>
      </c>
      <c r="U22" s="323" t="str">
        <f t="shared" si="7"/>
        <v>G</v>
      </c>
      <c r="V22" s="323" t="str">
        <f t="shared" si="8"/>
        <v/>
      </c>
      <c r="W22" s="323">
        <f t="shared" si="9"/>
        <v>1</v>
      </c>
      <c r="X22" s="385" t="str">
        <f>IF(coder1_YH!N22 = "",X21,coder1_YH!N22)</f>
        <v>G</v>
      </c>
      <c r="Y22" s="385" t="str">
        <f>IF(coder1_YH!O22 = "",Y21,coder1_YH!O22)</f>
        <v xml:space="preserve">m </v>
      </c>
      <c r="Z22" s="385" t="str">
        <f t="shared" si="10"/>
        <v>M</v>
      </c>
      <c r="AA22" s="385" t="str">
        <f t="shared" si="11"/>
        <v>R</v>
      </c>
      <c r="AB22" s="385" t="str">
        <f t="shared" si="12"/>
        <v>MR</v>
      </c>
      <c r="AC22" s="323" t="str">
        <f t="shared" si="13"/>
        <v xml:space="preserve">Gm </v>
      </c>
      <c r="AD22" s="323" t="str">
        <f t="shared" si="14"/>
        <v>G_R</v>
      </c>
      <c r="AF22" s="369" t="str">
        <f t="shared" si="15"/>
        <v xml:space="preserve">106-Gm </v>
      </c>
      <c r="AG22" s="369" t="str">
        <f t="shared" si="16"/>
        <v>106-G_R</v>
      </c>
      <c r="AH22" s="344" t="str">
        <f>IF(coder1_YH!R22="",AH21,coder1_YH!R22)</f>
        <v>5</v>
      </c>
      <c r="AI22" s="344" t="str">
        <f t="shared" si="0"/>
        <v>5</v>
      </c>
      <c r="AJ22" s="345">
        <f t="shared" si="17"/>
        <v>1</v>
      </c>
      <c r="AK22" s="408">
        <f>IF(coder1_YH!S22="",AK21,coder1_YH!S22)</f>
        <v>11.3</v>
      </c>
      <c r="AL22" s="345">
        <f>IF(coder1_YH!T22="",AL21,IF(coder1_YH!T22="mixed",0.25,coder1_YH!T22))</f>
        <v>1</v>
      </c>
      <c r="AM22" s="345" t="str">
        <f>IF(coder1_YH!U22 = "", AM21, IF(coder1_YH!U22="mixed","NA",coder1_YH!U22))</f>
        <v>NA</v>
      </c>
      <c r="AN22" s="345">
        <f>IF(coder1_YH!V22="",AN21,coder1_YH!V22)</f>
        <v>0.85</v>
      </c>
      <c r="AO22" s="345">
        <f>IF(coder1_YH!W22="",AO21,coder1_YH!W22)</f>
        <v>0.53</v>
      </c>
      <c r="AP22" s="345">
        <f>IF(coder1_YH!X22="",AP21,coder1_YH!X22)</f>
        <v>0.53333333333333333</v>
      </c>
      <c r="AQ22" s="345">
        <f>IF(coder1_YH!Y22="",AQ21,coder1_YH!Y22)</f>
        <v>0.82000000000000006</v>
      </c>
      <c r="AR22" t="str">
        <f>coder1_YH!AB22</f>
        <v>0 = Researcher-developed curriculum</v>
      </c>
      <c r="AS22" s="345" t="str">
        <f>IF(coder1_YH!AC22 = "", AS21,IF(coder1_YH!AC22="BAU","BAU",LEFT(coder1_YH!AC22)))</f>
        <v>1</v>
      </c>
      <c r="AT22" s="345" t="str">
        <f>IF(coder1_YH!AD22 = "", AT21,IF(coder1_YH!AD22="BAU","BAU",LEFT(coder1_YH!AD22)))</f>
        <v>1</v>
      </c>
      <c r="AU22" s="345" t="str">
        <f>IF(coder1_YH!AE22 = "", AU21,IF(coder1_YH!AE22="BAU","BAU",LEFT(coder1_YH!AE22)))</f>
        <v>0</v>
      </c>
      <c r="AV22" s="345">
        <f>IF(coder1_YH!AF22="",AV21,coder1_YH!AF22)</f>
        <v>525</v>
      </c>
      <c r="AW22" s="345">
        <f t="shared" si="18"/>
        <v>8.75</v>
      </c>
      <c r="AX22" s="345">
        <f>IF(coder1_YH!AG22="",AX21,coder1_YH!AG22)</f>
        <v>15</v>
      </c>
      <c r="AY22" s="345">
        <f>IF(coder1_YH!AH22="",AY21,coder1_YH!AH22)</f>
        <v>35</v>
      </c>
      <c r="AZ22" s="345" t="str">
        <f>IF(coder1_YH!AI22 = "", AZ21, IF(coder1_YH!AI22="BAU","BAU",LEFT(coder1_YH!AI22)))</f>
        <v>1</v>
      </c>
      <c r="BA22" s="384">
        <f>clean_data!Y22</f>
        <v>10</v>
      </c>
    </row>
    <row r="23" spans="1:53" x14ac:dyDescent="0.2">
      <c r="A23" t="str">
        <f>coder1_YH!B23</f>
        <v>EX</v>
      </c>
      <c r="B23">
        <f>coder1_YH!C23</f>
        <v>23</v>
      </c>
      <c r="C23">
        <f>coder1_YH!D23</f>
        <v>0</v>
      </c>
      <c r="D23">
        <f>coder1_YH!E23</f>
        <v>0</v>
      </c>
      <c r="E23" t="b">
        <f>coder1_YH!F23</f>
        <v>1</v>
      </c>
      <c r="F23" s="321" t="str">
        <f>IF(coder1_YH!G23="", clean_mod!F22, coder1_YH!G23)</f>
        <v>Schunk and Rice, 1991</v>
      </c>
      <c r="G23" s="321" t="str">
        <f t="shared" si="1"/>
        <v>106</v>
      </c>
      <c r="H23" s="321">
        <f>IF(coder1_YH!H23="", clean_mod!H22, coder1_YH!H23)</f>
        <v>106</v>
      </c>
      <c r="I23" s="404" t="str">
        <f t="shared" si="2"/>
        <v>1991</v>
      </c>
      <c r="J23" s="344" t="str">
        <f>IF(coder1_YH!I23="",J22,coder1_YH!I23)</f>
        <v>USA</v>
      </c>
      <c r="K23" s="345">
        <f t="shared" si="3"/>
        <v>0</v>
      </c>
      <c r="L23" s="344" t="str">
        <f>IF(coder1_YH!J23 = "",L22, coder1_YH!J23)</f>
        <v>English</v>
      </c>
      <c r="M23" s="345">
        <f t="shared" si="4"/>
        <v>0</v>
      </c>
      <c r="N23" s="345" t="str">
        <f>IF(coder1_YH!K23 = "", N22, LEFT(coder1_YH!K23,1))</f>
        <v>0</v>
      </c>
      <c r="O23" s="345" t="str">
        <f>IF(coder1_YH!L23 = "", O22, LEFT(coder1_YH!L23,1))</f>
        <v>0</v>
      </c>
      <c r="P23" s="345" t="str">
        <f>IF(coder1_YH!M23 = "", P22, LEFT(coder1_YH!M23,1))</f>
        <v>0</v>
      </c>
      <c r="Q23" s="321">
        <f>coder1_YH!P23</f>
        <v>1</v>
      </c>
      <c r="R23" s="321" t="str">
        <f>coder1_YH!Q23</f>
        <v>Process Goal</v>
      </c>
      <c r="S23" s="323" t="str">
        <f t="shared" si="5"/>
        <v/>
      </c>
      <c r="T23" s="323" t="str">
        <f t="shared" si="6"/>
        <v/>
      </c>
      <c r="U23" s="323" t="str">
        <f t="shared" si="7"/>
        <v>G</v>
      </c>
      <c r="V23" s="323" t="str">
        <f t="shared" si="8"/>
        <v/>
      </c>
      <c r="W23" s="323">
        <f t="shared" si="9"/>
        <v>1</v>
      </c>
      <c r="X23" s="385" t="str">
        <f>IF(coder1_YH!N23 = "",X22,coder1_YH!N23)</f>
        <v>G</v>
      </c>
      <c r="Y23" s="385" t="str">
        <f>IF(coder1_YH!O23 = "",Y22,coder1_YH!O23)</f>
        <v xml:space="preserve">m </v>
      </c>
      <c r="Z23" s="385" t="str">
        <f t="shared" si="10"/>
        <v>M</v>
      </c>
      <c r="AA23" s="385" t="str">
        <f t="shared" si="11"/>
        <v>R</v>
      </c>
      <c r="AB23" s="385" t="str">
        <f t="shared" si="12"/>
        <v>MR</v>
      </c>
      <c r="AC23" s="323" t="str">
        <f t="shared" si="13"/>
        <v xml:space="preserve">Gm </v>
      </c>
      <c r="AD23" s="323" t="str">
        <f t="shared" si="14"/>
        <v>G_R</v>
      </c>
      <c r="AF23" s="369" t="str">
        <f t="shared" si="15"/>
        <v xml:space="preserve">106-Gm </v>
      </c>
      <c r="AG23" s="369" t="str">
        <f t="shared" si="16"/>
        <v>106-G_R</v>
      </c>
      <c r="AH23" s="344" t="str">
        <f>IF(coder1_YH!R23="",AH22,coder1_YH!R23)</f>
        <v>5</v>
      </c>
      <c r="AI23" s="344" t="str">
        <f t="shared" si="0"/>
        <v>5</v>
      </c>
      <c r="AJ23" s="345">
        <f t="shared" si="17"/>
        <v>1</v>
      </c>
      <c r="AK23" s="408">
        <f>IF(coder1_YH!S23="",AK22,coder1_YH!S23)</f>
        <v>11.3</v>
      </c>
      <c r="AL23" s="345">
        <f>IF(coder1_YH!T23="",AL22,IF(coder1_YH!T23="mixed",0.25,coder1_YH!T23))</f>
        <v>1</v>
      </c>
      <c r="AM23" s="345" t="str">
        <f>IF(coder1_YH!U23 = "", AM22, IF(coder1_YH!U23="mixed","NA",coder1_YH!U23))</f>
        <v>NA</v>
      </c>
      <c r="AN23" s="345">
        <f>IF(coder1_YH!V23="",AN22,coder1_YH!V23)</f>
        <v>0.85</v>
      </c>
      <c r="AO23" s="345">
        <f>IF(coder1_YH!W23="",AO22,coder1_YH!W23)</f>
        <v>0.53</v>
      </c>
      <c r="AP23" s="345">
        <f>IF(coder1_YH!X23="",AP22,coder1_YH!X23)</f>
        <v>0.53333333333333333</v>
      </c>
      <c r="AQ23" s="345">
        <f>IF(coder1_YH!Y23="",AQ22,coder1_YH!Y23)</f>
        <v>0.82000000000000006</v>
      </c>
      <c r="AR23" t="str">
        <f>coder1_YH!AB23</f>
        <v>0 = Researcher-developed curriculum</v>
      </c>
      <c r="AS23" s="345" t="str">
        <f>IF(coder1_YH!AC23 = "", AS22,IF(coder1_YH!AC23="BAU","BAU",LEFT(coder1_YH!AC23)))</f>
        <v>1</v>
      </c>
      <c r="AT23" s="345" t="str">
        <f>IF(coder1_YH!AD23 = "", AT22,IF(coder1_YH!AD23="BAU","BAU",LEFT(coder1_YH!AD23)))</f>
        <v>1</v>
      </c>
      <c r="AU23" s="345" t="str">
        <f>IF(coder1_YH!AE23 = "", AU22,IF(coder1_YH!AE23="BAU","BAU",LEFT(coder1_YH!AE23)))</f>
        <v>0</v>
      </c>
      <c r="AV23" s="345">
        <f>IF(coder1_YH!AF23="",AV22,coder1_YH!AF23)</f>
        <v>525</v>
      </c>
      <c r="AW23" s="345">
        <f t="shared" si="18"/>
        <v>8.75</v>
      </c>
      <c r="AX23" s="345">
        <f>IF(coder1_YH!AG23="",AX22,coder1_YH!AG23)</f>
        <v>15</v>
      </c>
      <c r="AY23" s="345">
        <f>IF(coder1_YH!AH23="",AY22,coder1_YH!AH23)</f>
        <v>35</v>
      </c>
      <c r="AZ23" s="345" t="str">
        <f>IF(coder1_YH!AI23 = "", AZ22, IF(coder1_YH!AI23="BAU","BAU",LEFT(coder1_YH!AI23)))</f>
        <v>1</v>
      </c>
      <c r="BA23" s="384">
        <f>clean_data!Y23</f>
        <v>10</v>
      </c>
    </row>
    <row r="24" spans="1:53" x14ac:dyDescent="0.2">
      <c r="A24" t="str">
        <f>coder1_YH!B24</f>
        <v>EX</v>
      </c>
      <c r="B24">
        <f>coder1_YH!C24</f>
        <v>24</v>
      </c>
      <c r="C24" t="b">
        <f>coder1_YH!D24</f>
        <v>1</v>
      </c>
      <c r="D24" t="b">
        <f>coder1_YH!E24</f>
        <v>1</v>
      </c>
      <c r="E24" t="b">
        <f>coder1_YH!F24</f>
        <v>1</v>
      </c>
      <c r="F24" s="321" t="str">
        <f>IF(coder1_YH!G24="", clean_mod!F23, coder1_YH!G24)</f>
        <v>Schunk and Rice, 1991</v>
      </c>
      <c r="G24" s="321" t="str">
        <f t="shared" si="1"/>
        <v>106</v>
      </c>
      <c r="H24" s="321">
        <f>IF(coder1_YH!H24="", clean_mod!H23, coder1_YH!H24)</f>
        <v>106</v>
      </c>
      <c r="I24" s="404" t="str">
        <f t="shared" si="2"/>
        <v>1991</v>
      </c>
      <c r="J24" s="344" t="str">
        <f>IF(coder1_YH!I24="",J23,coder1_YH!I24)</f>
        <v>USA</v>
      </c>
      <c r="K24" s="345">
        <f t="shared" si="3"/>
        <v>0</v>
      </c>
      <c r="L24" s="344" t="str">
        <f>IF(coder1_YH!J24 = "",L23, coder1_YH!J24)</f>
        <v>English</v>
      </c>
      <c r="M24" s="345">
        <f t="shared" si="4"/>
        <v>0</v>
      </c>
      <c r="N24" s="345" t="str">
        <f>IF(coder1_YH!K24 = "", N23, LEFT(coder1_YH!K24,1))</f>
        <v>0</v>
      </c>
      <c r="O24" s="345" t="str">
        <f>IF(coder1_YH!L24 = "", O23, LEFT(coder1_YH!L24,1))</f>
        <v>0</v>
      </c>
      <c r="P24" s="345" t="str">
        <f>IF(coder1_YH!M24 = "", P23, LEFT(coder1_YH!M24,1))</f>
        <v>0</v>
      </c>
      <c r="Q24" s="321" t="str">
        <f>coder1_YH!P24</f>
        <v>ctl</v>
      </c>
      <c r="R24" s="321" t="str">
        <f>coder1_YH!Q24</f>
        <v>Process Goal + Feedback</v>
      </c>
      <c r="S24" s="323" t="str">
        <f t="shared" si="5"/>
        <v/>
      </c>
      <c r="T24" s="323" t="str">
        <f t="shared" si="6"/>
        <v/>
      </c>
      <c r="U24" s="323" t="str">
        <f t="shared" si="7"/>
        <v>G</v>
      </c>
      <c r="V24" s="323" t="str">
        <f t="shared" si="8"/>
        <v/>
      </c>
      <c r="W24" s="323">
        <f t="shared" si="9"/>
        <v>1</v>
      </c>
      <c r="X24" s="385" t="str">
        <f>IF(coder1_YH!N24 = "",X23,coder1_YH!N24)</f>
        <v>G</v>
      </c>
      <c r="Y24" s="385" t="str">
        <f>IF(coder1_YH!O24 = "",Y23,coder1_YH!O24)</f>
        <v xml:space="preserve">m </v>
      </c>
      <c r="Z24" s="385" t="str">
        <f t="shared" si="10"/>
        <v>M</v>
      </c>
      <c r="AA24" s="385" t="str">
        <f t="shared" si="11"/>
        <v>R</v>
      </c>
      <c r="AB24" s="385" t="str">
        <f t="shared" si="12"/>
        <v>MR</v>
      </c>
      <c r="AC24" s="323" t="str">
        <f t="shared" si="13"/>
        <v xml:space="preserve">Gm </v>
      </c>
      <c r="AD24" s="323" t="str">
        <f t="shared" si="14"/>
        <v>G_R</v>
      </c>
      <c r="AF24" s="369" t="str">
        <f t="shared" si="15"/>
        <v xml:space="preserve">106-Gm </v>
      </c>
      <c r="AG24" s="369" t="str">
        <f t="shared" si="16"/>
        <v>106-G_R</v>
      </c>
      <c r="AH24" s="344" t="str">
        <f>IF(coder1_YH!R24="",AH23,coder1_YH!R24)</f>
        <v>5</v>
      </c>
      <c r="AI24" s="344" t="str">
        <f t="shared" si="0"/>
        <v>5</v>
      </c>
      <c r="AJ24" s="345">
        <f t="shared" si="17"/>
        <v>1</v>
      </c>
      <c r="AK24" s="408">
        <f>IF(coder1_YH!S24="",AK23,coder1_YH!S24)</f>
        <v>11.3</v>
      </c>
      <c r="AL24" s="345">
        <f>IF(coder1_YH!T24="",AL23,IF(coder1_YH!T24="mixed",0.25,coder1_YH!T24))</f>
        <v>1</v>
      </c>
      <c r="AM24" s="345" t="str">
        <f>IF(coder1_YH!U24 = "", AM23, IF(coder1_YH!U24="mixed","NA",coder1_YH!U24))</f>
        <v>NA</v>
      </c>
      <c r="AN24" s="345">
        <f>IF(coder1_YH!V24="",AN23,coder1_YH!V24)</f>
        <v>0.85</v>
      </c>
      <c r="AO24" s="345">
        <f>IF(coder1_YH!W24="",AO23,coder1_YH!W24)</f>
        <v>0.53</v>
      </c>
      <c r="AP24" s="345">
        <f>IF(coder1_YH!X24="",AP23,coder1_YH!X24)</f>
        <v>0.53333333333333333</v>
      </c>
      <c r="AQ24" s="345">
        <f>IF(coder1_YH!Y24="",AQ23,coder1_YH!Y24)</f>
        <v>0.82000000000000006</v>
      </c>
      <c r="AR24" t="str">
        <f>coder1_YH!AB24</f>
        <v>0 = Researcher-developed curriculum</v>
      </c>
      <c r="AS24" s="345" t="str">
        <f>IF(coder1_YH!AC24 = "", AS23,IF(coder1_YH!AC24="BAU","BAU",LEFT(coder1_YH!AC24)))</f>
        <v>1</v>
      </c>
      <c r="AT24" s="345" t="str">
        <f>IF(coder1_YH!AD24 = "", AT23,IF(coder1_YH!AD24="BAU","BAU",LEFT(coder1_YH!AD24)))</f>
        <v>1</v>
      </c>
      <c r="AU24" s="345" t="str">
        <f>IF(coder1_YH!AE24 = "", AU23,IF(coder1_YH!AE24="BAU","BAU",LEFT(coder1_YH!AE24)))</f>
        <v>0</v>
      </c>
      <c r="AV24" s="345">
        <f>IF(coder1_YH!AF24="",AV23,coder1_YH!AF24)</f>
        <v>525</v>
      </c>
      <c r="AW24" s="345">
        <f t="shared" si="18"/>
        <v>8.75</v>
      </c>
      <c r="AX24" s="345">
        <f>IF(coder1_YH!AG24="",AX23,coder1_YH!AG24)</f>
        <v>15</v>
      </c>
      <c r="AY24" s="345">
        <f>IF(coder1_YH!AH24="",AY23,coder1_YH!AH24)</f>
        <v>35</v>
      </c>
      <c r="AZ24" s="345" t="str">
        <f>IF(coder1_YH!AI24 = "", AZ23, IF(coder1_YH!AI24="BAU","BAU",LEFT(coder1_YH!AI24)))</f>
        <v>1</v>
      </c>
      <c r="BA24" s="384">
        <f>clean_data!Y24</f>
        <v>10</v>
      </c>
    </row>
    <row r="25" spans="1:53" x14ac:dyDescent="0.2">
      <c r="A25">
        <f>coder1_YH!B25</f>
        <v>0</v>
      </c>
      <c r="B25">
        <f>coder1_YH!C25</f>
        <v>25</v>
      </c>
      <c r="C25" t="b">
        <f>coder1_YH!D25</f>
        <v>1</v>
      </c>
      <c r="D25" t="b">
        <f>coder1_YH!E25</f>
        <v>1</v>
      </c>
      <c r="E25" t="b">
        <f>coder1_YH!F25</f>
        <v>1</v>
      </c>
      <c r="F25" s="321" t="str">
        <f>IF(coder1_YH!G25="", clean_mod!F24, coder1_YH!G25)</f>
        <v>Borkowski et al., 1988</v>
      </c>
      <c r="G25" s="321" t="str">
        <f t="shared" si="1"/>
        <v>107</v>
      </c>
      <c r="H25" s="321">
        <f>IF(coder1_YH!H25="", clean_mod!H24, coder1_YH!H25)</f>
        <v>107</v>
      </c>
      <c r="I25" s="404" t="str">
        <f t="shared" si="2"/>
        <v>1988</v>
      </c>
      <c r="J25" s="344" t="str">
        <f>IF(coder1_YH!I25="",J24,coder1_YH!I25)</f>
        <v>USA</v>
      </c>
      <c r="K25" s="345">
        <f t="shared" si="3"/>
        <v>0</v>
      </c>
      <c r="L25" s="344" t="str">
        <f>IF(coder1_YH!J25 = "",L24, coder1_YH!J25)</f>
        <v>English</v>
      </c>
      <c r="M25" s="345">
        <f t="shared" si="4"/>
        <v>0</v>
      </c>
      <c r="N25" s="345" t="str">
        <f>IF(coder1_YH!K25 = "", N24, LEFT(coder1_YH!K25,1))</f>
        <v>0</v>
      </c>
      <c r="O25" s="345" t="str">
        <f>IF(coder1_YH!L25 = "", O24, LEFT(coder1_YH!L25,1))</f>
        <v>0</v>
      </c>
      <c r="P25" s="345" t="str">
        <f>IF(coder1_YH!M25 = "", P24, LEFT(coder1_YH!M25,1))</f>
        <v>0</v>
      </c>
      <c r="Q25" s="321">
        <f>coder1_YH!P25</f>
        <v>1</v>
      </c>
      <c r="R25" s="321" t="str">
        <f>coder1_YH!Q25</f>
        <v>RS + Complex Attribution</v>
      </c>
      <c r="S25" s="323" t="str">
        <f t="shared" si="5"/>
        <v/>
      </c>
      <c r="T25" s="323" t="str">
        <f t="shared" si="6"/>
        <v/>
      </c>
      <c r="U25" s="323" t="str">
        <f t="shared" si="7"/>
        <v/>
      </c>
      <c r="V25" s="323" t="str">
        <f t="shared" si="8"/>
        <v>T</v>
      </c>
      <c r="W25" s="323">
        <f t="shared" si="9"/>
        <v>1</v>
      </c>
      <c r="X25" s="385" t="str">
        <f>IF(coder1_YH!N25 = "",X24,coder1_YH!N25)</f>
        <v>T</v>
      </c>
      <c r="Y25" s="385" t="str">
        <f>IF(coder1_YH!O25 = "",Y24,coder1_YH!O25)</f>
        <v xml:space="preserve">m </v>
      </c>
      <c r="Z25" s="385" t="str">
        <f t="shared" si="10"/>
        <v>M</v>
      </c>
      <c r="AA25" s="385" t="str">
        <f t="shared" si="11"/>
        <v>R</v>
      </c>
      <c r="AB25" s="385" t="str">
        <f t="shared" si="12"/>
        <v>MR</v>
      </c>
      <c r="AC25" s="323" t="str">
        <f t="shared" si="13"/>
        <v xml:space="preserve">Tm </v>
      </c>
      <c r="AD25" s="323" t="str">
        <f t="shared" si="14"/>
        <v>T_R</v>
      </c>
      <c r="AE25" s="323">
        <f>IF(Y25="cm", 1,0)</f>
        <v>0</v>
      </c>
      <c r="AF25" s="369" t="str">
        <f t="shared" si="15"/>
        <v xml:space="preserve">107-Tm </v>
      </c>
      <c r="AG25" s="369" t="str">
        <f t="shared" si="16"/>
        <v>107-T_R</v>
      </c>
      <c r="AH25" s="344" t="str">
        <f>IF(coder1_YH!R25="",AH24,coder1_YH!R25)</f>
        <v>4, 5</v>
      </c>
      <c r="AI25" s="344">
        <f t="shared" si="0"/>
        <v>4.5</v>
      </c>
      <c r="AJ25" s="345">
        <f t="shared" si="17"/>
        <v>0</v>
      </c>
      <c r="AK25" s="408">
        <f>IF(coder1_YH!S25="",AK24,coder1_YH!S25)</f>
        <v>12</v>
      </c>
      <c r="AL25" s="345">
        <f>IF(coder1_YH!T25="",AL24,IF(coder1_YH!T25="mixed",0.25,coder1_YH!T25))</f>
        <v>1</v>
      </c>
      <c r="AM25" s="345">
        <f>IF(coder1_YH!U25 = "", AM24, IF(coder1_YH!U25="mixed","NA",coder1_YH!U25))</f>
        <v>1</v>
      </c>
      <c r="AN25" s="345" t="str">
        <f>IF(coder1_YH!V25="",AN24,coder1_YH!V25)</f>
        <v>NA</v>
      </c>
      <c r="AO25" s="345" t="str">
        <f>IF(coder1_YH!W25="",AO24,coder1_YH!W25)</f>
        <v>NA</v>
      </c>
      <c r="AP25" s="345">
        <f>IF(coder1_YH!X25="",AP24,coder1_YH!X25)</f>
        <v>0.65333333333333332</v>
      </c>
      <c r="AQ25" s="345">
        <f>IF(coder1_YH!Y25="",AQ24,coder1_YH!Y25)</f>
        <v>9.9999999999999978E-2</v>
      </c>
      <c r="AR25" t="str">
        <f>coder1_YH!AB25</f>
        <v>0 = Researcher-developed curriculum</v>
      </c>
      <c r="AS25" s="345" t="str">
        <f>IF(coder1_YH!AC25 = "", AS24,IF(coder1_YH!AC25="BAU","BAU",LEFT(coder1_YH!AC25)))</f>
        <v>0</v>
      </c>
      <c r="AT25" s="345" t="str">
        <f>IF(coder1_YH!AD25 = "", AT24,IF(coder1_YH!AD25="BAU","BAU",LEFT(coder1_YH!AD25)))</f>
        <v>1</v>
      </c>
      <c r="AU25" s="345" t="str">
        <f>IF(coder1_YH!AE25 = "", AU24,IF(coder1_YH!AE25="BAU","BAU",LEFT(coder1_YH!AE25)))</f>
        <v>0</v>
      </c>
      <c r="AV25" s="345" t="str">
        <f>IF(coder1_YH!AF25="",AV24,coder1_YH!AF25)</f>
        <v>NA (5 sessions)</v>
      </c>
      <c r="AW25" s="345" t="e">
        <f t="shared" si="18"/>
        <v>#VALUE!</v>
      </c>
      <c r="AX25" s="345" t="str">
        <f>IF(coder1_YH!AG25="",AX24,coder1_YH!AG25)</f>
        <v>NA</v>
      </c>
      <c r="AY25" s="345" t="str">
        <f>IF(coder1_YH!AH25="",AY24,coder1_YH!AH25)</f>
        <v>NA</v>
      </c>
      <c r="AZ25" s="345" t="str">
        <f>IF(coder1_YH!AI25 = "", AZ24, IF(coder1_YH!AI25="BAU","BAU",LEFT(coder1_YH!AI25)))</f>
        <v>0</v>
      </c>
      <c r="BA25" s="384">
        <f>clean_data!Y25</f>
        <v>17</v>
      </c>
    </row>
    <row r="26" spans="1:53" x14ac:dyDescent="0.2">
      <c r="A26">
        <f>coder1_YH!B26</f>
        <v>0</v>
      </c>
      <c r="B26">
        <f>coder1_YH!C26</f>
        <v>26</v>
      </c>
      <c r="C26">
        <f>coder1_YH!D26</f>
        <v>0</v>
      </c>
      <c r="D26" t="str">
        <f>coder1_YH!E26</f>
        <v/>
      </c>
      <c r="E26" t="str">
        <f>coder1_YH!F26</f>
        <v/>
      </c>
      <c r="F26" s="321" t="str">
        <f>IF(coder1_YH!G26="", clean_mod!F25, coder1_YH!G26)</f>
        <v>Borkowski et al., 1988</v>
      </c>
      <c r="G26" s="321" t="str">
        <f t="shared" si="1"/>
        <v>107</v>
      </c>
      <c r="H26" s="321">
        <f>IF(coder1_YH!H26="", clean_mod!H25, coder1_YH!H26)</f>
        <v>107</v>
      </c>
      <c r="I26" s="404" t="str">
        <f t="shared" si="2"/>
        <v>1988</v>
      </c>
      <c r="J26" s="344" t="str">
        <f>IF(coder1_YH!I26="",J25,coder1_YH!I26)</f>
        <v>USA</v>
      </c>
      <c r="K26" s="345">
        <f t="shared" si="3"/>
        <v>0</v>
      </c>
      <c r="L26" s="344" t="str">
        <f>IF(coder1_YH!J26 = "",L25, coder1_YH!J26)</f>
        <v>English</v>
      </c>
      <c r="M26" s="345">
        <f t="shared" si="4"/>
        <v>0</v>
      </c>
      <c r="N26" s="345" t="str">
        <f>IF(coder1_YH!K26 = "", N25, LEFT(coder1_YH!K26,1))</f>
        <v>0</v>
      </c>
      <c r="O26" s="345" t="str">
        <f>IF(coder1_YH!L26 = "", O25, LEFT(coder1_YH!L26,1))</f>
        <v>0</v>
      </c>
      <c r="P26" s="345" t="str">
        <f>IF(coder1_YH!M26 = "", P25, LEFT(coder1_YH!M26,1))</f>
        <v>0</v>
      </c>
      <c r="Q26" s="321">
        <f>coder1_YH!P26</f>
        <v>0</v>
      </c>
      <c r="R26" s="321">
        <f>coder1_YH!Q26</f>
        <v>0</v>
      </c>
      <c r="S26" s="323" t="str">
        <f t="shared" si="5"/>
        <v/>
      </c>
      <c r="T26" s="323" t="str">
        <f t="shared" si="6"/>
        <v/>
      </c>
      <c r="U26" s="323" t="str">
        <f t="shared" si="7"/>
        <v/>
      </c>
      <c r="V26" s="323" t="str">
        <f t="shared" si="8"/>
        <v>T</v>
      </c>
      <c r="W26" s="323">
        <f t="shared" si="9"/>
        <v>1</v>
      </c>
      <c r="X26" s="385" t="str">
        <f>IF(coder1_YH!N26 = "",X25,coder1_YH!N26)</f>
        <v>T</v>
      </c>
      <c r="Y26" s="385" t="str">
        <f>IF(coder1_YH!O26 = "",Y25,coder1_YH!O26)</f>
        <v xml:space="preserve">m </v>
      </c>
      <c r="Z26" s="385" t="str">
        <f t="shared" si="10"/>
        <v>M</v>
      </c>
      <c r="AA26" s="385" t="str">
        <f t="shared" si="11"/>
        <v>R</v>
      </c>
      <c r="AB26" s="385" t="str">
        <f t="shared" si="12"/>
        <v>MR</v>
      </c>
      <c r="AC26" s="323" t="str">
        <f t="shared" si="13"/>
        <v xml:space="preserve">Tm </v>
      </c>
      <c r="AD26" s="323" t="str">
        <f t="shared" si="14"/>
        <v>T_R</v>
      </c>
      <c r="AF26" s="369" t="str">
        <f t="shared" si="15"/>
        <v xml:space="preserve">107-Tm </v>
      </c>
      <c r="AG26" s="369" t="str">
        <f t="shared" si="16"/>
        <v>107-T_R</v>
      </c>
      <c r="AH26" s="344" t="str">
        <f>IF(coder1_YH!R26="",AH25,coder1_YH!R26)</f>
        <v>4, 5</v>
      </c>
      <c r="AI26" s="344">
        <f t="shared" si="0"/>
        <v>4.5</v>
      </c>
      <c r="AJ26" s="345">
        <f t="shared" si="17"/>
        <v>0</v>
      </c>
      <c r="AK26" s="408">
        <f>IF(coder1_YH!S26="",AK25,coder1_YH!S26)</f>
        <v>12</v>
      </c>
      <c r="AL26" s="345">
        <f>IF(coder1_YH!T26="",AL25,IF(coder1_YH!T26="mixed",0.25,coder1_YH!T26))</f>
        <v>1</v>
      </c>
      <c r="AM26" s="345">
        <f>IF(coder1_YH!U26 = "", AM25, IF(coder1_YH!U26="mixed","NA",coder1_YH!U26))</f>
        <v>1</v>
      </c>
      <c r="AN26" s="345" t="str">
        <f>IF(coder1_YH!V26="",AN25,coder1_YH!V26)</f>
        <v>NA</v>
      </c>
      <c r="AO26" s="345" t="str">
        <f>IF(coder1_YH!W26="",AO25,coder1_YH!W26)</f>
        <v>NA</v>
      </c>
      <c r="AP26" s="345">
        <f>IF(coder1_YH!X26="",AP25,coder1_YH!X26)</f>
        <v>0.65333333333333332</v>
      </c>
      <c r="AQ26" s="345">
        <f>IF(coder1_YH!Y26="",AQ25,coder1_YH!Y26)</f>
        <v>9.9999999999999978E-2</v>
      </c>
      <c r="AR26">
        <f>coder1_YH!AB26</f>
        <v>0</v>
      </c>
      <c r="AS26" s="345" t="str">
        <f>IF(coder1_YH!AC26 = "", AS25,IF(coder1_YH!AC26="BAU","BAU",LEFT(coder1_YH!AC26)))</f>
        <v>0</v>
      </c>
      <c r="AT26" s="345" t="str">
        <f>IF(coder1_YH!AD26 = "", AT25,IF(coder1_YH!AD26="BAU","BAU",LEFT(coder1_YH!AD26)))</f>
        <v>1</v>
      </c>
      <c r="AU26" s="345" t="str">
        <f>IF(coder1_YH!AE26 = "", AU25,IF(coder1_YH!AE26="BAU","BAU",LEFT(coder1_YH!AE26)))</f>
        <v>0</v>
      </c>
      <c r="AV26" s="345" t="str">
        <f>IF(coder1_YH!AF26="",AV25,coder1_YH!AF26)</f>
        <v>NA (5 sessions)</v>
      </c>
      <c r="AW26" s="345" t="e">
        <f t="shared" si="18"/>
        <v>#VALUE!</v>
      </c>
      <c r="AX26" s="345" t="str">
        <f>IF(coder1_YH!AG26="",AX25,coder1_YH!AG26)</f>
        <v>NA</v>
      </c>
      <c r="AY26" s="345" t="str">
        <f>IF(coder1_YH!AH26="",AY25,coder1_YH!AH26)</f>
        <v>NA</v>
      </c>
      <c r="AZ26" s="345" t="str">
        <f>IF(coder1_YH!AI26 = "", AZ25, IF(coder1_YH!AI26="BAU","BAU",LEFT(coder1_YH!AI26)))</f>
        <v>0</v>
      </c>
      <c r="BA26" s="384">
        <f>clean_data!Y26</f>
        <v>17</v>
      </c>
    </row>
    <row r="27" spans="1:53" x14ac:dyDescent="0.2">
      <c r="A27">
        <f>coder1_YH!B27</f>
        <v>0</v>
      </c>
      <c r="B27">
        <f>coder1_YH!C27</f>
        <v>27</v>
      </c>
      <c r="C27">
        <f>coder1_YH!D27</f>
        <v>0</v>
      </c>
      <c r="D27" t="str">
        <f>coder1_YH!E27</f>
        <v/>
      </c>
      <c r="E27" t="b">
        <f>coder1_YH!F27</f>
        <v>1</v>
      </c>
      <c r="F27" s="321" t="str">
        <f>IF(coder1_YH!G27="", clean_mod!F26, coder1_YH!G27)</f>
        <v>Borkowski et al., 1988</v>
      </c>
      <c r="G27" s="321" t="str">
        <f t="shared" si="1"/>
        <v>107</v>
      </c>
      <c r="H27" s="321">
        <f>IF(coder1_YH!H27="", clean_mod!H26, coder1_YH!H27)</f>
        <v>107</v>
      </c>
      <c r="I27" s="404" t="str">
        <f t="shared" si="2"/>
        <v>1988</v>
      </c>
      <c r="J27" s="344" t="str">
        <f>IF(coder1_YH!I27="",J26,coder1_YH!I27)</f>
        <v>USA</v>
      </c>
      <c r="K27" s="345">
        <f t="shared" si="3"/>
        <v>0</v>
      </c>
      <c r="L27" s="344" t="str">
        <f>IF(coder1_YH!J27 = "",L26, coder1_YH!J27)</f>
        <v>English</v>
      </c>
      <c r="M27" s="345">
        <f t="shared" si="4"/>
        <v>0</v>
      </c>
      <c r="N27" s="345" t="str">
        <f>IF(coder1_YH!K27 = "", N26, LEFT(coder1_YH!K27,1))</f>
        <v>0</v>
      </c>
      <c r="O27" s="345" t="str">
        <f>IF(coder1_YH!L27 = "", O26, LEFT(coder1_YH!L27,1))</f>
        <v>0</v>
      </c>
      <c r="P27" s="345" t="str">
        <f>IF(coder1_YH!M27 = "", P26, LEFT(coder1_YH!M27,1))</f>
        <v>0</v>
      </c>
      <c r="Q27" s="321">
        <f>coder1_YH!P27</f>
        <v>2</v>
      </c>
      <c r="R27" s="321" t="str">
        <f>coder1_YH!Q27</f>
        <v>RS+Attribution</v>
      </c>
      <c r="S27" s="323" t="str">
        <f t="shared" si="5"/>
        <v/>
      </c>
      <c r="T27" s="323" t="str">
        <f t="shared" si="6"/>
        <v/>
      </c>
      <c r="U27" s="323" t="str">
        <f t="shared" si="7"/>
        <v/>
      </c>
      <c r="V27" s="323" t="str">
        <f t="shared" si="8"/>
        <v>T</v>
      </c>
      <c r="W27" s="323">
        <f t="shared" si="9"/>
        <v>1</v>
      </c>
      <c r="X27" s="385" t="str">
        <f>IF(coder1_YH!N27 = "",X26,coder1_YH!N27)</f>
        <v>T</v>
      </c>
      <c r="Y27" s="385" t="str">
        <f>IF(coder1_YH!O27 = "",Y26,coder1_YH!O27)</f>
        <v xml:space="preserve">m </v>
      </c>
      <c r="Z27" s="385" t="str">
        <f t="shared" si="10"/>
        <v>M</v>
      </c>
      <c r="AA27" s="385" t="str">
        <f t="shared" si="11"/>
        <v>R</v>
      </c>
      <c r="AB27" s="385" t="str">
        <f t="shared" si="12"/>
        <v>MR</v>
      </c>
      <c r="AC27" s="323" t="str">
        <f t="shared" si="13"/>
        <v xml:space="preserve">Tm </v>
      </c>
      <c r="AD27" s="323" t="str">
        <f t="shared" si="14"/>
        <v>T_R</v>
      </c>
      <c r="AF27" s="369" t="str">
        <f t="shared" si="15"/>
        <v xml:space="preserve">107-Tm </v>
      </c>
      <c r="AG27" s="369" t="str">
        <f t="shared" si="16"/>
        <v>107-T_R</v>
      </c>
      <c r="AH27" s="344" t="str">
        <f>IF(coder1_YH!R27="",AH26,coder1_YH!R27)</f>
        <v>4, 5</v>
      </c>
      <c r="AI27" s="344">
        <f t="shared" si="0"/>
        <v>4.5</v>
      </c>
      <c r="AJ27" s="345">
        <f t="shared" si="17"/>
        <v>0</v>
      </c>
      <c r="AK27" s="408">
        <f>IF(coder1_YH!S27="",AK26,coder1_YH!S27)</f>
        <v>12</v>
      </c>
      <c r="AL27" s="345">
        <f>IF(coder1_YH!T27="",AL26,IF(coder1_YH!T27="mixed",0.25,coder1_YH!T27))</f>
        <v>1</v>
      </c>
      <c r="AM27" s="345">
        <f>IF(coder1_YH!U27 = "", AM26, IF(coder1_YH!U27="mixed","NA",coder1_YH!U27))</f>
        <v>1</v>
      </c>
      <c r="AN27" s="345" t="str">
        <f>IF(coder1_YH!V27="",AN26,coder1_YH!V27)</f>
        <v>NA</v>
      </c>
      <c r="AO27" s="345" t="str">
        <f>IF(coder1_YH!W27="",AO26,coder1_YH!W27)</f>
        <v>NA</v>
      </c>
      <c r="AP27" s="345">
        <f>IF(coder1_YH!X27="",AP26,coder1_YH!X27)</f>
        <v>0.65333333333333332</v>
      </c>
      <c r="AQ27" s="345">
        <f>IF(coder1_YH!Y27="",AQ26,coder1_YH!Y27)</f>
        <v>9.9999999999999978E-2</v>
      </c>
      <c r="AR27" t="str">
        <f>coder1_YH!AB27</f>
        <v>0 = Researcher-developed curriculum</v>
      </c>
      <c r="AS27" s="345" t="str">
        <f>IF(coder1_YH!AC27 = "", AS26,IF(coder1_YH!AC27="BAU","BAU",LEFT(coder1_YH!AC27)))</f>
        <v>0</v>
      </c>
      <c r="AT27" s="345" t="str">
        <f>IF(coder1_YH!AD27 = "", AT26,IF(coder1_YH!AD27="BAU","BAU",LEFT(coder1_YH!AD27)))</f>
        <v>1</v>
      </c>
      <c r="AU27" s="345" t="str">
        <f>IF(coder1_YH!AE27 = "", AU26,IF(coder1_YH!AE27="BAU","BAU",LEFT(coder1_YH!AE27)))</f>
        <v>0</v>
      </c>
      <c r="AV27" s="345" t="str">
        <f>IF(coder1_YH!AF27="",AV26,coder1_YH!AF27)</f>
        <v>NA (5 sessions)</v>
      </c>
      <c r="AW27" s="345" t="e">
        <f t="shared" si="18"/>
        <v>#VALUE!</v>
      </c>
      <c r="AX27" s="345" t="str">
        <f>IF(coder1_YH!AG27="",AX26,coder1_YH!AG27)</f>
        <v>NA</v>
      </c>
      <c r="AY27" s="345" t="str">
        <f>IF(coder1_YH!AH27="",AY26,coder1_YH!AH27)</f>
        <v>NA</v>
      </c>
      <c r="AZ27" s="345" t="str">
        <f>IF(coder1_YH!AI27 = "", AZ26, IF(coder1_YH!AI27="BAU","BAU",LEFT(coder1_YH!AI27)))</f>
        <v>0</v>
      </c>
      <c r="BA27" s="384">
        <f>clean_data!Y27</f>
        <v>16</v>
      </c>
    </row>
    <row r="28" spans="1:53" x14ac:dyDescent="0.2">
      <c r="A28">
        <f>coder1_YH!B28</f>
        <v>0</v>
      </c>
      <c r="B28">
        <f>coder1_YH!C28</f>
        <v>28</v>
      </c>
      <c r="C28">
        <f>coder1_YH!D28</f>
        <v>0</v>
      </c>
      <c r="D28" t="str">
        <f>coder1_YH!E28</f>
        <v/>
      </c>
      <c r="E28" t="str">
        <f>coder1_YH!F28</f>
        <v/>
      </c>
      <c r="F28" s="321" t="str">
        <f>IF(coder1_YH!G28="", clean_mod!F27, coder1_YH!G28)</f>
        <v>Borkowski et al., 1988</v>
      </c>
      <c r="G28" s="321" t="str">
        <f t="shared" si="1"/>
        <v>107</v>
      </c>
      <c r="H28" s="321">
        <f>IF(coder1_YH!H28="", clean_mod!H27, coder1_YH!H28)</f>
        <v>107</v>
      </c>
      <c r="I28" s="404" t="str">
        <f t="shared" si="2"/>
        <v>1988</v>
      </c>
      <c r="J28" s="344" t="str">
        <f>IF(coder1_YH!I28="",J27,coder1_YH!I28)</f>
        <v>USA</v>
      </c>
      <c r="K28" s="345">
        <f t="shared" si="3"/>
        <v>0</v>
      </c>
      <c r="L28" s="344" t="str">
        <f>IF(coder1_YH!J28 = "",L27, coder1_YH!J28)</f>
        <v>English</v>
      </c>
      <c r="M28" s="345">
        <f t="shared" si="4"/>
        <v>0</v>
      </c>
      <c r="N28" s="345" t="str">
        <f>IF(coder1_YH!K28 = "", N27, LEFT(coder1_YH!K28,1))</f>
        <v>0</v>
      </c>
      <c r="O28" s="345" t="str">
        <f>IF(coder1_YH!L28 = "", O27, LEFT(coder1_YH!L28,1))</f>
        <v>0</v>
      </c>
      <c r="P28" s="345" t="str">
        <f>IF(coder1_YH!M28 = "", P27, LEFT(coder1_YH!M28,1))</f>
        <v>0</v>
      </c>
      <c r="Q28" s="321">
        <f>coder1_YH!P28</f>
        <v>0</v>
      </c>
      <c r="R28" s="321">
        <f>coder1_YH!Q28</f>
        <v>0</v>
      </c>
      <c r="S28" s="323" t="str">
        <f t="shared" si="5"/>
        <v/>
      </c>
      <c r="T28" s="323" t="str">
        <f t="shared" si="6"/>
        <v/>
      </c>
      <c r="U28" s="323" t="str">
        <f t="shared" si="7"/>
        <v/>
      </c>
      <c r="V28" s="323" t="str">
        <f t="shared" si="8"/>
        <v>T</v>
      </c>
      <c r="W28" s="323">
        <f t="shared" si="9"/>
        <v>1</v>
      </c>
      <c r="X28" s="385" t="str">
        <f>IF(coder1_YH!N28 = "",X27,coder1_YH!N28)</f>
        <v>T</v>
      </c>
      <c r="Y28" s="385" t="str">
        <f>IF(coder1_YH!O28 = "",Y27,coder1_YH!O28)</f>
        <v xml:space="preserve">m </v>
      </c>
      <c r="Z28" s="385" t="str">
        <f t="shared" si="10"/>
        <v>M</v>
      </c>
      <c r="AA28" s="385" t="str">
        <f t="shared" si="11"/>
        <v>R</v>
      </c>
      <c r="AB28" s="385" t="str">
        <f t="shared" si="12"/>
        <v>MR</v>
      </c>
      <c r="AC28" s="323" t="str">
        <f t="shared" si="13"/>
        <v xml:space="preserve">Tm </v>
      </c>
      <c r="AD28" s="323" t="str">
        <f t="shared" si="14"/>
        <v>T_R</v>
      </c>
      <c r="AF28" s="369" t="str">
        <f t="shared" si="15"/>
        <v xml:space="preserve">107-Tm </v>
      </c>
      <c r="AG28" s="369" t="str">
        <f t="shared" si="16"/>
        <v>107-T_R</v>
      </c>
      <c r="AH28" s="344" t="str">
        <f>IF(coder1_YH!R28="",AH27,coder1_YH!R28)</f>
        <v>4, 5</v>
      </c>
      <c r="AI28" s="344">
        <f t="shared" si="0"/>
        <v>4.5</v>
      </c>
      <c r="AJ28" s="345">
        <f t="shared" si="17"/>
        <v>0</v>
      </c>
      <c r="AK28" s="408">
        <f>IF(coder1_YH!S28="",AK27,coder1_YH!S28)</f>
        <v>12</v>
      </c>
      <c r="AL28" s="345">
        <f>IF(coder1_YH!T28="",AL27,IF(coder1_YH!T28="mixed",0.25,coder1_YH!T28))</f>
        <v>1</v>
      </c>
      <c r="AM28" s="345">
        <f>IF(coder1_YH!U28 = "", AM27, IF(coder1_YH!U28="mixed","NA",coder1_YH!U28))</f>
        <v>1</v>
      </c>
      <c r="AN28" s="345" t="str">
        <f>IF(coder1_YH!V28="",AN27,coder1_YH!V28)</f>
        <v>NA</v>
      </c>
      <c r="AO28" s="345" t="str">
        <f>IF(coder1_YH!W28="",AO27,coder1_YH!W28)</f>
        <v>NA</v>
      </c>
      <c r="AP28" s="345">
        <f>IF(coder1_YH!X28="",AP27,coder1_YH!X28)</f>
        <v>0.65333333333333332</v>
      </c>
      <c r="AQ28" s="345">
        <f>IF(coder1_YH!Y28="",AQ27,coder1_YH!Y28)</f>
        <v>9.9999999999999978E-2</v>
      </c>
      <c r="AR28">
        <f>coder1_YH!AB28</f>
        <v>0</v>
      </c>
      <c r="AS28" s="345" t="str">
        <f>IF(coder1_YH!AC28 = "", AS27,IF(coder1_YH!AC28="BAU","BAU",LEFT(coder1_YH!AC28)))</f>
        <v>0</v>
      </c>
      <c r="AT28" s="345" t="str">
        <f>IF(coder1_YH!AD28 = "", AT27,IF(coder1_YH!AD28="BAU","BAU",LEFT(coder1_YH!AD28)))</f>
        <v>1</v>
      </c>
      <c r="AU28" s="345" t="str">
        <f>IF(coder1_YH!AE28 = "", AU27,IF(coder1_YH!AE28="BAU","BAU",LEFT(coder1_YH!AE28)))</f>
        <v>0</v>
      </c>
      <c r="AV28" s="345" t="str">
        <f>IF(coder1_YH!AF28="",AV27,coder1_YH!AF28)</f>
        <v>NA (5 sessions)</v>
      </c>
      <c r="AW28" s="345" t="e">
        <f t="shared" si="18"/>
        <v>#VALUE!</v>
      </c>
      <c r="AX28" s="345" t="str">
        <f>IF(coder1_YH!AG28="",AX27,coder1_YH!AG28)</f>
        <v>NA</v>
      </c>
      <c r="AY28" s="345" t="str">
        <f>IF(coder1_YH!AH28="",AY27,coder1_YH!AH28)</f>
        <v>NA</v>
      </c>
      <c r="AZ28" s="345" t="str">
        <f>IF(coder1_YH!AI28 = "", AZ27, IF(coder1_YH!AI28="BAU","BAU",LEFT(coder1_YH!AI28)))</f>
        <v>0</v>
      </c>
      <c r="BA28" s="384">
        <f>clean_data!Y28</f>
        <v>16</v>
      </c>
    </row>
    <row r="29" spans="1:53" x14ac:dyDescent="0.2">
      <c r="A29">
        <f>coder1_YH!B29</f>
        <v>0</v>
      </c>
      <c r="B29">
        <f>coder1_YH!C29</f>
        <v>29</v>
      </c>
      <c r="C29">
        <f>coder1_YH!D29</f>
        <v>0</v>
      </c>
      <c r="D29" t="str">
        <f>coder1_YH!E29</f>
        <v/>
      </c>
      <c r="E29" t="b">
        <f>coder1_YH!F29</f>
        <v>1</v>
      </c>
      <c r="F29" s="321" t="str">
        <f>IF(coder1_YH!G29="", clean_mod!F28, coder1_YH!G29)</f>
        <v>Borkowski et al., 1988</v>
      </c>
      <c r="G29" s="321" t="str">
        <f t="shared" si="1"/>
        <v>107</v>
      </c>
      <c r="H29" s="321">
        <f>IF(coder1_YH!H29="", clean_mod!H28, coder1_YH!H29)</f>
        <v>107</v>
      </c>
      <c r="I29" s="404" t="str">
        <f t="shared" si="2"/>
        <v>1988</v>
      </c>
      <c r="J29" s="344" t="str">
        <f>IF(coder1_YH!I29="",J28,coder1_YH!I29)</f>
        <v>USA</v>
      </c>
      <c r="K29" s="345">
        <f t="shared" si="3"/>
        <v>0</v>
      </c>
      <c r="L29" s="344" t="str">
        <f>IF(coder1_YH!J29 = "",L28, coder1_YH!J29)</f>
        <v>English</v>
      </c>
      <c r="M29" s="345">
        <f t="shared" si="4"/>
        <v>0</v>
      </c>
      <c r="N29" s="345" t="str">
        <f>IF(coder1_YH!K29 = "", N28, LEFT(coder1_YH!K29,1))</f>
        <v>0</v>
      </c>
      <c r="O29" s="345" t="str">
        <f>IF(coder1_YH!L29 = "", O28, LEFT(coder1_YH!L29,1))</f>
        <v>0</v>
      </c>
      <c r="P29" s="345" t="str">
        <f>IF(coder1_YH!M29 = "", P28, LEFT(coder1_YH!M29,1))</f>
        <v>0</v>
      </c>
      <c r="Q29" s="321">
        <f>coder1_YH!P29</f>
        <v>3</v>
      </c>
      <c r="R29" s="321" t="str">
        <f>coder1_YH!Q29</f>
        <v>Attribution C (Control)</v>
      </c>
      <c r="S29" s="323" t="str">
        <f t="shared" si="5"/>
        <v/>
      </c>
      <c r="T29" s="323" t="str">
        <f t="shared" si="6"/>
        <v/>
      </c>
      <c r="U29" s="323" t="str">
        <f t="shared" si="7"/>
        <v/>
      </c>
      <c r="V29" s="323" t="str">
        <f t="shared" si="8"/>
        <v/>
      </c>
      <c r="W29" s="323">
        <f t="shared" si="9"/>
        <v>0</v>
      </c>
      <c r="X29" s="385" t="str">
        <f>IF(coder1_YH!N29 = "",X28,coder1_YH!N29)</f>
        <v>.</v>
      </c>
      <c r="Y29" s="385" t="str">
        <f>IF(coder1_YH!O29 = "",Y28,coder1_YH!O29)</f>
        <v xml:space="preserve">m </v>
      </c>
      <c r="Z29" s="385" t="str">
        <f t="shared" si="10"/>
        <v/>
      </c>
      <c r="AA29" s="385" t="str">
        <f t="shared" si="11"/>
        <v>R</v>
      </c>
      <c r="AB29" s="385" t="str">
        <f t="shared" si="12"/>
        <v>R</v>
      </c>
      <c r="AC29" s="323" t="str">
        <f t="shared" si="13"/>
        <v xml:space="preserve">.m </v>
      </c>
      <c r="AD29" s="323" t="str">
        <f t="shared" si="14"/>
        <v>R</v>
      </c>
      <c r="AF29" s="369" t="str">
        <f t="shared" si="15"/>
        <v xml:space="preserve">107-.m </v>
      </c>
      <c r="AG29" s="369" t="str">
        <f t="shared" si="16"/>
        <v>107-R</v>
      </c>
      <c r="AH29" s="344" t="str">
        <f>IF(coder1_YH!R29="",AH28,coder1_YH!R29)</f>
        <v>4, 5</v>
      </c>
      <c r="AI29" s="344">
        <f t="shared" si="0"/>
        <v>4.5</v>
      </c>
      <c r="AJ29" s="345">
        <f t="shared" si="17"/>
        <v>0</v>
      </c>
      <c r="AK29" s="408">
        <f>IF(coder1_YH!S29="",AK28,coder1_YH!S29)</f>
        <v>12</v>
      </c>
      <c r="AL29" s="345">
        <f>IF(coder1_YH!T29="",AL28,IF(coder1_YH!T29="mixed",0.25,coder1_YH!T29))</f>
        <v>1</v>
      </c>
      <c r="AM29" s="345">
        <f>IF(coder1_YH!U29 = "", AM28, IF(coder1_YH!U29="mixed","NA",coder1_YH!U29))</f>
        <v>1</v>
      </c>
      <c r="AN29" s="345" t="str">
        <f>IF(coder1_YH!V29="",AN28,coder1_YH!V29)</f>
        <v>NA</v>
      </c>
      <c r="AO29" s="345" t="str">
        <f>IF(coder1_YH!W29="",AO28,coder1_YH!W29)</f>
        <v>NA</v>
      </c>
      <c r="AP29" s="345">
        <f>IF(coder1_YH!X29="",AP28,coder1_YH!X29)</f>
        <v>0.65333333333333332</v>
      </c>
      <c r="AQ29" s="345">
        <f>IF(coder1_YH!Y29="",AQ28,coder1_YH!Y29)</f>
        <v>9.9999999999999978E-2</v>
      </c>
      <c r="AR29" t="str">
        <f>coder1_YH!AB29</f>
        <v>0 = Researcher-developed curriculum</v>
      </c>
      <c r="AS29" s="345" t="str">
        <f>IF(coder1_YH!AC29 = "", AS28,IF(coder1_YH!AC29="BAU","BAU",LEFT(coder1_YH!AC29)))</f>
        <v>0</v>
      </c>
      <c r="AT29" s="345" t="str">
        <f>IF(coder1_YH!AD29 = "", AT28,IF(coder1_YH!AD29="BAU","BAU",LEFT(coder1_YH!AD29)))</f>
        <v>1</v>
      </c>
      <c r="AU29" s="345" t="str">
        <f>IF(coder1_YH!AE29 = "", AU28,IF(coder1_YH!AE29="BAU","BAU",LEFT(coder1_YH!AE29)))</f>
        <v>0</v>
      </c>
      <c r="AV29" s="345" t="str">
        <f>IF(coder1_YH!AF29="",AV28,coder1_YH!AF29)</f>
        <v>NA (5 sessions)</v>
      </c>
      <c r="AW29" s="345" t="e">
        <f t="shared" si="18"/>
        <v>#VALUE!</v>
      </c>
      <c r="AX29" s="345" t="str">
        <f>IF(coder1_YH!AG29="",AX28,coder1_YH!AG29)</f>
        <v>NA</v>
      </c>
      <c r="AY29" s="345" t="str">
        <f>IF(coder1_YH!AH29="",AY28,coder1_YH!AH29)</f>
        <v>NA</v>
      </c>
      <c r="AZ29" s="345" t="str">
        <f>IF(coder1_YH!AI29 = "", AZ28, IF(coder1_YH!AI29="BAU","BAU",LEFT(coder1_YH!AI29)))</f>
        <v>0</v>
      </c>
      <c r="BA29" s="384">
        <f>clean_data!Y29</f>
        <v>19</v>
      </c>
    </row>
    <row r="30" spans="1:53" x14ac:dyDescent="0.2">
      <c r="A30">
        <f>coder1_YH!B30</f>
        <v>0</v>
      </c>
      <c r="B30">
        <f>coder1_YH!C30</f>
        <v>30</v>
      </c>
      <c r="C30">
        <f>coder1_YH!D30</f>
        <v>0</v>
      </c>
      <c r="D30" t="str">
        <f>coder1_YH!E30</f>
        <v/>
      </c>
      <c r="E30" t="str">
        <f>coder1_YH!F30</f>
        <v/>
      </c>
      <c r="F30" s="321" t="str">
        <f>IF(coder1_YH!G30="", clean_mod!F29, coder1_YH!G30)</f>
        <v>Borkowski et al., 1988</v>
      </c>
      <c r="G30" s="321" t="str">
        <f t="shared" si="1"/>
        <v>107</v>
      </c>
      <c r="H30" s="321">
        <f>IF(coder1_YH!H30="", clean_mod!H29, coder1_YH!H30)</f>
        <v>107</v>
      </c>
      <c r="I30" s="404" t="str">
        <f t="shared" si="2"/>
        <v>1988</v>
      </c>
      <c r="J30" s="344" t="str">
        <f>IF(coder1_YH!I30="",J29,coder1_YH!I30)</f>
        <v>USA</v>
      </c>
      <c r="K30" s="345">
        <f t="shared" si="3"/>
        <v>0</v>
      </c>
      <c r="L30" s="344" t="str">
        <f>IF(coder1_YH!J30 = "",L29, coder1_YH!J30)</f>
        <v>English</v>
      </c>
      <c r="M30" s="345">
        <f t="shared" si="4"/>
        <v>0</v>
      </c>
      <c r="N30" s="345" t="str">
        <f>IF(coder1_YH!K30 = "", N29, LEFT(coder1_YH!K30,1))</f>
        <v>0</v>
      </c>
      <c r="O30" s="345" t="str">
        <f>IF(coder1_YH!L30 = "", O29, LEFT(coder1_YH!L30,1))</f>
        <v>0</v>
      </c>
      <c r="P30" s="345" t="str">
        <f>IF(coder1_YH!M30 = "", P29, LEFT(coder1_YH!M30,1))</f>
        <v>0</v>
      </c>
      <c r="Q30" s="321">
        <f>coder1_YH!P30</f>
        <v>0</v>
      </c>
      <c r="R30" s="321">
        <f>coder1_YH!Q30</f>
        <v>0</v>
      </c>
      <c r="S30" s="323" t="str">
        <f t="shared" si="5"/>
        <v/>
      </c>
      <c r="T30" s="323" t="str">
        <f t="shared" si="6"/>
        <v/>
      </c>
      <c r="U30" s="323" t="str">
        <f t="shared" si="7"/>
        <v/>
      </c>
      <c r="V30" s="323" t="str">
        <f t="shared" si="8"/>
        <v/>
      </c>
      <c r="W30" s="323">
        <f t="shared" si="9"/>
        <v>0</v>
      </c>
      <c r="X30" s="385" t="str">
        <f>IF(coder1_YH!N30 = "",X29,coder1_YH!N30)</f>
        <v>.</v>
      </c>
      <c r="Y30" s="385" t="str">
        <f>IF(coder1_YH!O30 = "",Y29,coder1_YH!O30)</f>
        <v xml:space="preserve">m </v>
      </c>
      <c r="Z30" s="385" t="str">
        <f t="shared" si="10"/>
        <v/>
      </c>
      <c r="AA30" s="385" t="str">
        <f t="shared" si="11"/>
        <v>R</v>
      </c>
      <c r="AB30" s="385" t="str">
        <f t="shared" si="12"/>
        <v>R</v>
      </c>
      <c r="AC30" s="323" t="str">
        <f t="shared" si="13"/>
        <v xml:space="preserve">.m </v>
      </c>
      <c r="AD30" s="323" t="str">
        <f t="shared" si="14"/>
        <v>R</v>
      </c>
      <c r="AF30" s="369" t="str">
        <f t="shared" si="15"/>
        <v xml:space="preserve">107-.m </v>
      </c>
      <c r="AG30" s="369" t="str">
        <f t="shared" si="16"/>
        <v>107-R</v>
      </c>
      <c r="AH30" s="344" t="str">
        <f>IF(coder1_YH!R30="",AH29,coder1_YH!R30)</f>
        <v>4, 5</v>
      </c>
      <c r="AI30" s="344">
        <f t="shared" si="0"/>
        <v>4.5</v>
      </c>
      <c r="AJ30" s="345">
        <f t="shared" si="17"/>
        <v>0</v>
      </c>
      <c r="AK30" s="408">
        <f>IF(coder1_YH!S30="",AK29,coder1_YH!S30)</f>
        <v>12</v>
      </c>
      <c r="AL30" s="345">
        <f>IF(coder1_YH!T30="",AL29,IF(coder1_YH!T30="mixed",0.25,coder1_YH!T30))</f>
        <v>1</v>
      </c>
      <c r="AM30" s="345">
        <f>IF(coder1_YH!U30 = "", AM29, IF(coder1_YH!U30="mixed","NA",coder1_YH!U30))</f>
        <v>1</v>
      </c>
      <c r="AN30" s="345" t="str">
        <f>IF(coder1_YH!V30="",AN29,coder1_YH!V30)</f>
        <v>NA</v>
      </c>
      <c r="AO30" s="345" t="str">
        <f>IF(coder1_YH!W30="",AO29,coder1_YH!W30)</f>
        <v>NA</v>
      </c>
      <c r="AP30" s="345">
        <f>IF(coder1_YH!X30="",AP29,coder1_YH!X30)</f>
        <v>0.65333333333333332</v>
      </c>
      <c r="AQ30" s="345">
        <f>IF(coder1_YH!Y30="",AQ29,coder1_YH!Y30)</f>
        <v>9.9999999999999978E-2</v>
      </c>
      <c r="AR30">
        <f>coder1_YH!AB30</f>
        <v>0</v>
      </c>
      <c r="AS30" s="345" t="str">
        <f>IF(coder1_YH!AC30 = "", AS29,IF(coder1_YH!AC30="BAU","BAU",LEFT(coder1_YH!AC30)))</f>
        <v>0</v>
      </c>
      <c r="AT30" s="345" t="str">
        <f>IF(coder1_YH!AD30 = "", AT29,IF(coder1_YH!AD30="BAU","BAU",LEFT(coder1_YH!AD30)))</f>
        <v>1</v>
      </c>
      <c r="AU30" s="345" t="str">
        <f>IF(coder1_YH!AE30 = "", AU29,IF(coder1_YH!AE30="BAU","BAU",LEFT(coder1_YH!AE30)))</f>
        <v>0</v>
      </c>
      <c r="AV30" s="345" t="str">
        <f>IF(coder1_YH!AF30="",AV29,coder1_YH!AF30)</f>
        <v>NA (5 sessions)</v>
      </c>
      <c r="AW30" s="345" t="e">
        <f t="shared" si="18"/>
        <v>#VALUE!</v>
      </c>
      <c r="AX30" s="345" t="str">
        <f>IF(coder1_YH!AG30="",AX29,coder1_YH!AG30)</f>
        <v>NA</v>
      </c>
      <c r="AY30" s="345" t="str">
        <f>IF(coder1_YH!AH30="",AY29,coder1_YH!AH30)</f>
        <v>NA</v>
      </c>
      <c r="AZ30" s="345" t="str">
        <f>IF(coder1_YH!AI30 = "", AZ29, IF(coder1_YH!AI30="BAU","BAU",LEFT(coder1_YH!AI30)))</f>
        <v>0</v>
      </c>
      <c r="BA30" s="384">
        <f>clean_data!Y30</f>
        <v>19</v>
      </c>
    </row>
    <row r="31" spans="1:53" x14ac:dyDescent="0.2">
      <c r="A31">
        <f>coder1_YH!B31</f>
        <v>0</v>
      </c>
      <c r="B31">
        <f>coder1_YH!C31</f>
        <v>31</v>
      </c>
      <c r="C31">
        <f>coder1_YH!D31</f>
        <v>0</v>
      </c>
      <c r="D31" t="str">
        <f>coder1_YH!E31</f>
        <v/>
      </c>
      <c r="E31" t="b">
        <f>coder1_YH!F31</f>
        <v>1</v>
      </c>
      <c r="F31" s="321" t="str">
        <f>IF(coder1_YH!G31="", clean_mod!F30, coder1_YH!G31)</f>
        <v>Borkowski et al., 1988</v>
      </c>
      <c r="G31" s="321" t="str">
        <f t="shared" si="1"/>
        <v>107</v>
      </c>
      <c r="H31" s="321">
        <f>IF(coder1_YH!H31="", clean_mod!H30, coder1_YH!H31)</f>
        <v>107</v>
      </c>
      <c r="I31" s="404" t="str">
        <f t="shared" si="2"/>
        <v>1988</v>
      </c>
      <c r="J31" s="344" t="str">
        <f>IF(coder1_YH!I31="",J30,coder1_YH!I31)</f>
        <v>USA</v>
      </c>
      <c r="K31" s="345">
        <f t="shared" si="3"/>
        <v>0</v>
      </c>
      <c r="L31" s="344" t="str">
        <f>IF(coder1_YH!J31 = "",L30, coder1_YH!J31)</f>
        <v>English</v>
      </c>
      <c r="M31" s="345">
        <f t="shared" si="4"/>
        <v>0</v>
      </c>
      <c r="N31" s="345" t="str">
        <f>IF(coder1_YH!K31 = "", N30, LEFT(coder1_YH!K31,1))</f>
        <v>0</v>
      </c>
      <c r="O31" s="345" t="str">
        <f>IF(coder1_YH!L31 = "", O30, LEFT(coder1_YH!L31,1))</f>
        <v>0</v>
      </c>
      <c r="P31" s="345" t="str">
        <f>IF(coder1_YH!M31 = "", P30, LEFT(coder1_YH!M31,1))</f>
        <v>0</v>
      </c>
      <c r="Q31" s="321" t="str">
        <f>coder1_YH!P31</f>
        <v>ctl</v>
      </c>
      <c r="R31" s="321" t="str">
        <f>coder1_YH!Q31</f>
        <v>RS Control</v>
      </c>
      <c r="S31" s="323" t="str">
        <f t="shared" si="5"/>
        <v/>
      </c>
      <c r="T31" s="323" t="str">
        <f t="shared" si="6"/>
        <v/>
      </c>
      <c r="U31" s="323" t="str">
        <f t="shared" si="7"/>
        <v/>
      </c>
      <c r="V31" s="323" t="str">
        <f t="shared" si="8"/>
        <v/>
      </c>
      <c r="W31" s="323">
        <f t="shared" si="9"/>
        <v>0</v>
      </c>
      <c r="X31" s="385" t="str">
        <f>IF(coder1_YH!N31 = "",X30,coder1_YH!N31)</f>
        <v>.</v>
      </c>
      <c r="Y31" s="385" t="str">
        <f>IF(coder1_YH!O31 = "",Y30,coder1_YH!O31)</f>
        <v>.</v>
      </c>
      <c r="Z31" s="385" t="str">
        <f t="shared" si="10"/>
        <v/>
      </c>
      <c r="AA31" s="385" t="str">
        <f t="shared" si="11"/>
        <v>BAU</v>
      </c>
      <c r="AB31" s="385" t="str">
        <f t="shared" si="12"/>
        <v>BAU</v>
      </c>
      <c r="AC31" s="323" t="str">
        <f t="shared" si="13"/>
        <v>..</v>
      </c>
      <c r="AD31" s="323" t="str">
        <f t="shared" si="14"/>
        <v>BAU</v>
      </c>
      <c r="AF31" s="369" t="str">
        <f t="shared" si="15"/>
        <v>107-..</v>
      </c>
      <c r="AG31" s="369" t="str">
        <f t="shared" si="16"/>
        <v>107-BAU</v>
      </c>
      <c r="AH31" s="344" t="str">
        <f>IF(coder1_YH!R31="",AH30,coder1_YH!R31)</f>
        <v>4, 5</v>
      </c>
      <c r="AI31" s="344">
        <f t="shared" si="0"/>
        <v>4.5</v>
      </c>
      <c r="AJ31" s="345">
        <f t="shared" si="17"/>
        <v>0</v>
      </c>
      <c r="AK31" s="408">
        <f>IF(coder1_YH!S31="",AK30,coder1_YH!S31)</f>
        <v>12</v>
      </c>
      <c r="AL31" s="345">
        <f>IF(coder1_YH!T31="",AL30,IF(coder1_YH!T31="mixed",0.25,coder1_YH!T31))</f>
        <v>1</v>
      </c>
      <c r="AM31" s="345">
        <f>IF(coder1_YH!U31 = "", AM30, IF(coder1_YH!U31="mixed","NA",coder1_YH!U31))</f>
        <v>1</v>
      </c>
      <c r="AN31" s="345" t="str">
        <f>IF(coder1_YH!V31="",AN30,coder1_YH!V31)</f>
        <v>NA</v>
      </c>
      <c r="AO31" s="345" t="str">
        <f>IF(coder1_YH!W31="",AO30,coder1_YH!W31)</f>
        <v>NA</v>
      </c>
      <c r="AP31" s="345">
        <f>IF(coder1_YH!X31="",AP30,coder1_YH!X31)</f>
        <v>0.65333333333333332</v>
      </c>
      <c r="AQ31" s="345">
        <f>IF(coder1_YH!Y31="",AQ30,coder1_YH!Y31)</f>
        <v>9.9999999999999978E-2</v>
      </c>
      <c r="AR31" t="str">
        <f>coder1_YH!AB31</f>
        <v>0 = Researcher-developed curriculum</v>
      </c>
      <c r="AS31" s="345" t="str">
        <f>IF(coder1_YH!AC31 = "", AS30,IF(coder1_YH!AC31="BAU","BAU",LEFT(coder1_YH!AC31)))</f>
        <v>0</v>
      </c>
      <c r="AT31" s="345" t="str">
        <f>IF(coder1_YH!AD31 = "", AT30,IF(coder1_YH!AD31="BAU","BAU",LEFT(coder1_YH!AD31)))</f>
        <v>1</v>
      </c>
      <c r="AU31" s="345" t="str">
        <f>IF(coder1_YH!AE31 = "", AU30,IF(coder1_YH!AE31="BAU","BAU",LEFT(coder1_YH!AE31)))</f>
        <v>0</v>
      </c>
      <c r="AV31" s="345" t="str">
        <f>IF(coder1_YH!AF31="",AV30,coder1_YH!AF31)</f>
        <v>NA (5 sessions)</v>
      </c>
      <c r="AW31" s="345" t="e">
        <f t="shared" si="18"/>
        <v>#VALUE!</v>
      </c>
      <c r="AX31" s="345" t="str">
        <f>IF(coder1_YH!AG31="",AX30,coder1_YH!AG31)</f>
        <v>NA</v>
      </c>
      <c r="AY31" s="345" t="str">
        <f>IF(coder1_YH!AH31="",AY30,coder1_YH!AH31)</f>
        <v>NA</v>
      </c>
      <c r="AZ31" s="345" t="str">
        <f>IF(coder1_YH!AI31 = "", AZ30, IF(coder1_YH!AI31="BAU","BAU",LEFT(coder1_YH!AI31)))</f>
        <v>0</v>
      </c>
      <c r="BA31" s="384">
        <f>clean_data!Y31</f>
        <v>21</v>
      </c>
    </row>
    <row r="32" spans="1:53" x14ac:dyDescent="0.2">
      <c r="A32">
        <f>coder1_YH!B32</f>
        <v>0</v>
      </c>
      <c r="B32">
        <f>coder1_YH!C32</f>
        <v>32</v>
      </c>
      <c r="C32">
        <f>coder1_YH!D32</f>
        <v>0</v>
      </c>
      <c r="D32" t="str">
        <f>coder1_YH!E32</f>
        <v/>
      </c>
      <c r="E32" t="str">
        <f>coder1_YH!F32</f>
        <v/>
      </c>
      <c r="F32" s="321" t="str">
        <f>IF(coder1_YH!G32="", clean_mod!F31, coder1_YH!G32)</f>
        <v>Borkowski et al., 1988</v>
      </c>
      <c r="G32" s="321" t="str">
        <f t="shared" si="1"/>
        <v>107</v>
      </c>
      <c r="H32" s="321">
        <f>IF(coder1_YH!H32="", clean_mod!H31, coder1_YH!H32)</f>
        <v>107</v>
      </c>
      <c r="I32" s="404" t="str">
        <f t="shared" si="2"/>
        <v>1988</v>
      </c>
      <c r="J32" s="344" t="str">
        <f>IF(coder1_YH!I32="",J31,coder1_YH!I32)</f>
        <v>USA</v>
      </c>
      <c r="K32" s="345">
        <f t="shared" si="3"/>
        <v>0</v>
      </c>
      <c r="L32" s="344" t="str">
        <f>IF(coder1_YH!J32 = "",L31, coder1_YH!J32)</f>
        <v>English</v>
      </c>
      <c r="M32" s="345">
        <f t="shared" si="4"/>
        <v>0</v>
      </c>
      <c r="N32" s="345" t="str">
        <f>IF(coder1_YH!K32 = "", N31, LEFT(coder1_YH!K32,1))</f>
        <v>0</v>
      </c>
      <c r="O32" s="345" t="str">
        <f>IF(coder1_YH!L32 = "", O31, LEFT(coder1_YH!L32,1))</f>
        <v>0</v>
      </c>
      <c r="P32" s="345" t="str">
        <f>IF(coder1_YH!M32 = "", P31, LEFT(coder1_YH!M32,1))</f>
        <v>0</v>
      </c>
      <c r="Q32" s="321">
        <f>coder1_YH!P32</f>
        <v>0</v>
      </c>
      <c r="R32" s="321">
        <f>coder1_YH!Q32</f>
        <v>0</v>
      </c>
      <c r="S32" s="323" t="str">
        <f t="shared" si="5"/>
        <v/>
      </c>
      <c r="T32" s="323" t="str">
        <f t="shared" si="6"/>
        <v/>
      </c>
      <c r="U32" s="323" t="str">
        <f t="shared" si="7"/>
        <v/>
      </c>
      <c r="V32" s="323" t="str">
        <f t="shared" si="8"/>
        <v/>
      </c>
      <c r="W32" s="323">
        <f t="shared" si="9"/>
        <v>0</v>
      </c>
      <c r="X32" s="385" t="str">
        <f>IF(coder1_YH!N32 = "",X31,coder1_YH!N32)</f>
        <v>.</v>
      </c>
      <c r="Y32" s="385" t="str">
        <f>IF(coder1_YH!O32 = "",Y31,coder1_YH!O32)</f>
        <v>.</v>
      </c>
      <c r="Z32" s="385" t="str">
        <f t="shared" si="10"/>
        <v/>
      </c>
      <c r="AA32" s="385" t="str">
        <f t="shared" si="11"/>
        <v>BAU</v>
      </c>
      <c r="AB32" s="385" t="str">
        <f t="shared" si="12"/>
        <v>BAU</v>
      </c>
      <c r="AC32" s="323" t="str">
        <f t="shared" si="13"/>
        <v>..</v>
      </c>
      <c r="AD32" s="323" t="str">
        <f t="shared" si="14"/>
        <v>BAU</v>
      </c>
      <c r="AF32" s="369" t="str">
        <f t="shared" si="15"/>
        <v>107-..</v>
      </c>
      <c r="AG32" s="369" t="str">
        <f t="shared" si="16"/>
        <v>107-BAU</v>
      </c>
      <c r="AH32" s="344" t="str">
        <f>IF(coder1_YH!R32="",AH31,coder1_YH!R32)</f>
        <v>4, 5</v>
      </c>
      <c r="AI32" s="344">
        <f t="shared" si="0"/>
        <v>4.5</v>
      </c>
      <c r="AJ32" s="345">
        <f t="shared" si="17"/>
        <v>0</v>
      </c>
      <c r="AK32" s="408">
        <f>IF(coder1_YH!S32="",AK31,coder1_YH!S32)</f>
        <v>12</v>
      </c>
      <c r="AL32" s="345">
        <f>IF(coder1_YH!T32="",AL31,IF(coder1_YH!T32="mixed",0.25,coder1_YH!T32))</f>
        <v>1</v>
      </c>
      <c r="AM32" s="345">
        <f>IF(coder1_YH!U32 = "", AM31, IF(coder1_YH!U32="mixed","NA",coder1_YH!U32))</f>
        <v>1</v>
      </c>
      <c r="AN32" s="345" t="str">
        <f>IF(coder1_YH!V32="",AN31,coder1_YH!V32)</f>
        <v>NA</v>
      </c>
      <c r="AO32" s="345" t="str">
        <f>IF(coder1_YH!W32="",AO31,coder1_YH!W32)</f>
        <v>NA</v>
      </c>
      <c r="AP32" s="345">
        <f>IF(coder1_YH!X32="",AP31,coder1_YH!X32)</f>
        <v>0.65333333333333332</v>
      </c>
      <c r="AQ32" s="345">
        <f>IF(coder1_YH!Y32="",AQ31,coder1_YH!Y32)</f>
        <v>9.9999999999999978E-2</v>
      </c>
      <c r="AR32">
        <f>coder1_YH!AB32</f>
        <v>0</v>
      </c>
      <c r="AS32" s="345" t="str">
        <f>IF(coder1_YH!AC32 = "", AS31,IF(coder1_YH!AC32="BAU","BAU",LEFT(coder1_YH!AC32)))</f>
        <v>0</v>
      </c>
      <c r="AT32" s="345" t="str">
        <f>IF(coder1_YH!AD32 = "", AT31,IF(coder1_YH!AD32="BAU","BAU",LEFT(coder1_YH!AD32)))</f>
        <v>1</v>
      </c>
      <c r="AU32" s="345" t="str">
        <f>IF(coder1_YH!AE32 = "", AU31,IF(coder1_YH!AE32="BAU","BAU",LEFT(coder1_YH!AE32)))</f>
        <v>0</v>
      </c>
      <c r="AV32" s="345" t="str">
        <f>IF(coder1_YH!AF32="",AV31,coder1_YH!AF32)</f>
        <v>NA (5 sessions)</v>
      </c>
      <c r="AW32" s="345" t="e">
        <f t="shared" si="18"/>
        <v>#VALUE!</v>
      </c>
      <c r="AX32" s="345" t="str">
        <f>IF(coder1_YH!AG32="",AX31,coder1_YH!AG32)</f>
        <v>NA</v>
      </c>
      <c r="AY32" s="345" t="str">
        <f>IF(coder1_YH!AH32="",AY31,coder1_YH!AH32)</f>
        <v>NA</v>
      </c>
      <c r="AZ32" s="345" t="str">
        <f>IF(coder1_YH!AI32 = "", AZ31, IF(coder1_YH!AI32="BAU","BAU",LEFT(coder1_YH!AI32)))</f>
        <v>0</v>
      </c>
      <c r="BA32" s="384">
        <f>clean_data!Y32</f>
        <v>21</v>
      </c>
    </row>
    <row r="33" spans="1:53" x14ac:dyDescent="0.2">
      <c r="A33">
        <f>coder1_YH!B33</f>
        <v>0</v>
      </c>
      <c r="B33">
        <f>coder1_YH!C33</f>
        <v>33</v>
      </c>
      <c r="C33" t="b">
        <f>coder1_YH!D33</f>
        <v>1</v>
      </c>
      <c r="D33" t="b">
        <f>coder1_YH!E33</f>
        <v>1</v>
      </c>
      <c r="E33" t="b">
        <f>coder1_YH!F33</f>
        <v>1</v>
      </c>
      <c r="F33" s="321" t="str">
        <f>IF(coder1_YH!G33="", clean_mod!F32, coder1_YH!G33)</f>
        <v>Cantrell et al., 2014</v>
      </c>
      <c r="G33" s="321" t="str">
        <f t="shared" si="1"/>
        <v>108</v>
      </c>
      <c r="H33" s="321">
        <f>IF(coder1_YH!H33="", clean_mod!H32, coder1_YH!H33)</f>
        <v>108</v>
      </c>
      <c r="I33" s="404" t="str">
        <f t="shared" si="2"/>
        <v>2014</v>
      </c>
      <c r="J33" s="344" t="str">
        <f>IF(coder1_YH!I33="",J32,coder1_YH!I33)</f>
        <v>USA</v>
      </c>
      <c r="K33" s="345">
        <f t="shared" si="3"/>
        <v>0</v>
      </c>
      <c r="L33" s="344" t="str">
        <f>IF(coder1_YH!J33 = "",L32, coder1_YH!J33)</f>
        <v>English</v>
      </c>
      <c r="M33" s="345">
        <f t="shared" si="4"/>
        <v>0</v>
      </c>
      <c r="N33" s="345" t="str">
        <f>IF(coder1_YH!K33 = "", N32, LEFT(coder1_YH!K33,1))</f>
        <v>0</v>
      </c>
      <c r="O33" s="345" t="str">
        <f>IF(coder1_YH!L33 = "", O32, LEFT(coder1_YH!L33,1))</f>
        <v>0</v>
      </c>
      <c r="P33" s="345" t="str">
        <f>IF(coder1_YH!M33 = "", P32, LEFT(coder1_YH!M33,1))</f>
        <v>0</v>
      </c>
      <c r="Q33" s="321">
        <f>coder1_YH!P33</f>
        <v>1</v>
      </c>
      <c r="R33" s="321" t="str">
        <f>coder1_YH!Q33</f>
        <v>Int.  n = 462</v>
      </c>
      <c r="S33" s="323" t="str">
        <f t="shared" si="5"/>
        <v>N</v>
      </c>
      <c r="T33" s="323" t="str">
        <f t="shared" si="6"/>
        <v/>
      </c>
      <c r="U33" s="323" t="str">
        <f t="shared" si="7"/>
        <v/>
      </c>
      <c r="V33" s="323" t="str">
        <f t="shared" si="8"/>
        <v/>
      </c>
      <c r="W33" s="323">
        <f t="shared" si="9"/>
        <v>1</v>
      </c>
      <c r="X33" s="385" t="str">
        <f>IF(coder1_YH!N33 = "",X32,coder1_YH!N33)</f>
        <v>N</v>
      </c>
      <c r="Y33" s="385" t="str">
        <f>IF(coder1_YH!O33 = "",Y32,coder1_YH!O33)</f>
        <v>cm</v>
      </c>
      <c r="Z33" s="385" t="str">
        <f t="shared" si="10"/>
        <v>M</v>
      </c>
      <c r="AA33" s="385" t="str">
        <f t="shared" si="11"/>
        <v>R</v>
      </c>
      <c r="AB33" s="385" t="str">
        <f t="shared" si="12"/>
        <v>MR</v>
      </c>
      <c r="AC33" s="323" t="str">
        <f t="shared" si="13"/>
        <v>Ncm</v>
      </c>
      <c r="AD33" s="323" t="str">
        <f t="shared" si="14"/>
        <v>N_R</v>
      </c>
      <c r="AE33" s="323">
        <f>IF(Y33="cm", 1,0)</f>
        <v>1</v>
      </c>
      <c r="AF33" s="369" t="str">
        <f t="shared" si="15"/>
        <v>108-Ncm</v>
      </c>
      <c r="AG33" s="369" t="str">
        <f t="shared" si="16"/>
        <v>108-N_R</v>
      </c>
      <c r="AH33" s="344">
        <f>IF(coder1_YH!R33="",AH32,coder1_YH!R33)</f>
        <v>6</v>
      </c>
      <c r="AI33" s="344">
        <f t="shared" si="0"/>
        <v>6</v>
      </c>
      <c r="AJ33" s="345">
        <f t="shared" si="17"/>
        <v>1</v>
      </c>
      <c r="AK33" s="408">
        <f>IF(coder1_YH!S33="",AK32,coder1_YH!S33)</f>
        <v>11.5</v>
      </c>
      <c r="AL33" s="345">
        <f>IF(coder1_YH!T33="",AL32,IF(coder1_YH!T33="mixed",0.25,coder1_YH!T33))</f>
        <v>1</v>
      </c>
      <c r="AM33" s="345">
        <f>IF(coder1_YH!U33 = "", AM32, IF(coder1_YH!U33="mixed","NA",coder1_YH!U33))</f>
        <v>0.33116883116883117</v>
      </c>
      <c r="AN33" s="345">
        <f>IF(coder1_YH!V33="",AN32,coder1_YH!V33)</f>
        <v>0.67965367965367962</v>
      </c>
      <c r="AO33" s="345" t="str">
        <f>IF(coder1_YH!W33="",AO32,coder1_YH!W33)</f>
        <v>NA</v>
      </c>
      <c r="AP33" s="345">
        <f>IF(coder1_YH!X33="",AP32,coder1_YH!X33)</f>
        <v>0.58225108225108224</v>
      </c>
      <c r="AQ33" s="345">
        <f>IF(coder1_YH!Y33="",AQ32,coder1_YH!Y33)</f>
        <v>0.12554112554112554</v>
      </c>
      <c r="AR33" t="str">
        <f>coder1_YH!AB33</f>
        <v>0 = Researcher-developed curriculum</v>
      </c>
      <c r="AS33" s="345" t="str">
        <f>IF(coder1_YH!AC33 = "", AS32,IF(coder1_YH!AC33="BAU","BAU",LEFT(coder1_YH!AC33)))</f>
        <v>0</v>
      </c>
      <c r="AT33" s="345" t="str">
        <f>IF(coder1_YH!AD33 = "", AT32,IF(coder1_YH!AD33="BAU","BAU",LEFT(coder1_YH!AD33)))</f>
        <v>0</v>
      </c>
      <c r="AU33" s="345" t="str">
        <f>IF(coder1_YH!AE33 = "", AU32,IF(coder1_YH!AE33="BAU","BAU",LEFT(coder1_YH!AE33)))</f>
        <v>1</v>
      </c>
      <c r="AV33" s="345">
        <f>IF(coder1_YH!AF33="",AV32,coder1_YH!AF33)</f>
        <v>7448.1</v>
      </c>
      <c r="AW33" s="345">
        <f t="shared" si="18"/>
        <v>124.13500000000001</v>
      </c>
      <c r="AX33" s="345">
        <f>IF(coder1_YH!AG33="",AX32,coder1_YH!AG33)</f>
        <v>540</v>
      </c>
      <c r="AY33" s="345">
        <f>IF(coder1_YH!AH33="",AY32,coder1_YH!AH33)</f>
        <v>41.378333333333337</v>
      </c>
      <c r="AZ33" s="345" t="str">
        <f>IF(coder1_YH!AI33 = "", AZ32, IF(coder1_YH!AI33="BAU","BAU",LEFT(coder1_YH!AI33)))</f>
        <v>1</v>
      </c>
      <c r="BA33" s="384">
        <f>clean_data!Y33</f>
        <v>462</v>
      </c>
    </row>
    <row r="34" spans="1:53" x14ac:dyDescent="0.2">
      <c r="A34">
        <f>coder1_YH!B34</f>
        <v>0</v>
      </c>
      <c r="B34">
        <f>coder1_YH!C34</f>
        <v>34</v>
      </c>
      <c r="C34">
        <f>coder1_YH!D34</f>
        <v>0</v>
      </c>
      <c r="D34" t="str">
        <f>coder1_YH!E34</f>
        <v/>
      </c>
      <c r="E34" t="b">
        <f>coder1_YH!F34</f>
        <v>1</v>
      </c>
      <c r="F34" s="321" t="str">
        <f>IF(coder1_YH!G34="", clean_mod!F33, coder1_YH!G34)</f>
        <v>Cantrell et al., 2014</v>
      </c>
      <c r="G34" s="321" t="str">
        <f t="shared" si="1"/>
        <v>108</v>
      </c>
      <c r="H34" s="321">
        <f>IF(coder1_YH!H34="", clean_mod!H33, coder1_YH!H34)</f>
        <v>108</v>
      </c>
      <c r="I34" s="404" t="str">
        <f t="shared" si="2"/>
        <v>2014</v>
      </c>
      <c r="J34" s="344" t="str">
        <f>IF(coder1_YH!I34="",J33,coder1_YH!I34)</f>
        <v>USA</v>
      </c>
      <c r="K34" s="345">
        <f t="shared" si="3"/>
        <v>0</v>
      </c>
      <c r="L34" s="344" t="str">
        <f>IF(coder1_YH!J34 = "",L33, coder1_YH!J34)</f>
        <v>English</v>
      </c>
      <c r="M34" s="345">
        <f t="shared" si="4"/>
        <v>0</v>
      </c>
      <c r="N34" s="345" t="str">
        <f>IF(coder1_YH!K34 = "", N33, LEFT(coder1_YH!K34,1))</f>
        <v>0</v>
      </c>
      <c r="O34" s="345" t="str">
        <f>IF(coder1_YH!L34 = "", O33, LEFT(coder1_YH!L34,1))</f>
        <v>0</v>
      </c>
      <c r="P34" s="345" t="str">
        <f>IF(coder1_YH!M34 = "", P33, LEFT(coder1_YH!M34,1))</f>
        <v>0</v>
      </c>
      <c r="Q34" s="321" t="str">
        <f>coder1_YH!P34</f>
        <v>ctl</v>
      </c>
      <c r="R34" s="321" t="str">
        <f>coder1_YH!Q34</f>
        <v>Con.  n = 389</v>
      </c>
      <c r="S34" s="323" t="str">
        <f t="shared" si="5"/>
        <v/>
      </c>
      <c r="T34" s="323" t="str">
        <f t="shared" si="6"/>
        <v/>
      </c>
      <c r="U34" s="323" t="str">
        <f t="shared" si="7"/>
        <v/>
      </c>
      <c r="V34" s="323" t="str">
        <f t="shared" si="8"/>
        <v/>
      </c>
      <c r="W34" s="323">
        <f t="shared" si="9"/>
        <v>0</v>
      </c>
      <c r="X34" s="385" t="str">
        <f>IF(coder1_YH!N34 = "",X33,coder1_YH!N34)</f>
        <v>.</v>
      </c>
      <c r="Y34" s="385" t="str">
        <f>IF(coder1_YH!O34 = "",Y33,coder1_YH!O34)</f>
        <v>.</v>
      </c>
      <c r="Z34" s="385" t="str">
        <f t="shared" si="10"/>
        <v/>
      </c>
      <c r="AA34" s="385" t="str">
        <f t="shared" si="11"/>
        <v>BAU</v>
      </c>
      <c r="AB34" s="385" t="str">
        <f t="shared" si="12"/>
        <v>BAU</v>
      </c>
      <c r="AC34" s="323" t="str">
        <f t="shared" si="13"/>
        <v>..</v>
      </c>
      <c r="AD34" s="323" t="str">
        <f t="shared" si="14"/>
        <v>BAU</v>
      </c>
      <c r="AF34" s="369" t="str">
        <f t="shared" si="15"/>
        <v>108-..</v>
      </c>
      <c r="AG34" s="369" t="str">
        <f t="shared" si="16"/>
        <v>108-BAU</v>
      </c>
      <c r="AH34" s="344">
        <f>IF(coder1_YH!R34="",AH33,coder1_YH!R34)</f>
        <v>6</v>
      </c>
      <c r="AI34" s="344">
        <f t="shared" si="0"/>
        <v>6</v>
      </c>
      <c r="AJ34" s="345">
        <f t="shared" si="17"/>
        <v>1</v>
      </c>
      <c r="AK34" s="408">
        <f>IF(coder1_YH!S34="",AK33,coder1_YH!S34)</f>
        <v>11.5</v>
      </c>
      <c r="AL34" s="345">
        <f>IF(coder1_YH!T34="",AL33,IF(coder1_YH!T34="mixed",0.25,coder1_YH!T34))</f>
        <v>1</v>
      </c>
      <c r="AM34" s="345">
        <f>IF(coder1_YH!U34 = "", AM33, IF(coder1_YH!U34="mixed","NA",coder1_YH!U34))</f>
        <v>0.26221079691516708</v>
      </c>
      <c r="AN34" s="345">
        <f>IF(coder1_YH!V34="",AN33,coder1_YH!V34)</f>
        <v>0.65552699228791778</v>
      </c>
      <c r="AO34" s="345" t="str">
        <f>IF(coder1_YH!W34="",AO33,coder1_YH!W34)</f>
        <v>NA</v>
      </c>
      <c r="AP34" s="345">
        <f>IF(coder1_YH!X34="",AP33,coder1_YH!X34)</f>
        <v>0.57840616966580982</v>
      </c>
      <c r="AQ34" s="345">
        <f>IF(coder1_YH!Y34="",AQ33,coder1_YH!Y34)</f>
        <v>0.14395886889460155</v>
      </c>
      <c r="AR34" t="str">
        <f>coder1_YH!AB34</f>
        <v>0 = Researcher-developed curriculum</v>
      </c>
      <c r="AS34" s="345" t="str">
        <f>IF(coder1_YH!AC34 = "", AS33,IF(coder1_YH!AC34="BAU","BAU",LEFT(coder1_YH!AC34)))</f>
        <v>BAU</v>
      </c>
      <c r="AT34" s="345" t="str">
        <f>IF(coder1_YH!AD34 = "", AT33,IF(coder1_YH!AD34="BAU","BAU",LEFT(coder1_YH!AD34)))</f>
        <v>BAU</v>
      </c>
      <c r="AU34" s="345" t="str">
        <f>IF(coder1_YH!AE34 = "", AU33,IF(coder1_YH!AE34="BAU","BAU",LEFT(coder1_YH!AE34)))</f>
        <v>BAU</v>
      </c>
      <c r="AV34" s="345" t="str">
        <f>IF(coder1_YH!AF34="",AV33,coder1_YH!AF34)</f>
        <v>BAU</v>
      </c>
      <c r="AW34" s="345" t="str">
        <f t="shared" si="18"/>
        <v>BAU</v>
      </c>
      <c r="AX34" s="345">
        <f>IF(coder1_YH!AG34="",AX33,coder1_YH!AG34)</f>
        <v>540</v>
      </c>
      <c r="AY34" s="345" t="str">
        <f>IF(coder1_YH!AH34="",AY33,coder1_YH!AH34)</f>
        <v>BAU</v>
      </c>
      <c r="AZ34" s="345" t="str">
        <f>IF(coder1_YH!AI34 = "", AZ33, IF(coder1_YH!AI34="BAU","BAU",LEFT(coder1_YH!AI34)))</f>
        <v>BAU</v>
      </c>
      <c r="BA34" s="384">
        <f>clean_data!Y34</f>
        <v>389</v>
      </c>
    </row>
    <row r="35" spans="1:53" x14ac:dyDescent="0.2">
      <c r="A35">
        <f>coder1_YH!B35</f>
        <v>0</v>
      </c>
      <c r="B35">
        <f>coder1_YH!C35</f>
        <v>35</v>
      </c>
      <c r="C35" t="b">
        <f>coder1_YH!D35</f>
        <v>1</v>
      </c>
      <c r="D35" t="b">
        <f>coder1_YH!E35</f>
        <v>1</v>
      </c>
      <c r="E35" t="b">
        <f>coder1_YH!F35</f>
        <v>1</v>
      </c>
      <c r="F35" s="321" t="str">
        <f>IF(coder1_YH!G35="", clean_mod!F34, coder1_YH!G35)</f>
        <v>Cantrell et al., 2016</v>
      </c>
      <c r="G35" s="321" t="str">
        <f t="shared" si="1"/>
        <v>109</v>
      </c>
      <c r="H35" s="321">
        <f>IF(coder1_YH!H35="", clean_mod!H34, coder1_YH!H35)</f>
        <v>109.1</v>
      </c>
      <c r="I35" s="404" t="str">
        <f t="shared" si="2"/>
        <v>2016</v>
      </c>
      <c r="J35" s="344" t="str">
        <f>IF(coder1_YH!I35="",J34,coder1_YH!I35)</f>
        <v>USA</v>
      </c>
      <c r="K35" s="345">
        <f t="shared" si="3"/>
        <v>0</v>
      </c>
      <c r="L35" s="344" t="str">
        <f>IF(coder1_YH!J35 = "",L34, coder1_YH!J35)</f>
        <v>English</v>
      </c>
      <c r="M35" s="345">
        <f t="shared" si="4"/>
        <v>0</v>
      </c>
      <c r="N35" s="345" t="str">
        <f>IF(coder1_YH!K35 = "", N34, LEFT(coder1_YH!K35,1))</f>
        <v>0</v>
      </c>
      <c r="O35" s="345" t="str">
        <f>IF(coder1_YH!L35 = "", O34, LEFT(coder1_YH!L35,1))</f>
        <v>0</v>
      </c>
      <c r="P35" s="345" t="str">
        <f>IF(coder1_YH!M35 = "", P34, LEFT(coder1_YH!M35,1))</f>
        <v>0</v>
      </c>
      <c r="Q35" s="321">
        <f>coder1_YH!P35</f>
        <v>1</v>
      </c>
      <c r="R35" s="321" t="str">
        <f>coder1_YH!Q35</f>
        <v>Grade 6 Int. 605</v>
      </c>
      <c r="S35" s="323" t="str">
        <f t="shared" si="5"/>
        <v>N</v>
      </c>
      <c r="T35" s="323" t="str">
        <f t="shared" si="6"/>
        <v/>
      </c>
      <c r="U35" s="323" t="str">
        <f t="shared" si="7"/>
        <v/>
      </c>
      <c r="V35" s="323" t="str">
        <f t="shared" si="8"/>
        <v/>
      </c>
      <c r="W35" s="323">
        <f t="shared" si="9"/>
        <v>1</v>
      </c>
      <c r="X35" s="385" t="str">
        <f>IF(coder1_YH!N35 = "",X34,coder1_YH!N35)</f>
        <v>N</v>
      </c>
      <c r="Y35" s="385" t="str">
        <f>IF(coder1_YH!O35 = "",Y34,coder1_YH!O35)</f>
        <v>cm</v>
      </c>
      <c r="Z35" s="385" t="str">
        <f t="shared" si="10"/>
        <v>M</v>
      </c>
      <c r="AA35" s="385" t="str">
        <f t="shared" si="11"/>
        <v>R</v>
      </c>
      <c r="AB35" s="385" t="str">
        <f t="shared" si="12"/>
        <v>MR</v>
      </c>
      <c r="AC35" s="323" t="str">
        <f t="shared" si="13"/>
        <v>Ncm</v>
      </c>
      <c r="AD35" s="323" t="str">
        <f t="shared" si="14"/>
        <v>N_R</v>
      </c>
      <c r="AE35" s="323">
        <f>IF(Y35="cm", 1,0)</f>
        <v>1</v>
      </c>
      <c r="AF35" s="369" t="str">
        <f t="shared" si="15"/>
        <v>109.1-Ncm</v>
      </c>
      <c r="AG35" s="369" t="str">
        <f t="shared" si="16"/>
        <v>109.1-N_R</v>
      </c>
      <c r="AH35" s="344">
        <f>IF(coder1_YH!R35="",AH34,coder1_YH!R35)</f>
        <v>6</v>
      </c>
      <c r="AI35" s="344">
        <f t="shared" si="0"/>
        <v>6</v>
      </c>
      <c r="AJ35" s="345">
        <f t="shared" si="17"/>
        <v>1</v>
      </c>
      <c r="AK35" s="408">
        <f>IF(coder1_YH!S35="",AK34,coder1_YH!S35)</f>
        <v>11.5</v>
      </c>
      <c r="AL35" s="345">
        <f>IF(coder1_YH!T35="",AL34,IF(coder1_YH!T35="mixed",0.25,coder1_YH!T35))</f>
        <v>1</v>
      </c>
      <c r="AM35" s="345">
        <f>IF(coder1_YH!U35 = "", AM34, IF(coder1_YH!U35="mixed","NA",coder1_YH!U35))</f>
        <v>0.33223140495867765</v>
      </c>
      <c r="AN35" s="345">
        <f>IF(coder1_YH!V35="",AN34,coder1_YH!V35)</f>
        <v>0.69090909090909092</v>
      </c>
      <c r="AO35" s="345" t="str">
        <f>IF(coder1_YH!W35="",AO34,coder1_YH!W35)</f>
        <v>NA</v>
      </c>
      <c r="AP35" s="345">
        <f>IF(coder1_YH!X35="",AP34,coder1_YH!X35)</f>
        <v>0.5950413223140496</v>
      </c>
      <c r="AQ35" s="345">
        <f>IF(coder1_YH!Y35="",AQ34,coder1_YH!Y35)</f>
        <v>0.13057851239669427</v>
      </c>
      <c r="AR35" t="str">
        <f>coder1_YH!AB35</f>
        <v>0 = Researcher-developed curriculum</v>
      </c>
      <c r="AS35" s="345" t="str">
        <f>IF(coder1_YH!AC35 = "", AS34,IF(coder1_YH!AC35="BAU","BAU",LEFT(coder1_YH!AC35)))</f>
        <v>0</v>
      </c>
      <c r="AT35" s="345" t="str">
        <f>IF(coder1_YH!AD35 = "", AT34,IF(coder1_YH!AD35="BAU","BAU",LEFT(coder1_YH!AD35)))</f>
        <v>0</v>
      </c>
      <c r="AU35" s="345" t="str">
        <f>IF(coder1_YH!AE35 = "", AU34,IF(coder1_YH!AE35="BAU","BAU",LEFT(coder1_YH!AE35)))</f>
        <v>1</v>
      </c>
      <c r="AV35" s="345">
        <f>IF(coder1_YH!AF35="",AV34,coder1_YH!AF35)</f>
        <v>9519.5250000000015</v>
      </c>
      <c r="AW35" s="345">
        <f t="shared" si="18"/>
        <v>158.65875000000003</v>
      </c>
      <c r="AX35" s="345">
        <f>IF(coder1_YH!AG35="",AX34,coder1_YH!AG35)</f>
        <v>720</v>
      </c>
      <c r="AY35" s="345">
        <f>IF(coder1_YH!AH35="",AY34,coder1_YH!AH35)</f>
        <v>52.886250000000004</v>
      </c>
      <c r="AZ35" s="345" t="str">
        <f>IF(coder1_YH!AI35 = "", AZ34, IF(coder1_YH!AI35="BAU","BAU",LEFT(coder1_YH!AI35)))</f>
        <v>1</v>
      </c>
      <c r="BA35" s="384">
        <f>clean_data!Y35</f>
        <v>605</v>
      </c>
    </row>
    <row r="36" spans="1:53" x14ac:dyDescent="0.2">
      <c r="A36">
        <f>coder1_YH!B36</f>
        <v>0</v>
      </c>
      <c r="B36">
        <f>coder1_YH!C36</f>
        <v>36</v>
      </c>
      <c r="C36">
        <f>coder1_YH!D36</f>
        <v>0</v>
      </c>
      <c r="D36" t="str">
        <f>coder1_YH!E36</f>
        <v/>
      </c>
      <c r="E36" t="b">
        <f>coder1_YH!F36</f>
        <v>1</v>
      </c>
      <c r="F36" s="321" t="str">
        <f>IF(coder1_YH!G36="", clean_mod!F35, coder1_YH!G36)</f>
        <v>Cantrell et al., 2016</v>
      </c>
      <c r="G36" s="321" t="str">
        <f t="shared" si="1"/>
        <v>109</v>
      </c>
      <c r="H36" s="321">
        <f>IF(coder1_YH!H36="", clean_mod!H35, coder1_YH!H36)</f>
        <v>109.1</v>
      </c>
      <c r="I36" s="404" t="str">
        <f t="shared" si="2"/>
        <v>2016</v>
      </c>
      <c r="J36" s="344" t="str">
        <f>IF(coder1_YH!I36="",J35,coder1_YH!I36)</f>
        <v>USA</v>
      </c>
      <c r="K36" s="345">
        <f t="shared" si="3"/>
        <v>0</v>
      </c>
      <c r="L36" s="344" t="str">
        <f>IF(coder1_YH!J36 = "",L35, coder1_YH!J36)</f>
        <v>English</v>
      </c>
      <c r="M36" s="345">
        <f t="shared" si="4"/>
        <v>0</v>
      </c>
      <c r="N36" s="345" t="str">
        <f>IF(coder1_YH!K36 = "", N35, LEFT(coder1_YH!K36,1))</f>
        <v>0</v>
      </c>
      <c r="O36" s="345" t="str">
        <f>IF(coder1_YH!L36 = "", O35, LEFT(coder1_YH!L36,1))</f>
        <v>0</v>
      </c>
      <c r="P36" s="345" t="str">
        <f>IF(coder1_YH!M36 = "", P35, LEFT(coder1_YH!M36,1))</f>
        <v>0</v>
      </c>
      <c r="Q36" s="321" t="str">
        <f>coder1_YH!P36</f>
        <v>ctl</v>
      </c>
      <c r="R36" s="321" t="str">
        <f>coder1_YH!Q36</f>
        <v>Grade 6 Con. 530</v>
      </c>
      <c r="S36" s="323" t="str">
        <f t="shared" si="5"/>
        <v/>
      </c>
      <c r="T36" s="323" t="str">
        <f t="shared" si="6"/>
        <v/>
      </c>
      <c r="U36" s="323" t="str">
        <f t="shared" si="7"/>
        <v/>
      </c>
      <c r="V36" s="323" t="str">
        <f t="shared" si="8"/>
        <v/>
      </c>
      <c r="W36" s="323">
        <f t="shared" si="9"/>
        <v>0</v>
      </c>
      <c r="X36" s="385" t="str">
        <f>IF(coder1_YH!N36 = "",X35,coder1_YH!N36)</f>
        <v>.</v>
      </c>
      <c r="Y36" s="385" t="str">
        <f>IF(coder1_YH!O36 = "",Y35,coder1_YH!O36)</f>
        <v>.</v>
      </c>
      <c r="Z36" s="385" t="str">
        <f t="shared" si="10"/>
        <v/>
      </c>
      <c r="AA36" s="385" t="str">
        <f t="shared" si="11"/>
        <v>BAU</v>
      </c>
      <c r="AB36" s="385" t="str">
        <f t="shared" si="12"/>
        <v>BAU</v>
      </c>
      <c r="AC36" s="323" t="str">
        <f t="shared" si="13"/>
        <v>..</v>
      </c>
      <c r="AD36" s="323" t="str">
        <f t="shared" si="14"/>
        <v>BAU</v>
      </c>
      <c r="AF36" s="369" t="str">
        <f t="shared" si="15"/>
        <v>109.1-..</v>
      </c>
      <c r="AG36" s="369" t="str">
        <f t="shared" si="16"/>
        <v>109.1-BAU</v>
      </c>
      <c r="AH36" s="344">
        <f>IF(coder1_YH!R36="",AH35,coder1_YH!R36)</f>
        <v>6</v>
      </c>
      <c r="AI36" s="344">
        <f t="shared" si="0"/>
        <v>6</v>
      </c>
      <c r="AJ36" s="345">
        <f t="shared" si="17"/>
        <v>1</v>
      </c>
      <c r="AK36" s="408">
        <f>IF(coder1_YH!S36="",AK35,coder1_YH!S36)</f>
        <v>11.5</v>
      </c>
      <c r="AL36" s="345">
        <f>IF(coder1_YH!T36="",AL35,IF(coder1_YH!T36="mixed",0.25,coder1_YH!T36))</f>
        <v>1</v>
      </c>
      <c r="AM36" s="345">
        <f>IF(coder1_YH!U36 = "", AM35, IF(coder1_YH!U36="mixed","NA",coder1_YH!U36))</f>
        <v>0.28490566037735854</v>
      </c>
      <c r="AN36" s="345">
        <f>IF(coder1_YH!V36="",AN35,coder1_YH!V36)</f>
        <v>0.67547169811320751</v>
      </c>
      <c r="AO36" s="345" t="str">
        <f>IF(coder1_YH!W36="",AO35,coder1_YH!W36)</f>
        <v>NA</v>
      </c>
      <c r="AP36" s="345">
        <f>IF(coder1_YH!X36="",AP35,coder1_YH!X36)</f>
        <v>0.58301886792452828</v>
      </c>
      <c r="AQ36" s="345">
        <f>IF(coder1_YH!Y36="",AQ35,coder1_YH!Y36)</f>
        <v>0.13962264150943393</v>
      </c>
      <c r="AR36" t="str">
        <f>coder1_YH!AB36</f>
        <v>2 = District/State curriculum</v>
      </c>
      <c r="AS36" s="345" t="str">
        <f>IF(coder1_YH!AC36 = "", AS35,IF(coder1_YH!AC36="BAU","BAU",LEFT(coder1_YH!AC36)))</f>
        <v>BAU</v>
      </c>
      <c r="AT36" s="345" t="str">
        <f>IF(coder1_YH!AD36 = "", AT35,IF(coder1_YH!AD36="BAU","BAU",LEFT(coder1_YH!AD36)))</f>
        <v>BAU</v>
      </c>
      <c r="AU36" s="345" t="str">
        <f>IF(coder1_YH!AE36 = "", AU35,IF(coder1_YH!AE36="BAU","BAU",LEFT(coder1_YH!AE36)))</f>
        <v>BAU</v>
      </c>
      <c r="AV36" s="345" t="str">
        <f>IF(coder1_YH!AF36="",AV35,coder1_YH!AF36)</f>
        <v>BAU</v>
      </c>
      <c r="AW36" s="345" t="str">
        <f t="shared" si="18"/>
        <v>BAU</v>
      </c>
      <c r="AX36" s="345">
        <f>IF(coder1_YH!AG36="",AX35,coder1_YH!AG36)</f>
        <v>720</v>
      </c>
      <c r="AY36" s="345" t="str">
        <f>IF(coder1_YH!AH36="",AY35,coder1_YH!AH36)</f>
        <v>BAU</v>
      </c>
      <c r="AZ36" s="345" t="str">
        <f>IF(coder1_YH!AI36 = "", AZ35, IF(coder1_YH!AI36="BAU","BAU",LEFT(coder1_YH!AI36)))</f>
        <v>BAU</v>
      </c>
      <c r="BA36" s="384">
        <f>clean_data!Y36</f>
        <v>530</v>
      </c>
    </row>
    <row r="37" spans="1:53" x14ac:dyDescent="0.2">
      <c r="A37">
        <f>coder1_YH!B37</f>
        <v>0</v>
      </c>
      <c r="B37">
        <f>coder1_YH!C37</f>
        <v>37</v>
      </c>
      <c r="C37">
        <f>coder1_YH!D37</f>
        <v>0</v>
      </c>
      <c r="D37" t="b">
        <f>coder1_YH!E37</f>
        <v>1</v>
      </c>
      <c r="E37" t="b">
        <f>coder1_YH!F37</f>
        <v>1</v>
      </c>
      <c r="F37" s="321" t="str">
        <f>IF(coder1_YH!G37="", clean_mod!F36, coder1_YH!G37)</f>
        <v>Cantrell et al., 2016</v>
      </c>
      <c r="G37" s="321" t="str">
        <f t="shared" si="1"/>
        <v>109</v>
      </c>
      <c r="H37" s="321">
        <f>IF(coder1_YH!H37="", clean_mod!H36, coder1_YH!H37)</f>
        <v>109.2</v>
      </c>
      <c r="I37" s="404" t="str">
        <f t="shared" si="2"/>
        <v>2016</v>
      </c>
      <c r="J37" s="344" t="str">
        <f>IF(coder1_YH!I37="",J36,coder1_YH!I37)</f>
        <v>USA</v>
      </c>
      <c r="K37" s="345">
        <f t="shared" si="3"/>
        <v>0</v>
      </c>
      <c r="L37" s="344" t="str">
        <f>IF(coder1_YH!J37 = "",L36, coder1_YH!J37)</f>
        <v>English</v>
      </c>
      <c r="M37" s="345">
        <f t="shared" si="4"/>
        <v>0</v>
      </c>
      <c r="N37" s="345" t="str">
        <f>IF(coder1_YH!K37 = "", N36, LEFT(coder1_YH!K37,1))</f>
        <v>0</v>
      </c>
      <c r="O37" s="345" t="str">
        <f>IF(coder1_YH!L37 = "", O36, LEFT(coder1_YH!L37,1))</f>
        <v>0</v>
      </c>
      <c r="P37" s="345" t="str">
        <f>IF(coder1_YH!M37 = "", P36, LEFT(coder1_YH!M37,1))</f>
        <v>0</v>
      </c>
      <c r="Q37" s="321">
        <f>coder1_YH!P37</f>
        <v>1</v>
      </c>
      <c r="R37" s="321" t="str">
        <f>coder1_YH!Q37</f>
        <v>Grade 9 Int. 593</v>
      </c>
      <c r="S37" s="323" t="str">
        <f t="shared" si="5"/>
        <v>N</v>
      </c>
      <c r="T37" s="323" t="str">
        <f t="shared" si="6"/>
        <v/>
      </c>
      <c r="U37" s="323" t="str">
        <f t="shared" si="7"/>
        <v/>
      </c>
      <c r="V37" s="323" t="str">
        <f t="shared" si="8"/>
        <v/>
      </c>
      <c r="W37" s="323">
        <f t="shared" si="9"/>
        <v>1</v>
      </c>
      <c r="X37" s="385" t="str">
        <f>IF(coder1_YH!N37 = "",X36,coder1_YH!N37)</f>
        <v>N</v>
      </c>
      <c r="Y37" s="385" t="str">
        <f>IF(coder1_YH!O37 = "",Y36,coder1_YH!O37)</f>
        <v>cm</v>
      </c>
      <c r="Z37" s="385" t="str">
        <f t="shared" si="10"/>
        <v>M</v>
      </c>
      <c r="AA37" s="385" t="str">
        <f t="shared" si="11"/>
        <v>R</v>
      </c>
      <c r="AB37" s="385" t="str">
        <f t="shared" si="12"/>
        <v>MR</v>
      </c>
      <c r="AC37" s="323" t="str">
        <f t="shared" si="13"/>
        <v>Ncm</v>
      </c>
      <c r="AD37" s="323" t="str">
        <f t="shared" si="14"/>
        <v>N_R</v>
      </c>
      <c r="AE37" s="323">
        <f>IF(Y37="cm", 1,0)</f>
        <v>1</v>
      </c>
      <c r="AF37" s="369" t="str">
        <f t="shared" si="15"/>
        <v>109.2-Ncm</v>
      </c>
      <c r="AG37" s="369" t="str">
        <f t="shared" si="16"/>
        <v>109.2-N_R</v>
      </c>
      <c r="AH37" s="344">
        <f>IF(coder1_YH!R37="",AH36,coder1_YH!R37)</f>
        <v>9</v>
      </c>
      <c r="AI37" s="344">
        <f t="shared" si="0"/>
        <v>9</v>
      </c>
      <c r="AJ37" s="345">
        <f t="shared" si="17"/>
        <v>1</v>
      </c>
      <c r="AK37" s="408">
        <f>IF(coder1_YH!S37="",AK36,coder1_YH!S37)</f>
        <v>14.5</v>
      </c>
      <c r="AL37" s="345">
        <f>IF(coder1_YH!T37="",AL36,IF(coder1_YH!T37="mixed",0.25,coder1_YH!T37))</f>
        <v>1</v>
      </c>
      <c r="AM37" s="345">
        <f>IF(coder1_YH!U37 = "", AM36, IF(coder1_YH!U37="mixed","NA",coder1_YH!U37))</f>
        <v>0.29679595278246207</v>
      </c>
      <c r="AN37" s="345">
        <f>IF(coder1_YH!V37="",AN36,coder1_YH!V37)</f>
        <v>0.62563237774030356</v>
      </c>
      <c r="AO37" s="345" t="str">
        <f>IF(coder1_YH!W37="",AO36,coder1_YH!W37)</f>
        <v>NA</v>
      </c>
      <c r="AP37" s="345">
        <f>IF(coder1_YH!X37="",AP36,coder1_YH!X37)</f>
        <v>0.58684654300168637</v>
      </c>
      <c r="AQ37" s="345">
        <f>IF(coder1_YH!Y37="",AQ36,coder1_YH!Y37)</f>
        <v>0.11635750421585156</v>
      </c>
      <c r="AR37" t="str">
        <f>coder1_YH!AB37</f>
        <v>0 = Researcher-developed curriculum</v>
      </c>
      <c r="AS37" s="345" t="str">
        <f>IF(coder1_YH!AC37 = "", AS36,IF(coder1_YH!AC37="BAU","BAU",LEFT(coder1_YH!AC37)))</f>
        <v>0</v>
      </c>
      <c r="AT37" s="345" t="str">
        <f>IF(coder1_YH!AD37 = "", AT36,IF(coder1_YH!AD37="BAU","BAU",LEFT(coder1_YH!AD37)))</f>
        <v>0</v>
      </c>
      <c r="AU37" s="345" t="str">
        <f>IF(coder1_YH!AE37 = "", AU36,IF(coder1_YH!AE37="BAU","BAU",LEFT(coder1_YH!AE37)))</f>
        <v>1</v>
      </c>
      <c r="AV37" s="345">
        <f>IF(coder1_YH!AF37="",AV36,coder1_YH!AF37)</f>
        <v>9519.5250000000015</v>
      </c>
      <c r="AW37" s="345">
        <f t="shared" si="18"/>
        <v>158.65875000000003</v>
      </c>
      <c r="AX37" s="345">
        <f>IF(coder1_YH!AG37="",AX36,coder1_YH!AG37)</f>
        <v>720</v>
      </c>
      <c r="AY37" s="345">
        <f>IF(coder1_YH!AH37="",AY36,coder1_YH!AH37)</f>
        <v>52.886250000000004</v>
      </c>
      <c r="AZ37" s="345" t="str">
        <f>IF(coder1_YH!AI37 = "", AZ36, IF(coder1_YH!AI37="BAU","BAU",LEFT(coder1_YH!AI37)))</f>
        <v>1</v>
      </c>
      <c r="BA37" s="384">
        <f>clean_data!Y37</f>
        <v>593</v>
      </c>
    </row>
    <row r="38" spans="1:53" x14ac:dyDescent="0.2">
      <c r="A38">
        <f>coder1_YH!B38</f>
        <v>0</v>
      </c>
      <c r="B38">
        <f>coder1_YH!C38</f>
        <v>38</v>
      </c>
      <c r="C38">
        <f>coder1_YH!D38</f>
        <v>0</v>
      </c>
      <c r="D38" t="str">
        <f>coder1_YH!E38</f>
        <v/>
      </c>
      <c r="E38" t="b">
        <f>coder1_YH!F38</f>
        <v>1</v>
      </c>
      <c r="F38" s="321" t="str">
        <f>IF(coder1_YH!G38="", clean_mod!F37, coder1_YH!G38)</f>
        <v>Cantrell et al., 2016</v>
      </c>
      <c r="G38" s="321" t="str">
        <f t="shared" si="1"/>
        <v>109</v>
      </c>
      <c r="H38" s="321">
        <f>IF(coder1_YH!H38="", clean_mod!H37, coder1_YH!H38)</f>
        <v>109.2</v>
      </c>
      <c r="I38" s="404" t="str">
        <f t="shared" si="2"/>
        <v>2016</v>
      </c>
      <c r="J38" s="344" t="str">
        <f>IF(coder1_YH!I38="",J37,coder1_YH!I38)</f>
        <v>USA</v>
      </c>
      <c r="K38" s="345">
        <f t="shared" si="3"/>
        <v>0</v>
      </c>
      <c r="L38" s="344" t="str">
        <f>IF(coder1_YH!J38 = "",L37, coder1_YH!J38)</f>
        <v>English</v>
      </c>
      <c r="M38" s="345">
        <f t="shared" si="4"/>
        <v>0</v>
      </c>
      <c r="N38" s="345" t="str">
        <f>IF(coder1_YH!K38 = "", N37, LEFT(coder1_YH!K38,1))</f>
        <v>0</v>
      </c>
      <c r="O38" s="345" t="str">
        <f>IF(coder1_YH!L38 = "", O37, LEFT(coder1_YH!L38,1))</f>
        <v>0</v>
      </c>
      <c r="P38" s="345" t="str">
        <f>IF(coder1_YH!M38 = "", P37, LEFT(coder1_YH!M38,1))</f>
        <v>0</v>
      </c>
      <c r="Q38" s="321" t="str">
        <f>coder1_YH!P38</f>
        <v>ctl</v>
      </c>
      <c r="R38" s="321" t="str">
        <f>coder1_YH!Q38</f>
        <v>Grade 9 Con. 535</v>
      </c>
      <c r="S38" s="323" t="str">
        <f t="shared" si="5"/>
        <v/>
      </c>
      <c r="T38" s="323" t="str">
        <f t="shared" si="6"/>
        <v/>
      </c>
      <c r="U38" s="323" t="str">
        <f t="shared" si="7"/>
        <v/>
      </c>
      <c r="V38" s="323" t="str">
        <f t="shared" si="8"/>
        <v/>
      </c>
      <c r="W38" s="323">
        <f t="shared" si="9"/>
        <v>0</v>
      </c>
      <c r="X38" s="385" t="str">
        <f>IF(coder1_YH!N38 = "",X37,coder1_YH!N38)</f>
        <v>.</v>
      </c>
      <c r="Y38" s="385" t="str">
        <f>IF(coder1_YH!O38 = "",Y37,coder1_YH!O38)</f>
        <v>.</v>
      </c>
      <c r="Z38" s="385" t="str">
        <f t="shared" si="10"/>
        <v/>
      </c>
      <c r="AA38" s="385" t="str">
        <f t="shared" si="11"/>
        <v>BAU</v>
      </c>
      <c r="AB38" s="385" t="str">
        <f t="shared" si="12"/>
        <v>BAU</v>
      </c>
      <c r="AC38" s="323" t="str">
        <f t="shared" si="13"/>
        <v>..</v>
      </c>
      <c r="AD38" s="323" t="str">
        <f t="shared" si="14"/>
        <v>BAU</v>
      </c>
      <c r="AF38" s="369" t="str">
        <f t="shared" si="15"/>
        <v>109.2-..</v>
      </c>
      <c r="AG38" s="369" t="str">
        <f t="shared" si="16"/>
        <v>109.2-BAU</v>
      </c>
      <c r="AH38" s="344">
        <f>IF(coder1_YH!R38="",AH37,coder1_YH!R38)</f>
        <v>9</v>
      </c>
      <c r="AI38" s="344">
        <f t="shared" si="0"/>
        <v>9</v>
      </c>
      <c r="AJ38" s="345">
        <f t="shared" si="17"/>
        <v>1</v>
      </c>
      <c r="AK38" s="408">
        <f>IF(coder1_YH!S38="",AK37,coder1_YH!S38)</f>
        <v>14.5</v>
      </c>
      <c r="AL38" s="345">
        <f>IF(coder1_YH!T38="",AL37,IF(coder1_YH!T38="mixed",0.25,coder1_YH!T38))</f>
        <v>1</v>
      </c>
      <c r="AM38" s="345">
        <f>IF(coder1_YH!U38 = "", AM37, IF(coder1_YH!U38="mixed","NA",coder1_YH!U38))</f>
        <v>0.23177570093457944</v>
      </c>
      <c r="AN38" s="345">
        <f>IF(coder1_YH!V38="",AN37,coder1_YH!V38)</f>
        <v>0.61121495327102804</v>
      </c>
      <c r="AO38" s="345" t="str">
        <f>IF(coder1_YH!W38="",AO37,coder1_YH!W38)</f>
        <v>NA</v>
      </c>
      <c r="AP38" s="345">
        <f>IF(coder1_YH!X38="",AP37,coder1_YH!X38)</f>
        <v>0.55140186915887845</v>
      </c>
      <c r="AQ38" s="345">
        <f>IF(coder1_YH!Y38="",AQ37,coder1_YH!Y38)</f>
        <v>0.13271028037383181</v>
      </c>
      <c r="AR38" t="str">
        <f>coder1_YH!AB38</f>
        <v>2 = District/State curriculum</v>
      </c>
      <c r="AS38" s="345" t="str">
        <f>IF(coder1_YH!AC38 = "", AS37,IF(coder1_YH!AC38="BAU","BAU",LEFT(coder1_YH!AC38)))</f>
        <v>BAU</v>
      </c>
      <c r="AT38" s="345" t="str">
        <f>IF(coder1_YH!AD38 = "", AT37,IF(coder1_YH!AD38="BAU","BAU",LEFT(coder1_YH!AD38)))</f>
        <v>BAU</v>
      </c>
      <c r="AU38" s="345" t="str">
        <f>IF(coder1_YH!AE38 = "", AU37,IF(coder1_YH!AE38="BAU","BAU",LEFT(coder1_YH!AE38)))</f>
        <v>BAU</v>
      </c>
      <c r="AV38" s="345" t="str">
        <f>IF(coder1_YH!AF38="",AV37,coder1_YH!AF38)</f>
        <v>BAU</v>
      </c>
      <c r="AW38" s="345" t="str">
        <f t="shared" si="18"/>
        <v>BAU</v>
      </c>
      <c r="AX38" s="345">
        <f>IF(coder1_YH!AG38="",AX37,coder1_YH!AG38)</f>
        <v>720</v>
      </c>
      <c r="AY38" s="345" t="str">
        <f>IF(coder1_YH!AH38="",AY37,coder1_YH!AH38)</f>
        <v>BAU</v>
      </c>
      <c r="AZ38" s="345" t="str">
        <f>IF(coder1_YH!AI38 = "", AZ37, IF(coder1_YH!AI38="BAU","BAU",LEFT(coder1_YH!AI38)))</f>
        <v>BAU</v>
      </c>
      <c r="BA38" s="384">
        <f>clean_data!Y38</f>
        <v>535</v>
      </c>
    </row>
    <row r="39" spans="1:53" x14ac:dyDescent="0.2">
      <c r="A39">
        <f>coder1_YH!B39</f>
        <v>0</v>
      </c>
      <c r="B39">
        <f>coder1_YH!C39</f>
        <v>39</v>
      </c>
      <c r="C39" t="b">
        <f>coder1_YH!D39</f>
        <v>1</v>
      </c>
      <c r="D39" t="b">
        <f>coder1_YH!E39</f>
        <v>1</v>
      </c>
      <c r="E39" t="b">
        <f>coder1_YH!F39</f>
        <v>1</v>
      </c>
      <c r="F39" s="321" t="str">
        <f>IF(coder1_YH!G39="", clean_mod!F38, coder1_YH!G39)</f>
        <v>Ng et al., 2013</v>
      </c>
      <c r="G39" s="321" t="str">
        <f t="shared" si="1"/>
        <v>110</v>
      </c>
      <c r="H39" s="321">
        <f>IF(coder1_YH!H39="", clean_mod!H38, coder1_YH!H39)</f>
        <v>110</v>
      </c>
      <c r="I39" s="404" t="str">
        <f t="shared" si="2"/>
        <v>2013</v>
      </c>
      <c r="J39" s="344" t="str">
        <f>IF(coder1_YH!I39="",J38,coder1_YH!I39)</f>
        <v>Australia</v>
      </c>
      <c r="K39" s="345">
        <f t="shared" si="3"/>
        <v>1</v>
      </c>
      <c r="L39" s="344" t="str">
        <f>IF(coder1_YH!J39 = "",L38, coder1_YH!J39)</f>
        <v>English</v>
      </c>
      <c r="M39" s="345">
        <f t="shared" si="4"/>
        <v>0</v>
      </c>
      <c r="N39" s="345" t="str">
        <f>IF(coder1_YH!K39 = "", N38, LEFT(coder1_YH!K39,1))</f>
        <v>0</v>
      </c>
      <c r="O39" s="345" t="str">
        <f>IF(coder1_YH!L39 = "", O38, LEFT(coder1_YH!L39,1))</f>
        <v>0</v>
      </c>
      <c r="P39" s="345" t="str">
        <f>IF(coder1_YH!M39 = "", P38, LEFT(coder1_YH!M39,1))</f>
        <v>0</v>
      </c>
      <c r="Q39" s="321">
        <f>coder1_YH!P39</f>
        <v>1</v>
      </c>
      <c r="R39" s="321" t="str">
        <f>coder1_YH!Q39</f>
        <v>TLS-e-mail （motivation)</v>
      </c>
      <c r="S39" s="323" t="str">
        <f t="shared" si="5"/>
        <v>N</v>
      </c>
      <c r="T39" s="323" t="str">
        <f t="shared" si="6"/>
        <v>V</v>
      </c>
      <c r="U39" s="323" t="str">
        <f t="shared" si="7"/>
        <v>G</v>
      </c>
      <c r="V39" s="323" t="str">
        <f t="shared" si="8"/>
        <v/>
      </c>
      <c r="W39" s="323">
        <f t="shared" si="9"/>
        <v>3</v>
      </c>
      <c r="X39" s="385" t="str">
        <f>IF(coder1_YH!N39 = "",X38,coder1_YH!N39)</f>
        <v>NVG</v>
      </c>
      <c r="Y39" s="385" t="str">
        <f>IF(coder1_YH!O39 = "",Y38,coder1_YH!O39)</f>
        <v xml:space="preserve">m </v>
      </c>
      <c r="Z39" s="385" t="str">
        <f t="shared" si="10"/>
        <v>M</v>
      </c>
      <c r="AA39" s="385" t="str">
        <f t="shared" si="11"/>
        <v>R</v>
      </c>
      <c r="AB39" s="385" t="str">
        <f t="shared" si="12"/>
        <v>MR</v>
      </c>
      <c r="AC39" s="323" t="str">
        <f t="shared" si="13"/>
        <v xml:space="preserve">NVGm </v>
      </c>
      <c r="AD39" s="323" t="str">
        <f t="shared" si="14"/>
        <v>NVG_R</v>
      </c>
      <c r="AE39" s="323">
        <f>IF(Y39="cm", 1,0)</f>
        <v>0</v>
      </c>
      <c r="AF39" s="369" t="str">
        <f t="shared" si="15"/>
        <v xml:space="preserve">110-NVGm </v>
      </c>
      <c r="AG39" s="369" t="str">
        <f t="shared" si="16"/>
        <v>110-NVG_R</v>
      </c>
      <c r="AH39" s="344">
        <f>IF(coder1_YH!R39="",AH38,coder1_YH!R39)</f>
        <v>5</v>
      </c>
      <c r="AI39" s="344">
        <f t="shared" si="0"/>
        <v>5</v>
      </c>
      <c r="AJ39" s="345">
        <f t="shared" si="17"/>
        <v>0</v>
      </c>
      <c r="AK39" s="408">
        <f>IF(coder1_YH!S39="",AK38,coder1_YH!S39)</f>
        <v>9.57</v>
      </c>
      <c r="AL39" s="345">
        <f>IF(coder1_YH!T39="",AL38,IF(coder1_YH!T39="mixed",0.25,coder1_YH!T39))</f>
        <v>1</v>
      </c>
      <c r="AM39" s="345" t="str">
        <f>IF(coder1_YH!U39 = "", AM38, IF(coder1_YH!U39="mixed","NA",coder1_YH!U39))</f>
        <v>NA</v>
      </c>
      <c r="AN39" s="345">
        <f>IF(coder1_YH!V39="",AN38,coder1_YH!V39)</f>
        <v>1</v>
      </c>
      <c r="AO39" s="345" t="str">
        <f>IF(coder1_YH!W39="",AO38,coder1_YH!W39)</f>
        <v>NA</v>
      </c>
      <c r="AP39" s="345">
        <f>IF(coder1_YH!X39="",AP38,coder1_YH!X39)</f>
        <v>0.52631578947368418</v>
      </c>
      <c r="AQ39" s="345" t="str">
        <f>IF(coder1_YH!Y39="",AQ38,coder1_YH!Y39)</f>
        <v>NA</v>
      </c>
      <c r="AR39" t="str">
        <f>coder1_YH!AB39</f>
        <v>0 = Researcher-developed curriculum</v>
      </c>
      <c r="AS39" s="345" t="str">
        <f>IF(coder1_YH!AC39 = "", AS38,IF(coder1_YH!AC39="BAU","BAU",LEFT(coder1_YH!AC39)))</f>
        <v>0</v>
      </c>
      <c r="AT39" s="345" t="str">
        <f>IF(coder1_YH!AD39 = "", AT38,IF(coder1_YH!AD39="BAU","BAU",LEFT(coder1_YH!AD39)))</f>
        <v>0</v>
      </c>
      <c r="AU39" s="345" t="str">
        <f>IF(coder1_YH!AE39 = "", AU38,IF(coder1_YH!AE39="BAU","BAU",LEFT(coder1_YH!AE39)))</f>
        <v>1</v>
      </c>
      <c r="AV39" s="345">
        <f>IF(coder1_YH!AF39="",AV38,coder1_YH!AF39)</f>
        <v>1860</v>
      </c>
      <c r="AW39" s="345">
        <f t="shared" si="18"/>
        <v>31</v>
      </c>
      <c r="AX39" s="345">
        <f>IF(coder1_YH!AG39="",AX38,coder1_YH!AG39)</f>
        <v>6</v>
      </c>
      <c r="AY39" s="345">
        <f>IF(coder1_YH!AH39="",AY38,coder1_YH!AH39)</f>
        <v>60</v>
      </c>
      <c r="AZ39" s="345" t="str">
        <f>IF(coder1_YH!AI39 = "", AZ38, IF(coder1_YH!AI39="BAU","BAU",LEFT(coder1_YH!AI39)))</f>
        <v>0</v>
      </c>
      <c r="BA39" s="384">
        <f>clean_data!Y39</f>
        <v>25.333333333333332</v>
      </c>
    </row>
    <row r="40" spans="1:53" x14ac:dyDescent="0.2">
      <c r="A40">
        <f>coder1_YH!B40</f>
        <v>0</v>
      </c>
      <c r="B40">
        <f>coder1_YH!C40</f>
        <v>40</v>
      </c>
      <c r="C40">
        <f>coder1_YH!D40</f>
        <v>0</v>
      </c>
      <c r="D40" t="str">
        <f>coder1_YH!E40</f>
        <v/>
      </c>
      <c r="E40" t="str">
        <f>coder1_YH!F40</f>
        <v/>
      </c>
      <c r="F40" s="321" t="str">
        <f>IF(coder1_YH!G40="", clean_mod!F39, coder1_YH!G40)</f>
        <v>Ng et al., 2013</v>
      </c>
      <c r="G40" s="321" t="str">
        <f t="shared" si="1"/>
        <v>110</v>
      </c>
      <c r="H40" s="321">
        <f>IF(coder1_YH!H40="", clean_mod!H39, coder1_YH!H40)</f>
        <v>110</v>
      </c>
      <c r="I40" s="404" t="str">
        <f t="shared" si="2"/>
        <v>2013</v>
      </c>
      <c r="J40" s="344" t="str">
        <f>IF(coder1_YH!I40="",J39,coder1_YH!I40)</f>
        <v>Australia</v>
      </c>
      <c r="K40" s="345">
        <f t="shared" si="3"/>
        <v>1</v>
      </c>
      <c r="L40" s="344" t="str">
        <f>IF(coder1_YH!J40 = "",L39, coder1_YH!J40)</f>
        <v>English</v>
      </c>
      <c r="M40" s="345">
        <f t="shared" si="4"/>
        <v>0</v>
      </c>
      <c r="N40" s="345" t="str">
        <f>IF(coder1_YH!K40 = "", N39, LEFT(coder1_YH!K40,1))</f>
        <v>0</v>
      </c>
      <c r="O40" s="345" t="str">
        <f>IF(coder1_YH!L40 = "", O39, LEFT(coder1_YH!L40,1))</f>
        <v>0</v>
      </c>
      <c r="P40" s="345" t="str">
        <f>IF(coder1_YH!M40 = "", P39, LEFT(coder1_YH!M40,1))</f>
        <v>0</v>
      </c>
      <c r="Q40" s="321">
        <f>coder1_YH!P40</f>
        <v>0</v>
      </c>
      <c r="R40" s="321">
        <f>coder1_YH!Q40</f>
        <v>0</v>
      </c>
      <c r="S40" s="323" t="str">
        <f t="shared" si="5"/>
        <v>N</v>
      </c>
      <c r="T40" s="323" t="str">
        <f t="shared" si="6"/>
        <v>V</v>
      </c>
      <c r="U40" s="323" t="str">
        <f t="shared" si="7"/>
        <v>G</v>
      </c>
      <c r="V40" s="323" t="str">
        <f t="shared" si="8"/>
        <v/>
      </c>
      <c r="W40" s="323">
        <f t="shared" si="9"/>
        <v>3</v>
      </c>
      <c r="X40" s="385" t="str">
        <f>IF(coder1_YH!N40 = "",X39,coder1_YH!N40)</f>
        <v>NVG</v>
      </c>
      <c r="Y40" s="385" t="str">
        <f>IF(coder1_YH!O40 = "",Y39,coder1_YH!O40)</f>
        <v xml:space="preserve">m </v>
      </c>
      <c r="Z40" s="385" t="str">
        <f t="shared" si="10"/>
        <v>M</v>
      </c>
      <c r="AA40" s="385" t="str">
        <f t="shared" si="11"/>
        <v>R</v>
      </c>
      <c r="AB40" s="385" t="str">
        <f t="shared" si="12"/>
        <v>MR</v>
      </c>
      <c r="AC40" s="323" t="str">
        <f t="shared" si="13"/>
        <v xml:space="preserve">NVGm </v>
      </c>
      <c r="AD40" s="323" t="str">
        <f t="shared" si="14"/>
        <v>NVG_R</v>
      </c>
      <c r="AF40" s="369" t="str">
        <f t="shared" si="15"/>
        <v xml:space="preserve">110-NVGm </v>
      </c>
      <c r="AG40" s="369" t="str">
        <f t="shared" si="16"/>
        <v>110-NVG_R</v>
      </c>
      <c r="AH40" s="344">
        <f>IF(coder1_YH!R40="",AH39,coder1_YH!R40)</f>
        <v>5</v>
      </c>
      <c r="AI40" s="344">
        <f t="shared" si="0"/>
        <v>5</v>
      </c>
      <c r="AJ40" s="345">
        <f t="shared" si="17"/>
        <v>0</v>
      </c>
      <c r="AK40" s="408">
        <f>IF(coder1_YH!S40="",AK39,coder1_YH!S40)</f>
        <v>9.57</v>
      </c>
      <c r="AL40" s="345">
        <f>IF(coder1_YH!T40="",AL39,IF(coder1_YH!T40="mixed",0.25,coder1_YH!T40))</f>
        <v>1</v>
      </c>
      <c r="AM40" s="345" t="str">
        <f>IF(coder1_YH!U40 = "", AM39, IF(coder1_YH!U40="mixed","NA",coder1_YH!U40))</f>
        <v>NA</v>
      </c>
      <c r="AN40" s="345">
        <f>IF(coder1_YH!V40="",AN39,coder1_YH!V40)</f>
        <v>1</v>
      </c>
      <c r="AO40" s="345" t="str">
        <f>IF(coder1_YH!W40="",AO39,coder1_YH!W40)</f>
        <v>NA</v>
      </c>
      <c r="AP40" s="345">
        <f>IF(coder1_YH!X40="",AP39,coder1_YH!X40)</f>
        <v>0.52631578947368418</v>
      </c>
      <c r="AQ40" s="345" t="str">
        <f>IF(coder1_YH!Y40="",AQ39,coder1_YH!Y40)</f>
        <v>NA</v>
      </c>
      <c r="AR40">
        <f>coder1_YH!AB40</f>
        <v>0</v>
      </c>
      <c r="AS40" s="345" t="str">
        <f>IF(coder1_YH!AC40 = "", AS39,IF(coder1_YH!AC40="BAU","BAU",LEFT(coder1_YH!AC40)))</f>
        <v>0</v>
      </c>
      <c r="AT40" s="345" t="str">
        <f>IF(coder1_YH!AD40 = "", AT39,IF(coder1_YH!AD40="BAU","BAU",LEFT(coder1_YH!AD40)))</f>
        <v>0</v>
      </c>
      <c r="AU40" s="345" t="str">
        <f>IF(coder1_YH!AE40 = "", AU39,IF(coder1_YH!AE40="BAU","BAU",LEFT(coder1_YH!AE40)))</f>
        <v>1</v>
      </c>
      <c r="AV40" s="345">
        <f>IF(coder1_YH!AF40="",AV39,coder1_YH!AF40)</f>
        <v>1860</v>
      </c>
      <c r="AW40" s="345">
        <f t="shared" si="18"/>
        <v>31</v>
      </c>
      <c r="AX40" s="345">
        <f>IF(coder1_YH!AG40="",AX39,coder1_YH!AG40)</f>
        <v>6</v>
      </c>
      <c r="AY40" s="345">
        <f>IF(coder1_YH!AH40="",AY39,coder1_YH!AH40)</f>
        <v>60</v>
      </c>
      <c r="AZ40" s="345" t="str">
        <f>IF(coder1_YH!AI40 = "", AZ39, IF(coder1_YH!AI40="BAU","BAU",LEFT(coder1_YH!AI40)))</f>
        <v>0</v>
      </c>
      <c r="BA40" s="384">
        <f>clean_data!Y40</f>
        <v>25.333333333333332</v>
      </c>
    </row>
    <row r="41" spans="1:53" x14ac:dyDescent="0.2">
      <c r="A41">
        <f>coder1_YH!B41</f>
        <v>0</v>
      </c>
      <c r="B41">
        <f>coder1_YH!C41</f>
        <v>41</v>
      </c>
      <c r="C41">
        <f>coder1_YH!D41</f>
        <v>0</v>
      </c>
      <c r="D41" t="str">
        <f>coder1_YH!E41</f>
        <v/>
      </c>
      <c r="E41" t="b">
        <f>coder1_YH!F41</f>
        <v>1</v>
      </c>
      <c r="F41" s="321" t="str">
        <f>IF(coder1_YH!G41="", clean_mod!F40, coder1_YH!G41)</f>
        <v>Ng et al., 2013</v>
      </c>
      <c r="G41" s="321" t="str">
        <f t="shared" si="1"/>
        <v>110</v>
      </c>
      <c r="H41" s="321">
        <f>IF(coder1_YH!H41="", clean_mod!H40, coder1_YH!H41)</f>
        <v>110</v>
      </c>
      <c r="I41" s="404" t="str">
        <f t="shared" si="2"/>
        <v>2013</v>
      </c>
      <c r="J41" s="344" t="str">
        <f>IF(coder1_YH!I41="",J40,coder1_YH!I41)</f>
        <v>Australia</v>
      </c>
      <c r="K41" s="345">
        <f t="shared" si="3"/>
        <v>1</v>
      </c>
      <c r="L41" s="344" t="str">
        <f>IF(coder1_YH!J41 = "",L40, coder1_YH!J41)</f>
        <v>English</v>
      </c>
      <c r="M41" s="345">
        <f t="shared" si="4"/>
        <v>0</v>
      </c>
      <c r="N41" s="345" t="str">
        <f>IF(coder1_YH!K41 = "", N40, LEFT(coder1_YH!K41,1))</f>
        <v>0</v>
      </c>
      <c r="O41" s="345" t="str">
        <f>IF(coder1_YH!L41 = "", O40, LEFT(coder1_YH!L41,1))</f>
        <v>0</v>
      </c>
      <c r="P41" s="345" t="str">
        <f>IF(coder1_YH!M41 = "", P40, LEFT(coder1_YH!M41,1))</f>
        <v>0</v>
      </c>
      <c r="Q41" s="321">
        <f>coder1_YH!P41</f>
        <v>2</v>
      </c>
      <c r="R41" s="321" t="str">
        <f>coder1_YH!Q41</f>
        <v>TLS-only</v>
      </c>
      <c r="S41" s="323" t="str">
        <f t="shared" si="5"/>
        <v/>
      </c>
      <c r="T41" s="323" t="str">
        <f t="shared" si="6"/>
        <v/>
      </c>
      <c r="U41" s="323" t="str">
        <f t="shared" si="7"/>
        <v/>
      </c>
      <c r="V41" s="323" t="str">
        <f t="shared" si="8"/>
        <v/>
      </c>
      <c r="W41" s="323">
        <f t="shared" si="9"/>
        <v>0</v>
      </c>
      <c r="X41" s="385" t="str">
        <f>IF(coder1_YH!N41 = "",X40,coder1_YH!N41)</f>
        <v>.</v>
      </c>
      <c r="Y41" s="385" t="str">
        <f>IF(coder1_YH!O41 = "",Y40,coder1_YH!O41)</f>
        <v xml:space="preserve">m </v>
      </c>
      <c r="Z41" s="385" t="str">
        <f t="shared" si="10"/>
        <v/>
      </c>
      <c r="AA41" s="385" t="str">
        <f t="shared" si="11"/>
        <v>R</v>
      </c>
      <c r="AB41" s="385" t="str">
        <f t="shared" si="12"/>
        <v>R</v>
      </c>
      <c r="AC41" s="323" t="str">
        <f t="shared" si="13"/>
        <v xml:space="preserve">.m </v>
      </c>
      <c r="AD41" s="323" t="str">
        <f t="shared" si="14"/>
        <v>R</v>
      </c>
      <c r="AF41" s="369" t="str">
        <f t="shared" si="15"/>
        <v xml:space="preserve">110-.m </v>
      </c>
      <c r="AG41" s="369" t="str">
        <f t="shared" si="16"/>
        <v>110-R</v>
      </c>
      <c r="AH41" s="344">
        <f>IF(coder1_YH!R41="",AH40,coder1_YH!R41)</f>
        <v>5</v>
      </c>
      <c r="AI41" s="344">
        <f t="shared" si="0"/>
        <v>5</v>
      </c>
      <c r="AJ41" s="345">
        <f t="shared" si="17"/>
        <v>0</v>
      </c>
      <c r="AK41" s="408">
        <f>IF(coder1_YH!S41="",AK40,coder1_YH!S41)</f>
        <v>9.57</v>
      </c>
      <c r="AL41" s="345">
        <f>IF(coder1_YH!T41="",AL40,IF(coder1_YH!T41="mixed",0.25,coder1_YH!T41))</f>
        <v>1</v>
      </c>
      <c r="AM41" s="345" t="str">
        <f>IF(coder1_YH!U41 = "", AM40, IF(coder1_YH!U41="mixed","NA",coder1_YH!U41))</f>
        <v>NA</v>
      </c>
      <c r="AN41" s="345">
        <f>IF(coder1_YH!V41="",AN40,coder1_YH!V41)</f>
        <v>1</v>
      </c>
      <c r="AO41" s="345" t="str">
        <f>IF(coder1_YH!W41="",AO40,coder1_YH!W41)</f>
        <v>NA</v>
      </c>
      <c r="AP41" s="345">
        <f>IF(coder1_YH!X41="",AP40,coder1_YH!X41)</f>
        <v>0.52631578947368418</v>
      </c>
      <c r="AQ41" s="345" t="str">
        <f>IF(coder1_YH!Y41="",AQ40,coder1_YH!Y41)</f>
        <v>NA</v>
      </c>
      <c r="AR41" t="str">
        <f>coder1_YH!AB41</f>
        <v>0 = Researcher-developed curriculum</v>
      </c>
      <c r="AS41" s="345" t="str">
        <f>IF(coder1_YH!AC41 = "", AS40,IF(coder1_YH!AC41="BAU","BAU",LEFT(coder1_YH!AC41)))</f>
        <v>0</v>
      </c>
      <c r="AT41" s="345" t="str">
        <f>IF(coder1_YH!AD41 = "", AT40,IF(coder1_YH!AD41="BAU","BAU",LEFT(coder1_YH!AD41)))</f>
        <v>0</v>
      </c>
      <c r="AU41" s="345" t="str">
        <f>IF(coder1_YH!AE41 = "", AU40,IF(coder1_YH!AE41="BAU","BAU",LEFT(coder1_YH!AE41)))</f>
        <v>1</v>
      </c>
      <c r="AV41" s="345">
        <f>IF(coder1_YH!AF41="",AV40,coder1_YH!AF41)</f>
        <v>1800</v>
      </c>
      <c r="AW41" s="345">
        <f t="shared" si="18"/>
        <v>30</v>
      </c>
      <c r="AX41" s="345">
        <f>IF(coder1_YH!AG41="",AX40,coder1_YH!AG41)</f>
        <v>6</v>
      </c>
      <c r="AY41" s="345">
        <f>IF(coder1_YH!AH41="",AY40,coder1_YH!AH41)</f>
        <v>60</v>
      </c>
      <c r="AZ41" s="345" t="str">
        <f>IF(coder1_YH!AI41 = "", AZ40, IF(coder1_YH!AI41="BAU","BAU",LEFT(coder1_YH!AI41)))</f>
        <v>0</v>
      </c>
      <c r="BA41" s="384">
        <f>clean_data!Y41</f>
        <v>25.333333333333332</v>
      </c>
    </row>
    <row r="42" spans="1:53" x14ac:dyDescent="0.2">
      <c r="A42">
        <f>coder1_YH!B42</f>
        <v>0</v>
      </c>
      <c r="B42">
        <f>coder1_YH!C42</f>
        <v>42</v>
      </c>
      <c r="C42">
        <f>coder1_YH!D42</f>
        <v>0</v>
      </c>
      <c r="D42" t="str">
        <f>coder1_YH!E42</f>
        <v/>
      </c>
      <c r="E42" t="str">
        <f>coder1_YH!F42</f>
        <v/>
      </c>
      <c r="F42" s="321" t="str">
        <f>IF(coder1_YH!G42="", clean_mod!F41, coder1_YH!G42)</f>
        <v>Ng et al., 2013</v>
      </c>
      <c r="G42" s="321" t="str">
        <f t="shared" si="1"/>
        <v>110</v>
      </c>
      <c r="H42" s="321">
        <f>IF(coder1_YH!H42="", clean_mod!H41, coder1_YH!H42)</f>
        <v>110</v>
      </c>
      <c r="I42" s="404" t="str">
        <f t="shared" si="2"/>
        <v>2013</v>
      </c>
      <c r="J42" s="344" t="str">
        <f>IF(coder1_YH!I42="",J41,coder1_YH!I42)</f>
        <v>Australia</v>
      </c>
      <c r="K42" s="345">
        <f t="shared" si="3"/>
        <v>1</v>
      </c>
      <c r="L42" s="344" t="str">
        <f>IF(coder1_YH!J42 = "",L41, coder1_YH!J42)</f>
        <v>English</v>
      </c>
      <c r="M42" s="345">
        <f t="shared" si="4"/>
        <v>0</v>
      </c>
      <c r="N42" s="345" t="str">
        <f>IF(coder1_YH!K42 = "", N41, LEFT(coder1_YH!K42,1))</f>
        <v>0</v>
      </c>
      <c r="O42" s="345" t="str">
        <f>IF(coder1_YH!L42 = "", O41, LEFT(coder1_YH!L42,1))</f>
        <v>0</v>
      </c>
      <c r="P42" s="345" t="str">
        <f>IF(coder1_YH!M42 = "", P41, LEFT(coder1_YH!M42,1))</f>
        <v>0</v>
      </c>
      <c r="Q42" s="321">
        <f>coder1_YH!P42</f>
        <v>0</v>
      </c>
      <c r="R42" s="321">
        <f>coder1_YH!Q42</f>
        <v>0</v>
      </c>
      <c r="S42" s="323" t="str">
        <f t="shared" si="5"/>
        <v/>
      </c>
      <c r="T42" s="323" t="str">
        <f t="shared" si="6"/>
        <v/>
      </c>
      <c r="U42" s="323" t="str">
        <f t="shared" si="7"/>
        <v/>
      </c>
      <c r="V42" s="323" t="str">
        <f t="shared" si="8"/>
        <v/>
      </c>
      <c r="W42" s="323">
        <f t="shared" si="9"/>
        <v>0</v>
      </c>
      <c r="X42" s="385" t="str">
        <f>IF(coder1_YH!N42 = "",X41,coder1_YH!N42)</f>
        <v>.</v>
      </c>
      <c r="Y42" s="385" t="str">
        <f>IF(coder1_YH!O42 = "",Y41,coder1_YH!O42)</f>
        <v xml:space="preserve">m </v>
      </c>
      <c r="Z42" s="385" t="str">
        <f t="shared" si="10"/>
        <v/>
      </c>
      <c r="AA42" s="385" t="str">
        <f t="shared" si="11"/>
        <v>R</v>
      </c>
      <c r="AB42" s="385" t="str">
        <f t="shared" si="12"/>
        <v>R</v>
      </c>
      <c r="AC42" s="323" t="str">
        <f t="shared" si="13"/>
        <v xml:space="preserve">.m </v>
      </c>
      <c r="AD42" s="323" t="str">
        <f t="shared" si="14"/>
        <v>R</v>
      </c>
      <c r="AF42" s="369" t="str">
        <f t="shared" si="15"/>
        <v xml:space="preserve">110-.m </v>
      </c>
      <c r="AG42" s="369" t="str">
        <f t="shared" si="16"/>
        <v>110-R</v>
      </c>
      <c r="AH42" s="344">
        <f>IF(coder1_YH!R42="",AH41,coder1_YH!R42)</f>
        <v>5</v>
      </c>
      <c r="AI42" s="344">
        <f t="shared" si="0"/>
        <v>5</v>
      </c>
      <c r="AJ42" s="345">
        <f t="shared" si="17"/>
        <v>0</v>
      </c>
      <c r="AK42" s="408">
        <f>IF(coder1_YH!S42="",AK41,coder1_YH!S42)</f>
        <v>9.57</v>
      </c>
      <c r="AL42" s="345">
        <f>IF(coder1_YH!T42="",AL41,IF(coder1_YH!T42="mixed",0.25,coder1_YH!T42))</f>
        <v>1</v>
      </c>
      <c r="AM42" s="345" t="str">
        <f>IF(coder1_YH!U42 = "", AM41, IF(coder1_YH!U42="mixed","NA",coder1_YH!U42))</f>
        <v>NA</v>
      </c>
      <c r="AN42" s="345">
        <f>IF(coder1_YH!V42="",AN41,coder1_YH!V42)</f>
        <v>1</v>
      </c>
      <c r="AO42" s="345" t="str">
        <f>IF(coder1_YH!W42="",AO41,coder1_YH!W42)</f>
        <v>NA</v>
      </c>
      <c r="AP42" s="345">
        <f>IF(coder1_YH!X42="",AP41,coder1_YH!X42)</f>
        <v>0.52631578947368418</v>
      </c>
      <c r="AQ42" s="345" t="str">
        <f>IF(coder1_YH!Y42="",AQ41,coder1_YH!Y42)</f>
        <v>NA</v>
      </c>
      <c r="AR42">
        <f>coder1_YH!AB42</f>
        <v>0</v>
      </c>
      <c r="AS42" s="345" t="str">
        <f>IF(coder1_YH!AC42 = "", AS41,IF(coder1_YH!AC42="BAU","BAU",LEFT(coder1_YH!AC42)))</f>
        <v>0</v>
      </c>
      <c r="AT42" s="345" t="str">
        <f>IF(coder1_YH!AD42 = "", AT41,IF(coder1_YH!AD42="BAU","BAU",LEFT(coder1_YH!AD42)))</f>
        <v>0</v>
      </c>
      <c r="AU42" s="345" t="str">
        <f>IF(coder1_YH!AE42 = "", AU41,IF(coder1_YH!AE42="BAU","BAU",LEFT(coder1_YH!AE42)))</f>
        <v>1</v>
      </c>
      <c r="AV42" s="345">
        <f>IF(coder1_YH!AF42="",AV41,coder1_YH!AF42)</f>
        <v>1800</v>
      </c>
      <c r="AW42" s="345">
        <f t="shared" si="18"/>
        <v>30</v>
      </c>
      <c r="AX42" s="345">
        <f>IF(coder1_YH!AG42="",AX41,coder1_YH!AG42)</f>
        <v>6</v>
      </c>
      <c r="AY42" s="345">
        <f>IF(coder1_YH!AH42="",AY41,coder1_YH!AH42)</f>
        <v>60</v>
      </c>
      <c r="AZ42" s="345" t="str">
        <f>IF(coder1_YH!AI42 = "", AZ41, IF(coder1_YH!AI42="BAU","BAU",LEFT(coder1_YH!AI42)))</f>
        <v>0</v>
      </c>
      <c r="BA42" s="384">
        <f>clean_data!Y42</f>
        <v>25.333333333333332</v>
      </c>
    </row>
    <row r="43" spans="1:53" x14ac:dyDescent="0.2">
      <c r="A43">
        <f>coder1_YH!B43</f>
        <v>0</v>
      </c>
      <c r="B43">
        <f>coder1_YH!C43</f>
        <v>43</v>
      </c>
      <c r="C43">
        <f>coder1_YH!D43</f>
        <v>0</v>
      </c>
      <c r="D43" t="str">
        <f>coder1_YH!E43</f>
        <v/>
      </c>
      <c r="E43" t="b">
        <f>coder1_YH!F43</f>
        <v>1</v>
      </c>
      <c r="F43" s="321" t="str">
        <f>IF(coder1_YH!G43="", clean_mod!F42, coder1_YH!G43)</f>
        <v>Ng et al., 2013</v>
      </c>
      <c r="G43" s="321" t="str">
        <f t="shared" si="1"/>
        <v>110</v>
      </c>
      <c r="H43" s="321">
        <f>IF(coder1_YH!H43="", clean_mod!H42, coder1_YH!H43)</f>
        <v>110</v>
      </c>
      <c r="I43" s="404" t="str">
        <f t="shared" si="2"/>
        <v>2013</v>
      </c>
      <c r="J43" s="344" t="str">
        <f>IF(coder1_YH!I43="",J42,coder1_YH!I43)</f>
        <v>Australia</v>
      </c>
      <c r="K43" s="345">
        <f t="shared" si="3"/>
        <v>1</v>
      </c>
      <c r="L43" s="344" t="str">
        <f>IF(coder1_YH!J43 = "",L42, coder1_YH!J43)</f>
        <v>English</v>
      </c>
      <c r="M43" s="345">
        <f t="shared" si="4"/>
        <v>0</v>
      </c>
      <c r="N43" s="345" t="str">
        <f>IF(coder1_YH!K43 = "", N42, LEFT(coder1_YH!K43,1))</f>
        <v>0</v>
      </c>
      <c r="O43" s="345" t="str">
        <f>IF(coder1_YH!L43 = "", O42, LEFT(coder1_YH!L43,1))</f>
        <v>0</v>
      </c>
      <c r="P43" s="345" t="str">
        <f>IF(coder1_YH!M43 = "", P42, LEFT(coder1_YH!M43,1))</f>
        <v>0</v>
      </c>
      <c r="Q43" s="321" t="str">
        <f>coder1_YH!P43</f>
        <v>ctl</v>
      </c>
      <c r="R43" s="321" t="str">
        <f>coder1_YH!Q43</f>
        <v>Control group</v>
      </c>
      <c r="S43" s="323" t="str">
        <f t="shared" si="5"/>
        <v/>
      </c>
      <c r="T43" s="323" t="str">
        <f t="shared" si="6"/>
        <v/>
      </c>
      <c r="U43" s="323" t="str">
        <f t="shared" si="7"/>
        <v/>
      </c>
      <c r="V43" s="323" t="str">
        <f t="shared" si="8"/>
        <v/>
      </c>
      <c r="W43" s="323">
        <f t="shared" si="9"/>
        <v>0</v>
      </c>
      <c r="X43" s="385" t="str">
        <f>IF(coder1_YH!N43 = "",X42,coder1_YH!N43)</f>
        <v>.</v>
      </c>
      <c r="Y43" s="385" t="str">
        <f>IF(coder1_YH!O43 = "",Y42,coder1_YH!O43)</f>
        <v>.</v>
      </c>
      <c r="Z43" s="385" t="str">
        <f t="shared" si="10"/>
        <v/>
      </c>
      <c r="AA43" s="385" t="str">
        <f t="shared" si="11"/>
        <v>BAU</v>
      </c>
      <c r="AB43" s="385" t="str">
        <f t="shared" si="12"/>
        <v>BAU</v>
      </c>
      <c r="AC43" s="323" t="str">
        <f t="shared" si="13"/>
        <v>..</v>
      </c>
      <c r="AD43" s="323" t="str">
        <f t="shared" si="14"/>
        <v>BAU</v>
      </c>
      <c r="AF43" s="369" t="str">
        <f t="shared" si="15"/>
        <v>110-..</v>
      </c>
      <c r="AG43" s="369" t="str">
        <f t="shared" si="16"/>
        <v>110-BAU</v>
      </c>
      <c r="AH43" s="344">
        <f>IF(coder1_YH!R43="",AH42,coder1_YH!R43)</f>
        <v>5</v>
      </c>
      <c r="AI43" s="344">
        <f t="shared" si="0"/>
        <v>5</v>
      </c>
      <c r="AJ43" s="345">
        <f t="shared" si="17"/>
        <v>0</v>
      </c>
      <c r="AK43" s="408">
        <f>IF(coder1_YH!S43="",AK42,coder1_YH!S43)</f>
        <v>9.57</v>
      </c>
      <c r="AL43" s="345">
        <f>IF(coder1_YH!T43="",AL42,IF(coder1_YH!T43="mixed",0.25,coder1_YH!T43))</f>
        <v>1</v>
      </c>
      <c r="AM43" s="345" t="str">
        <f>IF(coder1_YH!U43 = "", AM42, IF(coder1_YH!U43="mixed","NA",coder1_YH!U43))</f>
        <v>NA</v>
      </c>
      <c r="AN43" s="345">
        <f>IF(coder1_YH!V43="",AN42,coder1_YH!V43)</f>
        <v>1</v>
      </c>
      <c r="AO43" s="345" t="str">
        <f>IF(coder1_YH!W43="",AO42,coder1_YH!W43)</f>
        <v>NA</v>
      </c>
      <c r="AP43" s="345">
        <f>IF(coder1_YH!X43="",AP42,coder1_YH!X43)</f>
        <v>0.52631578947368418</v>
      </c>
      <c r="AQ43" s="345" t="str">
        <f>IF(coder1_YH!Y43="",AQ42,coder1_YH!Y43)</f>
        <v>NA</v>
      </c>
      <c r="AR43" t="str">
        <f>coder1_YH!AB43</f>
        <v>2 = District/State curriculum</v>
      </c>
      <c r="AS43" s="345" t="str">
        <f>IF(coder1_YH!AC43 = "", AS42,IF(coder1_YH!AC43="BAU","BAU",LEFT(coder1_YH!AC43)))</f>
        <v>BAU</v>
      </c>
      <c r="AT43" s="345" t="str">
        <f>IF(coder1_YH!AD43 = "", AT42,IF(coder1_YH!AD43="BAU","BAU",LEFT(coder1_YH!AD43)))</f>
        <v>BAU</v>
      </c>
      <c r="AU43" s="345" t="str">
        <f>IF(coder1_YH!AE43 = "", AU42,IF(coder1_YH!AE43="BAU","BAU",LEFT(coder1_YH!AE43)))</f>
        <v>BAU</v>
      </c>
      <c r="AV43" s="345" t="str">
        <f>IF(coder1_YH!AF43="",AV42,coder1_YH!AF43)</f>
        <v>BAU</v>
      </c>
      <c r="AW43" s="345" t="str">
        <f t="shared" si="18"/>
        <v>BAU</v>
      </c>
      <c r="AX43" s="345" t="str">
        <f>IF(coder1_YH!AG43="",AX42,coder1_YH!AG43)</f>
        <v>BAU</v>
      </c>
      <c r="AY43" s="345" t="str">
        <f>IF(coder1_YH!AH43="",AY42,coder1_YH!AH43)</f>
        <v>BAU</v>
      </c>
      <c r="AZ43" s="345" t="str">
        <f>IF(coder1_YH!AI43 = "", AZ42, IF(coder1_YH!AI43="BAU","BAU",LEFT(coder1_YH!AI43)))</f>
        <v>BAU</v>
      </c>
      <c r="BA43" s="384">
        <f>clean_data!Y43</f>
        <v>25.333333333333332</v>
      </c>
    </row>
    <row r="44" spans="1:53" x14ac:dyDescent="0.2">
      <c r="A44">
        <f>coder1_YH!B44</f>
        <v>0</v>
      </c>
      <c r="B44">
        <f>coder1_YH!C44</f>
        <v>44</v>
      </c>
      <c r="C44">
        <f>coder1_YH!D44</f>
        <v>0</v>
      </c>
      <c r="D44" t="str">
        <f>coder1_YH!E44</f>
        <v/>
      </c>
      <c r="E44" t="str">
        <f>coder1_YH!F44</f>
        <v/>
      </c>
      <c r="F44" s="321" t="str">
        <f>IF(coder1_YH!G44="", clean_mod!F43, coder1_YH!G44)</f>
        <v>Ng et al., 2013</v>
      </c>
      <c r="G44" s="321" t="str">
        <f t="shared" si="1"/>
        <v>110</v>
      </c>
      <c r="H44" s="321">
        <f>IF(coder1_YH!H44="", clean_mod!H43, coder1_YH!H44)</f>
        <v>110</v>
      </c>
      <c r="I44" s="404" t="str">
        <f t="shared" si="2"/>
        <v>2013</v>
      </c>
      <c r="J44" s="344" t="str">
        <f>IF(coder1_YH!I44="",J43,coder1_YH!I44)</f>
        <v>Australia</v>
      </c>
      <c r="K44" s="345">
        <f t="shared" si="3"/>
        <v>1</v>
      </c>
      <c r="L44" s="344" t="str">
        <f>IF(coder1_YH!J44 = "",L43, coder1_YH!J44)</f>
        <v>English</v>
      </c>
      <c r="M44" s="345">
        <f t="shared" si="4"/>
        <v>0</v>
      </c>
      <c r="N44" s="345" t="str">
        <f>IF(coder1_YH!K44 = "", N43, LEFT(coder1_YH!K44,1))</f>
        <v>0</v>
      </c>
      <c r="O44" s="345" t="str">
        <f>IF(coder1_YH!L44 = "", O43, LEFT(coder1_YH!L44,1))</f>
        <v>0</v>
      </c>
      <c r="P44" s="345" t="str">
        <f>IF(coder1_YH!M44 = "", P43, LEFT(coder1_YH!M44,1))</f>
        <v>0</v>
      </c>
      <c r="Q44" s="321">
        <f>coder1_YH!P44</f>
        <v>0</v>
      </c>
      <c r="R44" s="321">
        <f>coder1_YH!Q44</f>
        <v>0</v>
      </c>
      <c r="S44" s="323" t="str">
        <f t="shared" si="5"/>
        <v/>
      </c>
      <c r="T44" s="323" t="str">
        <f t="shared" si="6"/>
        <v/>
      </c>
      <c r="U44" s="323" t="str">
        <f t="shared" si="7"/>
        <v/>
      </c>
      <c r="V44" s="323" t="str">
        <f t="shared" si="8"/>
        <v/>
      </c>
      <c r="W44" s="323">
        <f t="shared" si="9"/>
        <v>0</v>
      </c>
      <c r="X44" s="385" t="str">
        <f>IF(coder1_YH!N44 = "",X43,coder1_YH!N44)</f>
        <v>.</v>
      </c>
      <c r="Y44" s="385" t="str">
        <f>IF(coder1_YH!O44 = "",Y43,coder1_YH!O44)</f>
        <v>.</v>
      </c>
      <c r="Z44" s="385" t="str">
        <f t="shared" si="10"/>
        <v/>
      </c>
      <c r="AA44" s="385" t="str">
        <f t="shared" si="11"/>
        <v>BAU</v>
      </c>
      <c r="AB44" s="385" t="str">
        <f t="shared" si="12"/>
        <v>BAU</v>
      </c>
      <c r="AC44" s="323" t="str">
        <f t="shared" si="13"/>
        <v>..</v>
      </c>
      <c r="AD44" s="323" t="str">
        <f t="shared" si="14"/>
        <v>BAU</v>
      </c>
      <c r="AF44" s="369" t="str">
        <f t="shared" si="15"/>
        <v>110-..</v>
      </c>
      <c r="AG44" s="369" t="str">
        <f t="shared" si="16"/>
        <v>110-BAU</v>
      </c>
      <c r="AH44" s="344">
        <f>IF(coder1_YH!R44="",AH43,coder1_YH!R44)</f>
        <v>5</v>
      </c>
      <c r="AI44" s="344">
        <f t="shared" si="0"/>
        <v>5</v>
      </c>
      <c r="AJ44" s="345">
        <f t="shared" si="17"/>
        <v>0</v>
      </c>
      <c r="AK44" s="408">
        <f>IF(coder1_YH!S44="",AK43,coder1_YH!S44)</f>
        <v>9.57</v>
      </c>
      <c r="AL44" s="345">
        <f>IF(coder1_YH!T44="",AL43,IF(coder1_YH!T44="mixed",0.25,coder1_YH!T44))</f>
        <v>1</v>
      </c>
      <c r="AM44" s="345" t="str">
        <f>IF(coder1_YH!U44 = "", AM43, IF(coder1_YH!U44="mixed","NA",coder1_YH!U44))</f>
        <v>NA</v>
      </c>
      <c r="AN44" s="345">
        <f>IF(coder1_YH!V44="",AN43,coder1_YH!V44)</f>
        <v>1</v>
      </c>
      <c r="AO44" s="345" t="str">
        <f>IF(coder1_YH!W44="",AO43,coder1_YH!W44)</f>
        <v>NA</v>
      </c>
      <c r="AP44" s="345">
        <f>IF(coder1_YH!X44="",AP43,coder1_YH!X44)</f>
        <v>0.52631578947368418</v>
      </c>
      <c r="AQ44" s="345" t="str">
        <f>IF(coder1_YH!Y44="",AQ43,coder1_YH!Y44)</f>
        <v>NA</v>
      </c>
      <c r="AR44">
        <f>coder1_YH!AB44</f>
        <v>0</v>
      </c>
      <c r="AS44" s="345" t="str">
        <f>IF(coder1_YH!AC44 = "", AS43,IF(coder1_YH!AC44="BAU","BAU",LEFT(coder1_YH!AC44)))</f>
        <v>BAU</v>
      </c>
      <c r="AT44" s="345" t="str">
        <f>IF(coder1_YH!AD44 = "", AT43,IF(coder1_YH!AD44="BAU","BAU",LEFT(coder1_YH!AD44)))</f>
        <v>BAU</v>
      </c>
      <c r="AU44" s="345" t="str">
        <f>IF(coder1_YH!AE44 = "", AU43,IF(coder1_YH!AE44="BAU","BAU",LEFT(coder1_YH!AE44)))</f>
        <v>BAU</v>
      </c>
      <c r="AV44" s="345" t="str">
        <f>IF(coder1_YH!AF44="",AV43,coder1_YH!AF44)</f>
        <v>BAU</v>
      </c>
      <c r="AW44" s="345" t="str">
        <f t="shared" si="18"/>
        <v>BAU</v>
      </c>
      <c r="AX44" s="345" t="str">
        <f>IF(coder1_YH!AG44="",AX43,coder1_YH!AG44)</f>
        <v>BAU</v>
      </c>
      <c r="AY44" s="345" t="str">
        <f>IF(coder1_YH!AH44="",AY43,coder1_YH!AH44)</f>
        <v>BAU</v>
      </c>
      <c r="AZ44" s="345" t="str">
        <f>IF(coder1_YH!AI44 = "", AZ43, IF(coder1_YH!AI44="BAU","BAU",LEFT(coder1_YH!AI44)))</f>
        <v>BAU</v>
      </c>
      <c r="BA44" s="384">
        <f>clean_data!Y44</f>
        <v>25.333333333333332</v>
      </c>
    </row>
    <row r="45" spans="1:53" x14ac:dyDescent="0.2">
      <c r="A45">
        <f>coder1_YH!B45</f>
        <v>0</v>
      </c>
      <c r="B45">
        <f>coder1_YH!C45</f>
        <v>45</v>
      </c>
      <c r="C45" t="b">
        <f>coder1_YH!D45</f>
        <v>1</v>
      </c>
      <c r="D45" t="b">
        <f>coder1_YH!E45</f>
        <v>1</v>
      </c>
      <c r="E45" t="b">
        <f>coder1_YH!F45</f>
        <v>1</v>
      </c>
      <c r="F45" s="321" t="str">
        <f>IF(coder1_YH!G45="", clean_mod!F44, coder1_YH!G45)</f>
        <v>Alhabahba et al., 2016</v>
      </c>
      <c r="G45" s="321" t="str">
        <f t="shared" si="1"/>
        <v>111</v>
      </c>
      <c r="H45" s="321">
        <f>IF(coder1_YH!H45="", clean_mod!H44, coder1_YH!H45)</f>
        <v>111</v>
      </c>
      <c r="I45" s="404" t="str">
        <f t="shared" si="2"/>
        <v>2016</v>
      </c>
      <c r="J45" s="344" t="str">
        <f>IF(coder1_YH!I45="",J44,coder1_YH!I45)</f>
        <v>Jordan</v>
      </c>
      <c r="K45" s="345">
        <f t="shared" si="3"/>
        <v>1</v>
      </c>
      <c r="L45" s="344" t="str">
        <f>IF(coder1_YH!J45 = "",L44, coder1_YH!J45)</f>
        <v>English</v>
      </c>
      <c r="M45" s="345">
        <f t="shared" si="4"/>
        <v>0</v>
      </c>
      <c r="N45" s="345" t="str">
        <f>IF(coder1_YH!K45 = "", N44, LEFT(coder1_YH!K45,1))</f>
        <v>0</v>
      </c>
      <c r="O45" s="345" t="str">
        <f>IF(coder1_YH!L45 = "", O44, LEFT(coder1_YH!L45,1))</f>
        <v>0</v>
      </c>
      <c r="P45" s="345" t="str">
        <f>IF(coder1_YH!M45 = "", P44, LEFT(coder1_YH!M45,1))</f>
        <v>1</v>
      </c>
      <c r="Q45" s="321">
        <f>coder1_YH!P45</f>
        <v>1</v>
      </c>
      <c r="R45" s="321" t="str">
        <f>coder1_YH!Q45</f>
        <v>CORI</v>
      </c>
      <c r="S45" s="323" t="str">
        <f t="shared" si="5"/>
        <v>N</v>
      </c>
      <c r="T45" s="323" t="str">
        <f t="shared" si="6"/>
        <v/>
      </c>
      <c r="U45" s="323" t="str">
        <f t="shared" si="7"/>
        <v/>
      </c>
      <c r="V45" s="323" t="str">
        <f t="shared" si="8"/>
        <v/>
      </c>
      <c r="W45" s="323">
        <f t="shared" si="9"/>
        <v>1</v>
      </c>
      <c r="X45" s="385" t="str">
        <f>IF(coder1_YH!N45 = "",X44,coder1_YH!N45)</f>
        <v>N</v>
      </c>
      <c r="Y45" s="385" t="str">
        <f>IF(coder1_YH!O45 = "",Y44,coder1_YH!O45)</f>
        <v xml:space="preserve">m </v>
      </c>
      <c r="Z45" s="385" t="str">
        <f t="shared" si="10"/>
        <v>M</v>
      </c>
      <c r="AA45" s="385" t="str">
        <f t="shared" si="11"/>
        <v>R</v>
      </c>
      <c r="AB45" s="385" t="str">
        <f t="shared" si="12"/>
        <v>MR</v>
      </c>
      <c r="AC45" s="323" t="str">
        <f t="shared" si="13"/>
        <v xml:space="preserve">Nm </v>
      </c>
      <c r="AD45" s="323" t="str">
        <f t="shared" si="14"/>
        <v>N_R</v>
      </c>
      <c r="AE45" s="323">
        <f>IF(Y45="cm", 1,0)</f>
        <v>0</v>
      </c>
      <c r="AF45" s="369" t="str">
        <f t="shared" si="15"/>
        <v xml:space="preserve">111-Nm </v>
      </c>
      <c r="AG45" s="369" t="str">
        <f t="shared" si="16"/>
        <v>111-N_R</v>
      </c>
      <c r="AH45" s="344">
        <f>IF(coder1_YH!R45="",AH44,coder1_YH!R45)</f>
        <v>5</v>
      </c>
      <c r="AI45" s="344">
        <f t="shared" si="0"/>
        <v>5</v>
      </c>
      <c r="AJ45" s="345">
        <f t="shared" si="17"/>
        <v>0</v>
      </c>
      <c r="AK45" s="408">
        <f>IF(coder1_YH!S45="",AK44,coder1_YH!S45)</f>
        <v>11</v>
      </c>
      <c r="AL45" s="345" t="str">
        <f>IF(coder1_YH!T45="",AL44,IF(coder1_YH!T45="mixed",0.25,coder1_YH!T45))</f>
        <v>NA</v>
      </c>
      <c r="AM45" s="345" t="str">
        <f>IF(coder1_YH!U45 = "", AM44, IF(coder1_YH!U45="mixed","NA",coder1_YH!U45))</f>
        <v>NA</v>
      </c>
      <c r="AN45" s="345">
        <f>IF(coder1_YH!V45="",AN44,coder1_YH!V45)</f>
        <v>1</v>
      </c>
      <c r="AO45" s="345">
        <f>IF(coder1_YH!W45="",AO44,coder1_YH!W45)</f>
        <v>1</v>
      </c>
      <c r="AP45" s="345">
        <f>IF(coder1_YH!X45="",AP44,coder1_YH!X45)</f>
        <v>0</v>
      </c>
      <c r="AQ45" s="345" t="str">
        <f>IF(coder1_YH!Y45="",AQ44,coder1_YH!Y45)</f>
        <v>NA</v>
      </c>
      <c r="AR45" t="str">
        <f>coder1_YH!AB45</f>
        <v>1 = Published or Commercially available curriculum</v>
      </c>
      <c r="AS45" s="345" t="str">
        <f>IF(coder1_YH!AC45 = "", AS44,IF(coder1_YH!AC45="BAU","BAU",LEFT(coder1_YH!AC45)))</f>
        <v>0</v>
      </c>
      <c r="AT45" s="345" t="str">
        <f>IF(coder1_YH!AD45 = "", AT44,IF(coder1_YH!AD45="BAU","BAU",LEFT(coder1_YH!AD45)))</f>
        <v>0</v>
      </c>
      <c r="AU45" s="345" t="str">
        <f>IF(coder1_YH!AE45 = "", AU44,IF(coder1_YH!AE45="BAU","BAU",LEFT(coder1_YH!AE45)))</f>
        <v>1</v>
      </c>
      <c r="AV45" s="345">
        <f>IF(coder1_YH!AF45="",AV44,coder1_YH!AF45)</f>
        <v>4000</v>
      </c>
      <c r="AW45" s="345">
        <f t="shared" si="18"/>
        <v>66.666666666666671</v>
      </c>
      <c r="AX45" s="345">
        <f>IF(coder1_YH!AG45="",AX44,coder1_YH!AG45)</f>
        <v>80</v>
      </c>
      <c r="AY45" s="345">
        <f>IF(coder1_YH!AH45="",AY44,coder1_YH!AH45)</f>
        <v>50</v>
      </c>
      <c r="AZ45" s="345" t="str">
        <f>IF(coder1_YH!AI45 = "", AZ44, IF(coder1_YH!AI45="BAU","BAU",LEFT(coder1_YH!AI45)))</f>
        <v>0</v>
      </c>
      <c r="BA45" s="384">
        <f>clean_data!Y45</f>
        <v>32</v>
      </c>
    </row>
    <row r="46" spans="1:53" x14ac:dyDescent="0.2">
      <c r="A46">
        <f>coder1_YH!B46</f>
        <v>0</v>
      </c>
      <c r="B46">
        <f>coder1_YH!C46</f>
        <v>46</v>
      </c>
      <c r="C46">
        <f>coder1_YH!D46</f>
        <v>0</v>
      </c>
      <c r="D46" t="str">
        <f>coder1_YH!E46</f>
        <v/>
      </c>
      <c r="E46" t="b">
        <f>coder1_YH!F46</f>
        <v>1</v>
      </c>
      <c r="F46" s="321" t="str">
        <f>IF(coder1_YH!G46="", clean_mod!F45, coder1_YH!G46)</f>
        <v>Alhabahba et al., 2016</v>
      </c>
      <c r="G46" s="321" t="str">
        <f t="shared" si="1"/>
        <v>111</v>
      </c>
      <c r="H46" s="321">
        <f>IF(coder1_YH!H46="", clean_mod!H45, coder1_YH!H46)</f>
        <v>111</v>
      </c>
      <c r="I46" s="404" t="str">
        <f t="shared" si="2"/>
        <v>2016</v>
      </c>
      <c r="J46" s="344" t="str">
        <f>IF(coder1_YH!I46="",J45,coder1_YH!I46)</f>
        <v>Jordan</v>
      </c>
      <c r="K46" s="345">
        <f t="shared" si="3"/>
        <v>1</v>
      </c>
      <c r="L46" s="344" t="str">
        <f>IF(coder1_YH!J46 = "",L45, coder1_YH!J46)</f>
        <v>English</v>
      </c>
      <c r="M46" s="345">
        <f t="shared" si="4"/>
        <v>0</v>
      </c>
      <c r="N46" s="345" t="str">
        <f>IF(coder1_YH!K46 = "", N45, LEFT(coder1_YH!K46,1))</f>
        <v>0</v>
      </c>
      <c r="O46" s="345" t="str">
        <f>IF(coder1_YH!L46 = "", O45, LEFT(coder1_YH!L46,1))</f>
        <v>0</v>
      </c>
      <c r="P46" s="345" t="str">
        <f>IF(coder1_YH!M46 = "", P45, LEFT(coder1_YH!M46,1))</f>
        <v>1</v>
      </c>
      <c r="Q46" s="321" t="str">
        <f>coder1_YH!P46</f>
        <v>ctl</v>
      </c>
      <c r="R46" s="321" t="str">
        <f>coder1_YH!Q46</f>
        <v>Control</v>
      </c>
      <c r="S46" s="323" t="str">
        <f t="shared" si="5"/>
        <v/>
      </c>
      <c r="T46" s="323" t="str">
        <f t="shared" si="6"/>
        <v/>
      </c>
      <c r="U46" s="323" t="str">
        <f t="shared" si="7"/>
        <v/>
      </c>
      <c r="V46" s="323" t="str">
        <f t="shared" si="8"/>
        <v/>
      </c>
      <c r="W46" s="323">
        <f t="shared" si="9"/>
        <v>0</v>
      </c>
      <c r="X46" s="385" t="str">
        <f>IF(coder1_YH!N46 = "",X45,coder1_YH!N46)</f>
        <v>.</v>
      </c>
      <c r="Y46" s="385" t="str">
        <f>IF(coder1_YH!O46 = "",Y45,coder1_YH!O46)</f>
        <v>.</v>
      </c>
      <c r="Z46" s="385" t="str">
        <f t="shared" si="10"/>
        <v/>
      </c>
      <c r="AA46" s="385" t="str">
        <f t="shared" si="11"/>
        <v>BAU</v>
      </c>
      <c r="AB46" s="385" t="str">
        <f t="shared" si="12"/>
        <v>BAU</v>
      </c>
      <c r="AC46" s="323" t="str">
        <f t="shared" si="13"/>
        <v>..</v>
      </c>
      <c r="AD46" s="323" t="str">
        <f t="shared" si="14"/>
        <v>BAU</v>
      </c>
      <c r="AF46" s="369" t="str">
        <f t="shared" si="15"/>
        <v>111-..</v>
      </c>
      <c r="AG46" s="369" t="str">
        <f t="shared" si="16"/>
        <v>111-BAU</v>
      </c>
      <c r="AH46" s="344">
        <f>IF(coder1_YH!R46="",AH45,coder1_YH!R46)</f>
        <v>5</v>
      </c>
      <c r="AI46" s="344">
        <f t="shared" si="0"/>
        <v>5</v>
      </c>
      <c r="AJ46" s="345">
        <f t="shared" si="17"/>
        <v>0</v>
      </c>
      <c r="AK46" s="408">
        <f>IF(coder1_YH!S46="",AK45,coder1_YH!S46)</f>
        <v>11</v>
      </c>
      <c r="AL46" s="345" t="str">
        <f>IF(coder1_YH!T46="",AL45,IF(coder1_YH!T46="mixed",0.25,coder1_YH!T46))</f>
        <v>NA</v>
      </c>
      <c r="AM46" s="345" t="str">
        <f>IF(coder1_YH!U46 = "", AM45, IF(coder1_YH!U46="mixed","NA",coder1_YH!U46))</f>
        <v>NA</v>
      </c>
      <c r="AN46" s="345">
        <f>IF(coder1_YH!V46="",AN45,coder1_YH!V46)</f>
        <v>1</v>
      </c>
      <c r="AO46" s="345">
        <f>IF(coder1_YH!W46="",AO45,coder1_YH!W46)</f>
        <v>1</v>
      </c>
      <c r="AP46" s="345">
        <f>IF(coder1_YH!X46="",AP45,coder1_YH!X46)</f>
        <v>0</v>
      </c>
      <c r="AQ46" s="345" t="str">
        <f>IF(coder1_YH!Y46="",AQ45,coder1_YH!Y46)</f>
        <v>NA</v>
      </c>
      <c r="AR46" t="str">
        <f>coder1_YH!AB46</f>
        <v>2 = District/State curriculum</v>
      </c>
      <c r="AS46" s="345" t="str">
        <f>IF(coder1_YH!AC46 = "", AS45,IF(coder1_YH!AC46="BAU","BAU",LEFT(coder1_YH!AC46)))</f>
        <v>BAU</v>
      </c>
      <c r="AT46" s="345" t="str">
        <f>IF(coder1_YH!AD46 = "", AT45,IF(coder1_YH!AD46="BAU","BAU",LEFT(coder1_YH!AD46)))</f>
        <v>BAU</v>
      </c>
      <c r="AU46" s="345" t="str">
        <f>IF(coder1_YH!AE46 = "", AU45,IF(coder1_YH!AE46="BAU","BAU",LEFT(coder1_YH!AE46)))</f>
        <v>BAU</v>
      </c>
      <c r="AV46" s="345" t="str">
        <f>IF(coder1_YH!AF46="",AV45,coder1_YH!AF46)</f>
        <v>BAU</v>
      </c>
      <c r="AW46" s="345" t="str">
        <f t="shared" si="18"/>
        <v>BAU</v>
      </c>
      <c r="AX46" s="345" t="str">
        <f>IF(coder1_YH!AG46="",AX45,coder1_YH!AG46)</f>
        <v>BAU</v>
      </c>
      <c r="AY46" s="345" t="str">
        <f>IF(coder1_YH!AH46="",AY45,coder1_YH!AH46)</f>
        <v>BAU</v>
      </c>
      <c r="AZ46" s="345" t="str">
        <f>IF(coder1_YH!AI46 = "", AZ45, IF(coder1_YH!AI46="BAU","BAU",LEFT(coder1_YH!AI46)))</f>
        <v>BAU</v>
      </c>
      <c r="BA46" s="384">
        <f>clean_data!Y46</f>
        <v>34</v>
      </c>
    </row>
    <row r="47" spans="1:53" x14ac:dyDescent="0.2">
      <c r="A47">
        <f>coder1_YH!B47</f>
        <v>0</v>
      </c>
      <c r="B47">
        <f>coder1_YH!C47</f>
        <v>47</v>
      </c>
      <c r="C47" t="b">
        <f>coder1_YH!D47</f>
        <v>1</v>
      </c>
      <c r="D47" t="b">
        <f>coder1_YH!E47</f>
        <v>1</v>
      </c>
      <c r="E47" t="b">
        <f>coder1_YH!F47</f>
        <v>1</v>
      </c>
      <c r="F47" s="321" t="str">
        <f>IF(coder1_YH!G47="", clean_mod!F46, coder1_YH!G47)</f>
        <v>Aarnoutse &amp; Schellings, 2003</v>
      </c>
      <c r="G47" s="321" t="str">
        <f t="shared" si="1"/>
        <v>112</v>
      </c>
      <c r="H47" s="321">
        <f>IF(coder1_YH!H47="", clean_mod!H46, coder1_YH!H47)</f>
        <v>112</v>
      </c>
      <c r="I47" s="404" t="str">
        <f t="shared" si="2"/>
        <v>2003</v>
      </c>
      <c r="J47" s="344" t="str">
        <f>IF(coder1_YH!I47="",J46,coder1_YH!I47)</f>
        <v>Netherlands</v>
      </c>
      <c r="K47" s="345">
        <f t="shared" si="3"/>
        <v>1</v>
      </c>
      <c r="L47" s="344" t="str">
        <f>IF(coder1_YH!J47 = "",L46, coder1_YH!J47)</f>
        <v>Dutch</v>
      </c>
      <c r="M47" s="345">
        <f t="shared" si="4"/>
        <v>1</v>
      </c>
      <c r="N47" s="345" t="str">
        <f>IF(coder1_YH!K47 = "", N46, LEFT(coder1_YH!K47,1))</f>
        <v>0</v>
      </c>
      <c r="O47" s="345" t="str">
        <f>IF(coder1_YH!L47 = "", O46, LEFT(coder1_YH!L47,1))</f>
        <v>0</v>
      </c>
      <c r="P47" s="345" t="str">
        <f>IF(coder1_YH!M47 = "", P46, LEFT(coder1_YH!M47,1))</f>
        <v>1</v>
      </c>
      <c r="Q47" s="321">
        <f>coder1_YH!P47</f>
        <v>1</v>
      </c>
      <c r="R47" s="321" t="str">
        <f>coder1_YH!Q47</f>
        <v xml:space="preserve">PBL + ‘Who reads this’ </v>
      </c>
      <c r="S47" s="323" t="str">
        <f t="shared" si="5"/>
        <v>N</v>
      </c>
      <c r="T47" s="323" t="str">
        <f t="shared" si="6"/>
        <v/>
      </c>
      <c r="U47" s="323" t="str">
        <f t="shared" si="7"/>
        <v/>
      </c>
      <c r="V47" s="323" t="str">
        <f t="shared" si="8"/>
        <v/>
      </c>
      <c r="W47" s="323">
        <f t="shared" si="9"/>
        <v>1</v>
      </c>
      <c r="X47" s="385" t="str">
        <f>IF(coder1_YH!N47 = "",X46,coder1_YH!N47)</f>
        <v>N</v>
      </c>
      <c r="Y47" s="385" t="str">
        <f>IF(coder1_YH!O47 = "",Y46,coder1_YH!O47)</f>
        <v xml:space="preserve">m </v>
      </c>
      <c r="Z47" s="385" t="str">
        <f t="shared" si="10"/>
        <v>M</v>
      </c>
      <c r="AA47" s="385" t="str">
        <f t="shared" si="11"/>
        <v>R</v>
      </c>
      <c r="AB47" s="385" t="str">
        <f t="shared" si="12"/>
        <v>MR</v>
      </c>
      <c r="AC47" s="323" t="str">
        <f t="shared" si="13"/>
        <v xml:space="preserve">Nm </v>
      </c>
      <c r="AD47" s="323" t="str">
        <f t="shared" si="14"/>
        <v>N_R</v>
      </c>
      <c r="AE47" s="323">
        <f>IF(Y47="cm", 1,0)</f>
        <v>0</v>
      </c>
      <c r="AF47" s="369" t="str">
        <f t="shared" si="15"/>
        <v xml:space="preserve">112-Nm </v>
      </c>
      <c r="AG47" s="369" t="str">
        <f t="shared" si="16"/>
        <v>112-N_R</v>
      </c>
      <c r="AH47" s="344">
        <f>IF(coder1_YH!R47="",AH46,coder1_YH!R47)</f>
        <v>3</v>
      </c>
      <c r="AI47" s="344">
        <f t="shared" si="0"/>
        <v>3</v>
      </c>
      <c r="AJ47" s="345">
        <f t="shared" si="17"/>
        <v>0</v>
      </c>
      <c r="AK47" s="408">
        <f>IF(coder1_YH!S47="",AK46,coder1_YH!S47)</f>
        <v>8.5</v>
      </c>
      <c r="AL47" s="345" t="str">
        <f>IF(coder1_YH!T47="",AL46,IF(coder1_YH!T47="mixed",0.25,coder1_YH!T47))</f>
        <v>NA</v>
      </c>
      <c r="AM47" s="345" t="str">
        <f>IF(coder1_YH!U47 = "", AM46, IF(coder1_YH!U47="mixed","NA",coder1_YH!U47))</f>
        <v>NA</v>
      </c>
      <c r="AN47" s="345" t="str">
        <f>IF(coder1_YH!V47="",AN46,coder1_YH!V47)</f>
        <v>NA</v>
      </c>
      <c r="AO47" s="345" t="str">
        <f>IF(coder1_YH!W47="",AO46,coder1_YH!W47)</f>
        <v>NA</v>
      </c>
      <c r="AP47" s="345" t="str">
        <f>IF(coder1_YH!X47="",AP46,coder1_YH!X47)</f>
        <v>NA</v>
      </c>
      <c r="AQ47" s="345">
        <f>IF(coder1_YH!Y47="",AQ46,coder1_YH!Y47)</f>
        <v>0.1</v>
      </c>
      <c r="AR47" t="str">
        <f>coder1_YH!AB47</f>
        <v>0 = Researcher-developed curriculum</v>
      </c>
      <c r="AS47" s="345" t="str">
        <f>IF(coder1_YH!AC47 = "", AS46,IF(coder1_YH!AC47="BAU","BAU",LEFT(coder1_YH!AC47)))</f>
        <v>1</v>
      </c>
      <c r="AT47" s="345" t="str">
        <f>IF(coder1_YH!AD47 = "", AT46,IF(coder1_YH!AD47="BAU","BAU",LEFT(coder1_YH!AD47)))</f>
        <v>0</v>
      </c>
      <c r="AU47" s="345" t="str">
        <f>IF(coder1_YH!AE47 = "", AU46,IF(coder1_YH!AE47="BAU","BAU",LEFT(coder1_YH!AE47)))</f>
        <v>1</v>
      </c>
      <c r="AV47" s="345" t="str">
        <f>IF(coder1_YH!AF47="",AV46,coder1_YH!AF47)</f>
        <v>NA (40 lessons; 7.5 month)</v>
      </c>
      <c r="AW47" s="345" t="e">
        <f t="shared" si="18"/>
        <v>#VALUE!</v>
      </c>
      <c r="AX47" s="345">
        <f>IF(coder1_YH!AG47="",AX46,coder1_YH!AG47)</f>
        <v>40</v>
      </c>
      <c r="AY47" s="345" t="str">
        <f>IF(coder1_YH!AH47="",AY46,coder1_YH!AH47)</f>
        <v xml:space="preserve">NA </v>
      </c>
      <c r="AZ47" s="345" t="str">
        <f>IF(coder1_YH!AI47 = "", AZ46, IF(coder1_YH!AI47="BAU","BAU",LEFT(coder1_YH!AI47)))</f>
        <v>1</v>
      </c>
      <c r="BA47" s="384">
        <f>clean_data!Y47</f>
        <v>155</v>
      </c>
    </row>
    <row r="48" spans="1:53" x14ac:dyDescent="0.2">
      <c r="A48">
        <f>coder1_YH!B48</f>
        <v>0</v>
      </c>
      <c r="B48">
        <f>coder1_YH!C48</f>
        <v>48</v>
      </c>
      <c r="C48">
        <f>coder1_YH!D48</f>
        <v>0</v>
      </c>
      <c r="D48" t="str">
        <f>coder1_YH!E48</f>
        <v/>
      </c>
      <c r="E48" t="b">
        <f>coder1_YH!F48</f>
        <v>1</v>
      </c>
      <c r="F48" s="321" t="str">
        <f>IF(coder1_YH!G48="", clean_mod!F47, coder1_YH!G48)</f>
        <v>Aarnoutse &amp; Schellings, 2003</v>
      </c>
      <c r="G48" s="321" t="str">
        <f t="shared" si="1"/>
        <v>112</v>
      </c>
      <c r="H48" s="321">
        <f>IF(coder1_YH!H48="", clean_mod!H47, coder1_YH!H48)</f>
        <v>112</v>
      </c>
      <c r="I48" s="404" t="str">
        <f t="shared" si="2"/>
        <v>2003</v>
      </c>
      <c r="J48" s="344" t="str">
        <f>IF(coder1_YH!I48="",J47,coder1_YH!I48)</f>
        <v>Netherlands</v>
      </c>
      <c r="K48" s="345">
        <f t="shared" si="3"/>
        <v>1</v>
      </c>
      <c r="L48" s="344" t="str">
        <f>IF(coder1_YH!J48 = "",L47, coder1_YH!J48)</f>
        <v>Dutch</v>
      </c>
      <c r="M48" s="345">
        <f t="shared" si="4"/>
        <v>1</v>
      </c>
      <c r="N48" s="345" t="str">
        <f>IF(coder1_YH!K48 = "", N47, LEFT(coder1_YH!K48,1))</f>
        <v>0</v>
      </c>
      <c r="O48" s="345" t="str">
        <f>IF(coder1_YH!L48 = "", O47, LEFT(coder1_YH!L48,1))</f>
        <v>0</v>
      </c>
      <c r="P48" s="345" t="str">
        <f>IF(coder1_YH!M48 = "", P47, LEFT(coder1_YH!M48,1))</f>
        <v>1</v>
      </c>
      <c r="Q48" s="321" t="str">
        <f>coder1_YH!P48</f>
        <v>ctl</v>
      </c>
      <c r="R48" s="321" t="str">
        <f>coder1_YH!Q48</f>
        <v>Control = ‘Who reads this’</v>
      </c>
      <c r="S48" s="323" t="str">
        <f t="shared" si="5"/>
        <v/>
      </c>
      <c r="T48" s="323" t="str">
        <f t="shared" si="6"/>
        <v/>
      </c>
      <c r="U48" s="323" t="str">
        <f t="shared" si="7"/>
        <v/>
      </c>
      <c r="V48" s="323" t="str">
        <f t="shared" si="8"/>
        <v/>
      </c>
      <c r="W48" s="323">
        <f t="shared" si="9"/>
        <v>0</v>
      </c>
      <c r="X48" s="385" t="str">
        <f>IF(coder1_YH!N48 = "",X47,coder1_YH!N48)</f>
        <v>.</v>
      </c>
      <c r="Y48" s="385" t="str">
        <f>IF(coder1_YH!O48 = "",Y47,coder1_YH!O48)</f>
        <v xml:space="preserve">m </v>
      </c>
      <c r="Z48" s="385" t="str">
        <f t="shared" si="10"/>
        <v/>
      </c>
      <c r="AA48" s="385" t="str">
        <f t="shared" si="11"/>
        <v>R</v>
      </c>
      <c r="AB48" s="385" t="str">
        <f t="shared" si="12"/>
        <v>R</v>
      </c>
      <c r="AC48" s="323" t="str">
        <f t="shared" si="13"/>
        <v xml:space="preserve">.m </v>
      </c>
      <c r="AD48" s="323" t="str">
        <f t="shared" si="14"/>
        <v>R</v>
      </c>
      <c r="AF48" s="369" t="str">
        <f t="shared" si="15"/>
        <v xml:space="preserve">112-.m </v>
      </c>
      <c r="AG48" s="369" t="str">
        <f t="shared" si="16"/>
        <v>112-R</v>
      </c>
      <c r="AH48" s="344">
        <f>IF(coder1_YH!R48="",AH47,coder1_YH!R48)</f>
        <v>3</v>
      </c>
      <c r="AI48" s="344">
        <f t="shared" si="0"/>
        <v>3</v>
      </c>
      <c r="AJ48" s="345">
        <f t="shared" si="17"/>
        <v>0</v>
      </c>
      <c r="AK48" s="408">
        <f>IF(coder1_YH!S48="",AK47,coder1_YH!S48)</f>
        <v>8.5</v>
      </c>
      <c r="AL48" s="345" t="str">
        <f>IF(coder1_YH!T48="",AL47,IF(coder1_YH!T48="mixed",0.25,coder1_YH!T48))</f>
        <v>NA</v>
      </c>
      <c r="AM48" s="345" t="str">
        <f>IF(coder1_YH!U48 = "", AM47, IF(coder1_YH!U48="mixed","NA",coder1_YH!U48))</f>
        <v>NA</v>
      </c>
      <c r="AN48" s="345" t="str">
        <f>IF(coder1_YH!V48="",AN47,coder1_YH!V48)</f>
        <v>NA</v>
      </c>
      <c r="AO48" s="345" t="str">
        <f>IF(coder1_YH!W48="",AO47,coder1_YH!W48)</f>
        <v>NA</v>
      </c>
      <c r="AP48" s="345" t="str">
        <f>IF(coder1_YH!X48="",AP47,coder1_YH!X48)</f>
        <v>NA</v>
      </c>
      <c r="AQ48" s="345">
        <f>IF(coder1_YH!Y48="",AQ47,coder1_YH!Y48)</f>
        <v>0.1</v>
      </c>
      <c r="AR48" t="str">
        <f>coder1_YH!AB48</f>
        <v>2 = District/State curriculum</v>
      </c>
      <c r="AS48" s="345" t="str">
        <f>IF(coder1_YH!AC48 = "", AS47,IF(coder1_YH!AC48="BAU","BAU",LEFT(coder1_YH!AC48)))</f>
        <v>BAU</v>
      </c>
      <c r="AT48" s="345" t="str">
        <f>IF(coder1_YH!AD48 = "", AT47,IF(coder1_YH!AD48="BAU","BAU",LEFT(coder1_YH!AD48)))</f>
        <v>BAU</v>
      </c>
      <c r="AU48" s="345" t="str">
        <f>IF(coder1_YH!AE48 = "", AU47,IF(coder1_YH!AE48="BAU","BAU",LEFT(coder1_YH!AE48)))</f>
        <v>BAU</v>
      </c>
      <c r="AV48" s="345" t="str">
        <f>IF(coder1_YH!AF48="",AV47,coder1_YH!AF48)</f>
        <v>BAU</v>
      </c>
      <c r="AW48" s="345" t="str">
        <f t="shared" si="18"/>
        <v>BAU</v>
      </c>
      <c r="AX48" s="345" t="str">
        <f>IF(coder1_YH!AG48="",AX47,coder1_YH!AG48)</f>
        <v>BAU</v>
      </c>
      <c r="AY48" s="345" t="str">
        <f>IF(coder1_YH!AH48="",AY47,coder1_YH!AH48)</f>
        <v>BAU</v>
      </c>
      <c r="AZ48" s="345" t="str">
        <f>IF(coder1_YH!AI48 = "", AZ47, IF(coder1_YH!AI48="BAU","BAU",LEFT(coder1_YH!AI48)))</f>
        <v>BAU</v>
      </c>
      <c r="BA48" s="384">
        <f>clean_data!Y48</f>
        <v>172</v>
      </c>
    </row>
    <row r="49" spans="1:53" x14ac:dyDescent="0.2">
      <c r="A49">
        <f>coder1_YH!B49</f>
        <v>0</v>
      </c>
      <c r="B49">
        <f>coder1_YH!C49</f>
        <v>49</v>
      </c>
      <c r="C49" t="b">
        <f>coder1_YH!D49</f>
        <v>1</v>
      </c>
      <c r="D49" t="b">
        <f>coder1_YH!E49</f>
        <v>1</v>
      </c>
      <c r="E49" t="b">
        <f>coder1_YH!F49</f>
        <v>1</v>
      </c>
      <c r="F49" s="321" t="str">
        <f>IF(coder1_YH!G49="", clean_mod!F48, coder1_YH!G49)</f>
        <v>Wigfield et al., 2008</v>
      </c>
      <c r="G49" s="321" t="str">
        <f t="shared" si="1"/>
        <v>113</v>
      </c>
      <c r="H49" s="321">
        <f>IF(coder1_YH!H49="", clean_mod!H48, coder1_YH!H49)</f>
        <v>113</v>
      </c>
      <c r="I49" s="404" t="str">
        <f t="shared" si="2"/>
        <v>2008</v>
      </c>
      <c r="J49" s="344" t="str">
        <f>IF(coder1_YH!I49="",J48,coder1_YH!I49)</f>
        <v>USA</v>
      </c>
      <c r="K49" s="345">
        <f t="shared" si="3"/>
        <v>0</v>
      </c>
      <c r="L49" s="344" t="str">
        <f>IF(coder1_YH!J49 = "",L48, coder1_YH!J49)</f>
        <v>English</v>
      </c>
      <c r="M49" s="345">
        <f t="shared" si="4"/>
        <v>0</v>
      </c>
      <c r="N49" s="345" t="str">
        <f>IF(coder1_YH!K49 = "", N48, LEFT(coder1_YH!K49,1))</f>
        <v>0</v>
      </c>
      <c r="O49" s="345" t="str">
        <f>IF(coder1_YH!L49 = "", O48, LEFT(coder1_YH!L49,1))</f>
        <v>0</v>
      </c>
      <c r="P49" s="345" t="str">
        <f>IF(coder1_YH!M49 = "", P48, LEFT(coder1_YH!M49,1))</f>
        <v>1</v>
      </c>
      <c r="Q49" s="321">
        <f>coder1_YH!P49</f>
        <v>1</v>
      </c>
      <c r="R49" s="321" t="str">
        <f>coder1_YH!Q49</f>
        <v>CORI (5t, 2school)</v>
      </c>
      <c r="S49" s="323" t="str">
        <f t="shared" si="5"/>
        <v>N</v>
      </c>
      <c r="T49" s="323" t="str">
        <f t="shared" si="6"/>
        <v/>
      </c>
      <c r="U49" s="323" t="str">
        <f t="shared" si="7"/>
        <v/>
      </c>
      <c r="V49" s="323" t="str">
        <f t="shared" si="8"/>
        <v/>
      </c>
      <c r="W49" s="323">
        <f t="shared" si="9"/>
        <v>1</v>
      </c>
      <c r="X49" s="385" t="str">
        <f>IF(coder1_YH!N49 = "",X48,coder1_YH!N49)</f>
        <v>N</v>
      </c>
      <c r="Y49" s="385" t="str">
        <f>IF(coder1_YH!O49 = "",Y48,coder1_YH!O49)</f>
        <v xml:space="preserve">m </v>
      </c>
      <c r="Z49" s="385" t="str">
        <f t="shared" si="10"/>
        <v>M</v>
      </c>
      <c r="AA49" s="385" t="str">
        <f t="shared" si="11"/>
        <v>R</v>
      </c>
      <c r="AB49" s="385" t="str">
        <f t="shared" si="12"/>
        <v>MR</v>
      </c>
      <c r="AC49" s="323" t="str">
        <f t="shared" si="13"/>
        <v xml:space="preserve">Nm </v>
      </c>
      <c r="AD49" s="323" t="str">
        <f t="shared" si="14"/>
        <v>N_R</v>
      </c>
      <c r="AE49" s="323">
        <f>IF(Y49="cm", 1,0)</f>
        <v>0</v>
      </c>
      <c r="AF49" s="369" t="str">
        <f t="shared" si="15"/>
        <v xml:space="preserve">113-Nm </v>
      </c>
      <c r="AG49" s="369" t="str">
        <f t="shared" si="16"/>
        <v>113-N_R</v>
      </c>
      <c r="AH49" s="344">
        <f>IF(coder1_YH!R49="",AH48,coder1_YH!R49)</f>
        <v>4</v>
      </c>
      <c r="AI49" s="344">
        <f t="shared" si="0"/>
        <v>4</v>
      </c>
      <c r="AJ49" s="345">
        <f t="shared" si="17"/>
        <v>0</v>
      </c>
      <c r="AK49" s="408">
        <f>IF(coder1_YH!S49="",AK48,coder1_YH!S49)</f>
        <v>9.5</v>
      </c>
      <c r="AL49" s="345" t="str">
        <f>IF(coder1_YH!T49="",AL48,IF(coder1_YH!T49="mixed",0.25,coder1_YH!T49))</f>
        <v>NA</v>
      </c>
      <c r="AM49" s="345" t="str">
        <f>IF(coder1_YH!U49 = "", AM48, IF(coder1_YH!U49="mixed","NA",coder1_YH!U49))</f>
        <v>NA</v>
      </c>
      <c r="AN49" s="345" t="str">
        <f>IF(coder1_YH!V49="",AN48,coder1_YH!V49)</f>
        <v>NA</v>
      </c>
      <c r="AO49" s="345" t="str">
        <f>IF(coder1_YH!W49="",AO48,coder1_YH!W49)</f>
        <v>NA</v>
      </c>
      <c r="AP49" s="345" t="str">
        <f>IF(coder1_YH!X49="",AP48,coder1_YH!X49)</f>
        <v>NA</v>
      </c>
      <c r="AQ49" s="345">
        <f>IF(coder1_YH!Y49="",AQ48,coder1_YH!Y49)</f>
        <v>0.31999999999999995</v>
      </c>
      <c r="AR49" t="str">
        <f>coder1_YH!AB49</f>
        <v>1 = Published or Commercially available curriculum</v>
      </c>
      <c r="AS49" s="345" t="str">
        <f>IF(coder1_YH!AC49 = "", AS48,IF(coder1_YH!AC49="BAU","BAU",LEFT(coder1_YH!AC49)))</f>
        <v>0</v>
      </c>
      <c r="AT49" s="345" t="str">
        <f>IF(coder1_YH!AD49 = "", AT48,IF(coder1_YH!AD49="BAU","BAU",LEFT(coder1_YH!AD49)))</f>
        <v>0</v>
      </c>
      <c r="AU49" s="345" t="str">
        <f>IF(coder1_YH!AE49 = "", AU48,IF(coder1_YH!AE49="BAU","BAU",LEFT(coder1_YH!AE49)))</f>
        <v>1</v>
      </c>
      <c r="AV49" s="345">
        <f>IF(coder1_YH!AF49="",AV48,coder1_YH!AF49)</f>
        <v>5400</v>
      </c>
      <c r="AW49" s="345">
        <f t="shared" si="18"/>
        <v>90</v>
      </c>
      <c r="AX49" s="345">
        <f>IF(coder1_YH!AG49="",AX48,coder1_YH!AG49)</f>
        <v>60</v>
      </c>
      <c r="AY49" s="345">
        <f>IF(coder1_YH!AH49="",AY48,coder1_YH!AH49)</f>
        <v>90</v>
      </c>
      <c r="AZ49" s="345" t="str">
        <f>IF(coder1_YH!AI49 = "", AZ48, IF(coder1_YH!AI49="BAU","BAU",LEFT(coder1_YH!AI49)))</f>
        <v>1</v>
      </c>
      <c r="BA49" s="384">
        <f>clean_data!Y49</f>
        <v>164</v>
      </c>
    </row>
    <row r="50" spans="1:53" x14ac:dyDescent="0.2">
      <c r="A50" t="str">
        <f>coder1_YH!B50</f>
        <v>EX</v>
      </c>
      <c r="B50">
        <f>coder1_YH!C50</f>
        <v>50</v>
      </c>
      <c r="C50">
        <f>coder1_YH!D50</f>
        <v>0</v>
      </c>
      <c r="D50" t="str">
        <f>coder1_YH!E50</f>
        <v/>
      </c>
      <c r="E50" t="str">
        <f>coder1_YH!F50</f>
        <v/>
      </c>
      <c r="F50" s="321" t="str">
        <f>IF(coder1_YH!G50="", clean_mod!F49, coder1_YH!G50)</f>
        <v>Wigfield et al., 2008</v>
      </c>
      <c r="G50" s="321" t="str">
        <f t="shared" si="1"/>
        <v>113</v>
      </c>
      <c r="H50" s="321">
        <f>IF(coder1_YH!H50="", clean_mod!H49, coder1_YH!H50)</f>
        <v>113</v>
      </c>
      <c r="I50" s="404" t="str">
        <f t="shared" si="2"/>
        <v>2008</v>
      </c>
      <c r="J50" s="344" t="str">
        <f>IF(coder1_YH!I50="",J49,coder1_YH!I50)</f>
        <v>USA</v>
      </c>
      <c r="K50" s="345">
        <f t="shared" si="3"/>
        <v>0</v>
      </c>
      <c r="L50" s="344" t="str">
        <f>IF(coder1_YH!J50 = "",L49, coder1_YH!J50)</f>
        <v>English</v>
      </c>
      <c r="M50" s="345">
        <f t="shared" si="4"/>
        <v>0</v>
      </c>
      <c r="N50" s="345" t="str">
        <f>IF(coder1_YH!K50 = "", N49, LEFT(coder1_YH!K50,1))</f>
        <v>0</v>
      </c>
      <c r="O50" s="345" t="str">
        <f>IF(coder1_YH!L50 = "", O49, LEFT(coder1_YH!L50,1))</f>
        <v>0</v>
      </c>
      <c r="P50" s="345" t="str">
        <f>IF(coder1_YH!M50 = "", P49, LEFT(coder1_YH!M50,1))</f>
        <v>1</v>
      </c>
      <c r="Q50" s="321">
        <f>coder1_YH!P50</f>
        <v>0</v>
      </c>
      <c r="R50" s="321">
        <f>coder1_YH!Q50</f>
        <v>0</v>
      </c>
      <c r="S50" s="323" t="str">
        <f t="shared" si="5"/>
        <v>N</v>
      </c>
      <c r="T50" s="323" t="str">
        <f t="shared" si="6"/>
        <v/>
      </c>
      <c r="U50" s="323" t="str">
        <f t="shared" si="7"/>
        <v/>
      </c>
      <c r="V50" s="323" t="str">
        <f t="shared" si="8"/>
        <v/>
      </c>
      <c r="W50" s="323">
        <f t="shared" si="9"/>
        <v>1</v>
      </c>
      <c r="X50" s="385" t="str">
        <f>IF(coder1_YH!N50 = "",X49,coder1_YH!N50)</f>
        <v>N</v>
      </c>
      <c r="Y50" s="385" t="str">
        <f>IF(coder1_YH!O50 = "",Y49,coder1_YH!O50)</f>
        <v xml:space="preserve">m </v>
      </c>
      <c r="Z50" s="385" t="str">
        <f t="shared" si="10"/>
        <v>M</v>
      </c>
      <c r="AA50" s="385" t="str">
        <f t="shared" si="11"/>
        <v>R</v>
      </c>
      <c r="AB50" s="385" t="str">
        <f t="shared" si="12"/>
        <v>MR</v>
      </c>
      <c r="AC50" s="323" t="str">
        <f t="shared" si="13"/>
        <v xml:space="preserve">Nm </v>
      </c>
      <c r="AD50" s="323" t="str">
        <f t="shared" si="14"/>
        <v>N_R</v>
      </c>
      <c r="AF50" s="369" t="str">
        <f t="shared" si="15"/>
        <v xml:space="preserve">113-Nm </v>
      </c>
      <c r="AG50" s="369" t="str">
        <f t="shared" si="16"/>
        <v>113-N_R</v>
      </c>
      <c r="AH50" s="344">
        <f>IF(coder1_YH!R50="",AH49,coder1_YH!R50)</f>
        <v>4</v>
      </c>
      <c r="AI50" s="344">
        <f t="shared" si="0"/>
        <v>4</v>
      </c>
      <c r="AJ50" s="345">
        <f t="shared" si="17"/>
        <v>0</v>
      </c>
      <c r="AK50" s="408">
        <f>IF(coder1_YH!S50="",AK49,coder1_YH!S50)</f>
        <v>9.5</v>
      </c>
      <c r="AL50" s="345" t="str">
        <f>IF(coder1_YH!T50="",AL49,IF(coder1_YH!T50="mixed",0.25,coder1_YH!T50))</f>
        <v>NA</v>
      </c>
      <c r="AM50" s="345" t="str">
        <f>IF(coder1_YH!U50 = "", AM49, IF(coder1_YH!U50="mixed","NA",coder1_YH!U50))</f>
        <v>NA</v>
      </c>
      <c r="AN50" s="345" t="str">
        <f>IF(coder1_YH!V50="",AN49,coder1_YH!V50)</f>
        <v>NA</v>
      </c>
      <c r="AO50" s="345" t="str">
        <f>IF(coder1_YH!W50="",AO49,coder1_YH!W50)</f>
        <v>NA</v>
      </c>
      <c r="AP50" s="345" t="str">
        <f>IF(coder1_YH!X50="",AP49,coder1_YH!X50)</f>
        <v>NA</v>
      </c>
      <c r="AQ50" s="345">
        <f>IF(coder1_YH!Y50="",AQ49,coder1_YH!Y50)</f>
        <v>0.31999999999999995</v>
      </c>
      <c r="AR50">
        <f>coder1_YH!AB50</f>
        <v>0</v>
      </c>
      <c r="AS50" s="345" t="str">
        <f>IF(coder1_YH!AC50 = "", AS49,IF(coder1_YH!AC50="BAU","BAU",LEFT(coder1_YH!AC50)))</f>
        <v>0</v>
      </c>
      <c r="AT50" s="345" t="str">
        <f>IF(coder1_YH!AD50 = "", AT49,IF(coder1_YH!AD50="BAU","BAU",LEFT(coder1_YH!AD50)))</f>
        <v>0</v>
      </c>
      <c r="AU50" s="345" t="str">
        <f>IF(coder1_YH!AE50 = "", AU49,IF(coder1_YH!AE50="BAU","BAU",LEFT(coder1_YH!AE50)))</f>
        <v>1</v>
      </c>
      <c r="AV50" s="345">
        <f>IF(coder1_YH!AF50="",AV49,coder1_YH!AF50)</f>
        <v>5400</v>
      </c>
      <c r="AW50" s="345">
        <f t="shared" si="18"/>
        <v>90</v>
      </c>
      <c r="AX50" s="345">
        <f>IF(coder1_YH!AG50="",AX49,coder1_YH!AG50)</f>
        <v>60</v>
      </c>
      <c r="AY50" s="345">
        <f>IF(coder1_YH!AH50="",AY49,coder1_YH!AH50)</f>
        <v>90</v>
      </c>
      <c r="AZ50" s="345" t="str">
        <f>IF(coder1_YH!AI50 = "", AZ49, IF(coder1_YH!AI50="BAU","BAU",LEFT(coder1_YH!AI50)))</f>
        <v>1</v>
      </c>
      <c r="BA50" s="384">
        <f>clean_data!Y50</f>
        <v>164</v>
      </c>
    </row>
    <row r="51" spans="1:53" x14ac:dyDescent="0.2">
      <c r="A51">
        <f>coder1_YH!B51</f>
        <v>0</v>
      </c>
      <c r="B51">
        <f>coder1_YH!C51</f>
        <v>51</v>
      </c>
      <c r="C51">
        <f>coder1_YH!D51</f>
        <v>0</v>
      </c>
      <c r="D51" t="str">
        <f>coder1_YH!E51</f>
        <v/>
      </c>
      <c r="E51" t="b">
        <f>coder1_YH!F51</f>
        <v>1</v>
      </c>
      <c r="F51" s="321" t="str">
        <f>IF(coder1_YH!G51="", clean_mod!F50, coder1_YH!G51)</f>
        <v>Wigfield et al., 2008</v>
      </c>
      <c r="G51" s="321" t="str">
        <f t="shared" si="1"/>
        <v>113</v>
      </c>
      <c r="H51" s="321">
        <f>IF(coder1_YH!H51="", clean_mod!H50, coder1_YH!H51)</f>
        <v>113</v>
      </c>
      <c r="I51" s="404" t="str">
        <f t="shared" si="2"/>
        <v>2008</v>
      </c>
      <c r="J51" s="344" t="str">
        <f>IF(coder1_YH!I51="",J50,coder1_YH!I51)</f>
        <v>USA</v>
      </c>
      <c r="K51" s="345">
        <f t="shared" si="3"/>
        <v>0</v>
      </c>
      <c r="L51" s="344" t="str">
        <f>IF(coder1_YH!J51 = "",L50, coder1_YH!J51)</f>
        <v>English</v>
      </c>
      <c r="M51" s="345">
        <f t="shared" si="4"/>
        <v>0</v>
      </c>
      <c r="N51" s="345" t="str">
        <f>IF(coder1_YH!K51 = "", N50, LEFT(coder1_YH!K51,1))</f>
        <v>0</v>
      </c>
      <c r="O51" s="345" t="str">
        <f>IF(coder1_YH!L51 = "", O50, LEFT(coder1_YH!L51,1))</f>
        <v>0</v>
      </c>
      <c r="P51" s="345" t="str">
        <f>IF(coder1_YH!M51 = "", P50, LEFT(coder1_YH!M51,1))</f>
        <v>1</v>
      </c>
      <c r="Q51" s="321">
        <f>coder1_YH!P51</f>
        <v>2</v>
      </c>
      <c r="R51" s="321" t="str">
        <f>coder1_YH!Q51</f>
        <v xml:space="preserve">SI (7t, 2school) </v>
      </c>
      <c r="S51" s="323" t="str">
        <f t="shared" si="5"/>
        <v/>
      </c>
      <c r="T51" s="323" t="str">
        <f t="shared" si="6"/>
        <v/>
      </c>
      <c r="U51" s="323" t="str">
        <f t="shared" si="7"/>
        <v/>
      </c>
      <c r="V51" s="323" t="str">
        <f t="shared" si="8"/>
        <v/>
      </c>
      <c r="W51" s="323">
        <f t="shared" si="9"/>
        <v>0</v>
      </c>
      <c r="X51" s="385" t="str">
        <f>IF(coder1_YH!N51 = "",X50,coder1_YH!N51)</f>
        <v>.</v>
      </c>
      <c r="Y51" s="385" t="str">
        <f>IF(coder1_YH!O51 = "",Y50,coder1_YH!O51)</f>
        <v xml:space="preserve">m </v>
      </c>
      <c r="Z51" s="385" t="str">
        <f t="shared" si="10"/>
        <v/>
      </c>
      <c r="AA51" s="385" t="str">
        <f t="shared" si="11"/>
        <v>R</v>
      </c>
      <c r="AB51" s="385" t="str">
        <f t="shared" si="12"/>
        <v>R</v>
      </c>
      <c r="AC51" s="323" t="str">
        <f t="shared" si="13"/>
        <v xml:space="preserve">.m </v>
      </c>
      <c r="AD51" s="323" t="str">
        <f t="shared" si="14"/>
        <v>R</v>
      </c>
      <c r="AF51" s="369" t="str">
        <f t="shared" si="15"/>
        <v xml:space="preserve">113-.m </v>
      </c>
      <c r="AG51" s="369" t="str">
        <f t="shared" si="16"/>
        <v>113-R</v>
      </c>
      <c r="AH51" s="344">
        <f>IF(coder1_YH!R51="",AH50,coder1_YH!R51)</f>
        <v>4</v>
      </c>
      <c r="AI51" s="344">
        <f t="shared" si="0"/>
        <v>4</v>
      </c>
      <c r="AJ51" s="345">
        <f t="shared" si="17"/>
        <v>0</v>
      </c>
      <c r="AK51" s="408">
        <f>IF(coder1_YH!S51="",AK50,coder1_YH!S51)</f>
        <v>9.5</v>
      </c>
      <c r="AL51" s="345" t="str">
        <f>IF(coder1_YH!T51="",AL50,IF(coder1_YH!T51="mixed",0.25,coder1_YH!T51))</f>
        <v>NA</v>
      </c>
      <c r="AM51" s="345" t="str">
        <f>IF(coder1_YH!U51 = "", AM50, IF(coder1_YH!U51="mixed","NA",coder1_YH!U51))</f>
        <v>NA</v>
      </c>
      <c r="AN51" s="345" t="str">
        <f>IF(coder1_YH!V51="",AN50,coder1_YH!V51)</f>
        <v>NA</v>
      </c>
      <c r="AO51" s="345" t="str">
        <f>IF(coder1_YH!W51="",AO50,coder1_YH!W51)</f>
        <v>NA</v>
      </c>
      <c r="AP51" s="345" t="str">
        <f>IF(coder1_YH!X51="",AP50,coder1_YH!X51)</f>
        <v>NA</v>
      </c>
      <c r="AQ51" s="345">
        <f>IF(coder1_YH!Y51="",AQ50,coder1_YH!Y51)</f>
        <v>0.31999999999999995</v>
      </c>
      <c r="AR51" t="str">
        <f>coder1_YH!AB51</f>
        <v>1 = Published or Commercially available curriculum</v>
      </c>
      <c r="AS51" s="345" t="str">
        <f>IF(coder1_YH!AC51 = "", AS50,IF(coder1_YH!AC51="BAU","BAU",LEFT(coder1_YH!AC51)))</f>
        <v>0</v>
      </c>
      <c r="AT51" s="345" t="str">
        <f>IF(coder1_YH!AD51 = "", AT50,IF(coder1_YH!AD51="BAU","BAU",LEFT(coder1_YH!AD51)))</f>
        <v>0</v>
      </c>
      <c r="AU51" s="345" t="str">
        <f>IF(coder1_YH!AE51 = "", AU50,IF(coder1_YH!AE51="BAU","BAU",LEFT(coder1_YH!AE51)))</f>
        <v>1</v>
      </c>
      <c r="AV51" s="345">
        <f>IF(coder1_YH!AF51="",AV50,coder1_YH!AF51)</f>
        <v>5400</v>
      </c>
      <c r="AW51" s="345">
        <f t="shared" si="18"/>
        <v>90</v>
      </c>
      <c r="AX51" s="345">
        <f>IF(coder1_YH!AG51="",AX50,coder1_YH!AG51)</f>
        <v>60</v>
      </c>
      <c r="AY51" s="345">
        <f>IF(coder1_YH!AH51="",AY50,coder1_YH!AH51)</f>
        <v>90</v>
      </c>
      <c r="AZ51" s="345" t="str">
        <f>IF(coder1_YH!AI51 = "", AZ50, IF(coder1_YH!AI51="BAU","BAU",LEFT(coder1_YH!AI51)))</f>
        <v>1</v>
      </c>
      <c r="BA51" s="384">
        <f>clean_data!Y51</f>
        <v>229.6</v>
      </c>
    </row>
    <row r="52" spans="1:53" x14ac:dyDescent="0.2">
      <c r="A52">
        <f>coder1_YH!B52</f>
        <v>0</v>
      </c>
      <c r="B52">
        <f>coder1_YH!C52</f>
        <v>52</v>
      </c>
      <c r="C52">
        <f>coder1_YH!D52</f>
        <v>0</v>
      </c>
      <c r="D52" t="str">
        <f>coder1_YH!E52</f>
        <v/>
      </c>
      <c r="E52" t="str">
        <f>coder1_YH!F52</f>
        <v/>
      </c>
      <c r="F52" s="321" t="str">
        <f>IF(coder1_YH!G52="", clean_mod!F51, coder1_YH!G52)</f>
        <v>Wigfield et al., 2008</v>
      </c>
      <c r="G52" s="321" t="str">
        <f t="shared" si="1"/>
        <v>113</v>
      </c>
      <c r="H52" s="321">
        <f>IF(coder1_YH!H52="", clean_mod!H51, coder1_YH!H52)</f>
        <v>113</v>
      </c>
      <c r="I52" s="404" t="str">
        <f t="shared" si="2"/>
        <v>2008</v>
      </c>
      <c r="J52" s="344" t="str">
        <f>IF(coder1_YH!I52="",J51,coder1_YH!I52)</f>
        <v>USA</v>
      </c>
      <c r="K52" s="345">
        <f t="shared" si="3"/>
        <v>0</v>
      </c>
      <c r="L52" s="344" t="str">
        <f>IF(coder1_YH!J52 = "",L51, coder1_YH!J52)</f>
        <v>English</v>
      </c>
      <c r="M52" s="345">
        <f t="shared" si="4"/>
        <v>0</v>
      </c>
      <c r="N52" s="345" t="str">
        <f>IF(coder1_YH!K52 = "", N51, LEFT(coder1_YH!K52,1))</f>
        <v>0</v>
      </c>
      <c r="O52" s="345" t="str">
        <f>IF(coder1_YH!L52 = "", O51, LEFT(coder1_YH!L52,1))</f>
        <v>0</v>
      </c>
      <c r="P52" s="345" t="str">
        <f>IF(coder1_YH!M52 = "", P51, LEFT(coder1_YH!M52,1))</f>
        <v>1</v>
      </c>
      <c r="Q52" s="321">
        <f>coder1_YH!P52</f>
        <v>0</v>
      </c>
      <c r="R52" s="321">
        <f>coder1_YH!Q52</f>
        <v>0</v>
      </c>
      <c r="S52" s="323" t="str">
        <f t="shared" si="5"/>
        <v/>
      </c>
      <c r="T52" s="323" t="str">
        <f t="shared" si="6"/>
        <v/>
      </c>
      <c r="U52" s="323" t="str">
        <f t="shared" si="7"/>
        <v/>
      </c>
      <c r="V52" s="323" t="str">
        <f t="shared" si="8"/>
        <v/>
      </c>
      <c r="W52" s="323">
        <f t="shared" si="9"/>
        <v>0</v>
      </c>
      <c r="X52" s="385" t="str">
        <f>IF(coder1_YH!N52 = "",X51,coder1_YH!N52)</f>
        <v>.</v>
      </c>
      <c r="Y52" s="385" t="str">
        <f>IF(coder1_YH!O52 = "",Y51,coder1_YH!O52)</f>
        <v xml:space="preserve">m </v>
      </c>
      <c r="Z52" s="385" t="str">
        <f t="shared" si="10"/>
        <v/>
      </c>
      <c r="AA52" s="385" t="str">
        <f t="shared" si="11"/>
        <v>R</v>
      </c>
      <c r="AB52" s="385" t="str">
        <f t="shared" si="12"/>
        <v>R</v>
      </c>
      <c r="AC52" s="323" t="str">
        <f t="shared" si="13"/>
        <v xml:space="preserve">.m </v>
      </c>
      <c r="AD52" s="323" t="str">
        <f t="shared" si="14"/>
        <v>R</v>
      </c>
      <c r="AF52" s="369" t="str">
        <f t="shared" si="15"/>
        <v xml:space="preserve">113-.m </v>
      </c>
      <c r="AG52" s="369" t="str">
        <f t="shared" si="16"/>
        <v>113-R</v>
      </c>
      <c r="AH52" s="344">
        <f>IF(coder1_YH!R52="",AH51,coder1_YH!R52)</f>
        <v>4</v>
      </c>
      <c r="AI52" s="344">
        <f t="shared" si="0"/>
        <v>4</v>
      </c>
      <c r="AJ52" s="345">
        <f t="shared" si="17"/>
        <v>0</v>
      </c>
      <c r="AK52" s="408">
        <f>IF(coder1_YH!S52="",AK51,coder1_YH!S52)</f>
        <v>9.5</v>
      </c>
      <c r="AL52" s="345" t="str">
        <f>IF(coder1_YH!T52="",AL51,IF(coder1_YH!T52="mixed",0.25,coder1_YH!T52))</f>
        <v>NA</v>
      </c>
      <c r="AM52" s="345" t="str">
        <f>IF(coder1_YH!U52 = "", AM51, IF(coder1_YH!U52="mixed","NA",coder1_YH!U52))</f>
        <v>NA</v>
      </c>
      <c r="AN52" s="345" t="str">
        <f>IF(coder1_YH!V52="",AN51,coder1_YH!V52)</f>
        <v>NA</v>
      </c>
      <c r="AO52" s="345" t="str">
        <f>IF(coder1_YH!W52="",AO51,coder1_YH!W52)</f>
        <v>NA</v>
      </c>
      <c r="AP52" s="345" t="str">
        <f>IF(coder1_YH!X52="",AP51,coder1_YH!X52)</f>
        <v>NA</v>
      </c>
      <c r="AQ52" s="345">
        <f>IF(coder1_YH!Y52="",AQ51,coder1_YH!Y52)</f>
        <v>0.31999999999999995</v>
      </c>
      <c r="AR52">
        <f>coder1_YH!AB52</f>
        <v>0</v>
      </c>
      <c r="AS52" s="345" t="str">
        <f>IF(coder1_YH!AC52 = "", AS51,IF(coder1_YH!AC52="BAU","BAU",LEFT(coder1_YH!AC52)))</f>
        <v>0</v>
      </c>
      <c r="AT52" s="345" t="str">
        <f>IF(coder1_YH!AD52 = "", AT51,IF(coder1_YH!AD52="BAU","BAU",LEFT(coder1_YH!AD52)))</f>
        <v>0</v>
      </c>
      <c r="AU52" s="345" t="str">
        <f>IF(coder1_YH!AE52 = "", AU51,IF(coder1_YH!AE52="BAU","BAU",LEFT(coder1_YH!AE52)))</f>
        <v>1</v>
      </c>
      <c r="AV52" s="345">
        <f>IF(coder1_YH!AF52="",AV51,coder1_YH!AF52)</f>
        <v>5400</v>
      </c>
      <c r="AW52" s="345">
        <f t="shared" si="18"/>
        <v>90</v>
      </c>
      <c r="AX52" s="345">
        <f>IF(coder1_YH!AG52="",AX51,coder1_YH!AG52)</f>
        <v>60</v>
      </c>
      <c r="AY52" s="345">
        <f>IF(coder1_YH!AH52="",AY51,coder1_YH!AH52)</f>
        <v>90</v>
      </c>
      <c r="AZ52" s="345" t="str">
        <f>IF(coder1_YH!AI52 = "", AZ51, IF(coder1_YH!AI52="BAU","BAU",LEFT(coder1_YH!AI52)))</f>
        <v>1</v>
      </c>
      <c r="BA52" s="384">
        <f>clean_data!Y52</f>
        <v>229.6</v>
      </c>
    </row>
    <row r="53" spans="1:53" x14ac:dyDescent="0.2">
      <c r="A53">
        <f>coder1_YH!B53</f>
        <v>0</v>
      </c>
      <c r="B53">
        <f>coder1_YH!C53</f>
        <v>53</v>
      </c>
      <c r="C53">
        <f>coder1_YH!D53</f>
        <v>0</v>
      </c>
      <c r="D53" t="str">
        <f>coder1_YH!E53</f>
        <v/>
      </c>
      <c r="E53" t="b">
        <f>coder1_YH!F53</f>
        <v>1</v>
      </c>
      <c r="F53" s="321" t="str">
        <f>IF(coder1_YH!G53="", clean_mod!F52, coder1_YH!G53)</f>
        <v>Wigfield et al., 2008</v>
      </c>
      <c r="G53" s="321" t="str">
        <f t="shared" si="1"/>
        <v>113</v>
      </c>
      <c r="H53" s="321">
        <f>IF(coder1_YH!H53="", clean_mod!H52, coder1_YH!H53)</f>
        <v>113</v>
      </c>
      <c r="I53" s="404" t="str">
        <f t="shared" si="2"/>
        <v>2008</v>
      </c>
      <c r="J53" s="344" t="str">
        <f>IF(coder1_YH!I53="",J52,coder1_YH!I53)</f>
        <v>USA</v>
      </c>
      <c r="K53" s="345">
        <f t="shared" si="3"/>
        <v>0</v>
      </c>
      <c r="L53" s="344" t="str">
        <f>IF(coder1_YH!J53 = "",L52, coder1_YH!J53)</f>
        <v>English</v>
      </c>
      <c r="M53" s="345">
        <f t="shared" si="4"/>
        <v>0</v>
      </c>
      <c r="N53" s="345" t="str">
        <f>IF(coder1_YH!K53 = "", N52, LEFT(coder1_YH!K53,1))</f>
        <v>0</v>
      </c>
      <c r="O53" s="345" t="str">
        <f>IF(coder1_YH!L53 = "", O52, LEFT(coder1_YH!L53,1))</f>
        <v>0</v>
      </c>
      <c r="P53" s="345" t="str">
        <f>IF(coder1_YH!M53 = "", P52, LEFT(coder1_YH!M53,1))</f>
        <v>1</v>
      </c>
      <c r="Q53" s="321" t="str">
        <f>coder1_YH!P53</f>
        <v>ctl</v>
      </c>
      <c r="R53" s="321" t="str">
        <f>coder1_YH!Q53</f>
        <v>TI (3t, 1school)</v>
      </c>
      <c r="S53" s="323" t="str">
        <f t="shared" si="5"/>
        <v/>
      </c>
      <c r="T53" s="323" t="str">
        <f t="shared" si="6"/>
        <v/>
      </c>
      <c r="U53" s="323" t="str">
        <f t="shared" si="7"/>
        <v/>
      </c>
      <c r="V53" s="323" t="str">
        <f t="shared" si="8"/>
        <v/>
      </c>
      <c r="W53" s="323">
        <f t="shared" si="9"/>
        <v>0</v>
      </c>
      <c r="X53" s="385" t="str">
        <f>IF(coder1_YH!N53 = "",X52,coder1_YH!N53)</f>
        <v>.</v>
      </c>
      <c r="Y53" s="385" t="str">
        <f>IF(coder1_YH!O53 = "",Y52,coder1_YH!O53)</f>
        <v>.</v>
      </c>
      <c r="Z53" s="385" t="str">
        <f t="shared" si="10"/>
        <v/>
      </c>
      <c r="AA53" s="385" t="str">
        <f t="shared" si="11"/>
        <v>BAU</v>
      </c>
      <c r="AB53" s="385" t="str">
        <f t="shared" si="12"/>
        <v>BAU</v>
      </c>
      <c r="AC53" s="323" t="str">
        <f t="shared" si="13"/>
        <v>..</v>
      </c>
      <c r="AD53" s="323" t="str">
        <f t="shared" si="14"/>
        <v>BAU</v>
      </c>
      <c r="AF53" s="369" t="str">
        <f t="shared" si="15"/>
        <v>113-..</v>
      </c>
      <c r="AG53" s="369" t="str">
        <f t="shared" si="16"/>
        <v>113-BAU</v>
      </c>
      <c r="AH53" s="344">
        <f>IF(coder1_YH!R53="",AH52,coder1_YH!R53)</f>
        <v>4</v>
      </c>
      <c r="AI53" s="344">
        <f t="shared" si="0"/>
        <v>4</v>
      </c>
      <c r="AJ53" s="345">
        <f t="shared" si="17"/>
        <v>0</v>
      </c>
      <c r="AK53" s="408">
        <f>IF(coder1_YH!S53="",AK52,coder1_YH!S53)</f>
        <v>9.5</v>
      </c>
      <c r="AL53" s="345" t="str">
        <f>IF(coder1_YH!T53="",AL52,IF(coder1_YH!T53="mixed",0.25,coder1_YH!T53))</f>
        <v>NA</v>
      </c>
      <c r="AM53" s="345" t="str">
        <f>IF(coder1_YH!U53 = "", AM52, IF(coder1_YH!U53="mixed","NA",coder1_YH!U53))</f>
        <v>NA</v>
      </c>
      <c r="AN53" s="345" t="str">
        <f>IF(coder1_YH!V53="",AN52,coder1_YH!V53)</f>
        <v>NA</v>
      </c>
      <c r="AO53" s="345" t="str">
        <f>IF(coder1_YH!W53="",AO52,coder1_YH!W53)</f>
        <v>NA</v>
      </c>
      <c r="AP53" s="345" t="str">
        <f>IF(coder1_YH!X53="",AP52,coder1_YH!X53)</f>
        <v>NA</v>
      </c>
      <c r="AQ53" s="345">
        <f>IF(coder1_YH!Y53="",AQ52,coder1_YH!Y53)</f>
        <v>0.31999999999999995</v>
      </c>
      <c r="AR53" t="str">
        <f>coder1_YH!AB53</f>
        <v>2 = District/State curriculum</v>
      </c>
      <c r="AS53" s="345" t="str">
        <f>IF(coder1_YH!AC53 = "", AS52,IF(coder1_YH!AC53="BAU","BAU",LEFT(coder1_YH!AC53)))</f>
        <v>BAU</v>
      </c>
      <c r="AT53" s="345" t="str">
        <f>IF(coder1_YH!AD53 = "", AT52,IF(coder1_YH!AD53="BAU","BAU",LEFT(coder1_YH!AD53)))</f>
        <v>BAU</v>
      </c>
      <c r="AU53" s="345" t="str">
        <f>IF(coder1_YH!AE53 = "", AU52,IF(coder1_YH!AE53="BAU","BAU",LEFT(coder1_YH!AE53)))</f>
        <v>BAU</v>
      </c>
      <c r="AV53" s="345" t="str">
        <f>IF(coder1_YH!AF53="",AV52,coder1_YH!AF53)</f>
        <v>BAU</v>
      </c>
      <c r="AW53" s="345" t="str">
        <f t="shared" si="18"/>
        <v>BAU</v>
      </c>
      <c r="AX53" s="345" t="str">
        <f>IF(coder1_YH!AG53="",AX52,coder1_YH!AG53)</f>
        <v>BAU</v>
      </c>
      <c r="AY53" s="345" t="str">
        <f>IF(coder1_YH!AH53="",AY52,coder1_YH!AH53)</f>
        <v>BAU</v>
      </c>
      <c r="AZ53" s="345" t="str">
        <f>IF(coder1_YH!AI53 = "", AZ52, IF(coder1_YH!AI53="BAU","BAU",LEFT(coder1_YH!AI53)))</f>
        <v>BAU</v>
      </c>
      <c r="BA53" s="384">
        <f>clean_data!Y53</f>
        <v>98.4</v>
      </c>
    </row>
    <row r="54" spans="1:53" x14ac:dyDescent="0.2">
      <c r="A54">
        <f>coder1_YH!B54</f>
        <v>0</v>
      </c>
      <c r="B54">
        <f>coder1_YH!C54</f>
        <v>54</v>
      </c>
      <c r="C54">
        <f>coder1_YH!D54</f>
        <v>0</v>
      </c>
      <c r="D54" t="str">
        <f>coder1_YH!E54</f>
        <v/>
      </c>
      <c r="E54" t="str">
        <f>coder1_YH!F54</f>
        <v/>
      </c>
      <c r="F54" s="321" t="str">
        <f>IF(coder1_YH!G54="", clean_mod!F53, coder1_YH!G54)</f>
        <v>Wigfield et al., 2008</v>
      </c>
      <c r="G54" s="321" t="str">
        <f t="shared" si="1"/>
        <v>113</v>
      </c>
      <c r="H54" s="321">
        <f>IF(coder1_YH!H54="", clean_mod!H53, coder1_YH!H54)</f>
        <v>113</v>
      </c>
      <c r="I54" s="404" t="str">
        <f t="shared" si="2"/>
        <v>2008</v>
      </c>
      <c r="J54" s="344" t="str">
        <f>IF(coder1_YH!I54="",J53,coder1_YH!I54)</f>
        <v>USA</v>
      </c>
      <c r="K54" s="345">
        <f t="shared" si="3"/>
        <v>0</v>
      </c>
      <c r="L54" s="344" t="str">
        <f>IF(coder1_YH!J54 = "",L53, coder1_YH!J54)</f>
        <v>English</v>
      </c>
      <c r="M54" s="345">
        <f t="shared" si="4"/>
        <v>0</v>
      </c>
      <c r="N54" s="345" t="str">
        <f>IF(coder1_YH!K54 = "", N53, LEFT(coder1_YH!K54,1))</f>
        <v>0</v>
      </c>
      <c r="O54" s="345" t="str">
        <f>IF(coder1_YH!L54 = "", O53, LEFT(coder1_YH!L54,1))</f>
        <v>0</v>
      </c>
      <c r="P54" s="345" t="str">
        <f>IF(coder1_YH!M54 = "", P53, LEFT(coder1_YH!M54,1))</f>
        <v>1</v>
      </c>
      <c r="Q54" s="321">
        <f>coder1_YH!P54</f>
        <v>0</v>
      </c>
      <c r="R54" s="321">
        <f>coder1_YH!Q54</f>
        <v>0</v>
      </c>
      <c r="S54" s="323" t="str">
        <f t="shared" si="5"/>
        <v/>
      </c>
      <c r="T54" s="323" t="str">
        <f t="shared" si="6"/>
        <v/>
      </c>
      <c r="U54" s="323" t="str">
        <f t="shared" si="7"/>
        <v/>
      </c>
      <c r="V54" s="323" t="str">
        <f t="shared" si="8"/>
        <v/>
      </c>
      <c r="W54" s="323">
        <f t="shared" si="9"/>
        <v>0</v>
      </c>
      <c r="X54" s="385" t="str">
        <f>IF(coder1_YH!N54 = "",X53,coder1_YH!N54)</f>
        <v>.</v>
      </c>
      <c r="Y54" s="385" t="str">
        <f>IF(coder1_YH!O54 = "",Y53,coder1_YH!O54)</f>
        <v>.</v>
      </c>
      <c r="Z54" s="385" t="str">
        <f t="shared" si="10"/>
        <v/>
      </c>
      <c r="AA54" s="385" t="str">
        <f t="shared" si="11"/>
        <v>BAU</v>
      </c>
      <c r="AB54" s="385" t="str">
        <f t="shared" si="12"/>
        <v>BAU</v>
      </c>
      <c r="AC54" s="323" t="str">
        <f t="shared" si="13"/>
        <v>..</v>
      </c>
      <c r="AD54" s="323" t="str">
        <f t="shared" si="14"/>
        <v>BAU</v>
      </c>
      <c r="AF54" s="369" t="str">
        <f t="shared" si="15"/>
        <v>113-..</v>
      </c>
      <c r="AG54" s="369" t="str">
        <f t="shared" si="16"/>
        <v>113-BAU</v>
      </c>
      <c r="AH54" s="344">
        <f>IF(coder1_YH!R54="",AH53,coder1_YH!R54)</f>
        <v>4</v>
      </c>
      <c r="AI54" s="344">
        <f t="shared" si="0"/>
        <v>4</v>
      </c>
      <c r="AJ54" s="345">
        <f t="shared" si="17"/>
        <v>0</v>
      </c>
      <c r="AK54" s="408">
        <f>IF(coder1_YH!S54="",AK53,coder1_YH!S54)</f>
        <v>9.5</v>
      </c>
      <c r="AL54" s="345" t="str">
        <f>IF(coder1_YH!T54="",AL53,IF(coder1_YH!T54="mixed",0.25,coder1_YH!T54))</f>
        <v>NA</v>
      </c>
      <c r="AM54" s="345" t="str">
        <f>IF(coder1_YH!U54 = "", AM53, IF(coder1_YH!U54="mixed","NA",coder1_YH!U54))</f>
        <v>NA</v>
      </c>
      <c r="AN54" s="345" t="str">
        <f>IF(coder1_YH!V54="",AN53,coder1_YH!V54)</f>
        <v>NA</v>
      </c>
      <c r="AO54" s="345" t="str">
        <f>IF(coder1_YH!W54="",AO53,coder1_YH!W54)</f>
        <v>NA</v>
      </c>
      <c r="AP54" s="345" t="str">
        <f>IF(coder1_YH!X54="",AP53,coder1_YH!X54)</f>
        <v>NA</v>
      </c>
      <c r="AQ54" s="345">
        <f>IF(coder1_YH!Y54="",AQ53,coder1_YH!Y54)</f>
        <v>0.31999999999999995</v>
      </c>
      <c r="AR54">
        <f>coder1_YH!AB54</f>
        <v>0</v>
      </c>
      <c r="AS54" s="345" t="str">
        <f>IF(coder1_YH!AC54 = "", AS53,IF(coder1_YH!AC54="BAU","BAU",LEFT(coder1_YH!AC54)))</f>
        <v>BAU</v>
      </c>
      <c r="AT54" s="345" t="str">
        <f>IF(coder1_YH!AD54 = "", AT53,IF(coder1_YH!AD54="BAU","BAU",LEFT(coder1_YH!AD54)))</f>
        <v>BAU</v>
      </c>
      <c r="AU54" s="345" t="str">
        <f>IF(coder1_YH!AE54 = "", AU53,IF(coder1_YH!AE54="BAU","BAU",LEFT(coder1_YH!AE54)))</f>
        <v>BAU</v>
      </c>
      <c r="AV54" s="345" t="str">
        <f>IF(coder1_YH!AF54="",AV53,coder1_YH!AF54)</f>
        <v>BAU</v>
      </c>
      <c r="AW54" s="345" t="str">
        <f t="shared" si="18"/>
        <v>BAU</v>
      </c>
      <c r="AX54" s="345" t="str">
        <f>IF(coder1_YH!AG54="",AX53,coder1_YH!AG54)</f>
        <v>BAU</v>
      </c>
      <c r="AY54" s="345" t="str">
        <f>IF(coder1_YH!AH54="",AY53,coder1_YH!AH54)</f>
        <v>BAU</v>
      </c>
      <c r="AZ54" s="345" t="str">
        <f>IF(coder1_YH!AI54 = "", AZ53, IF(coder1_YH!AI54="BAU","BAU",LEFT(coder1_YH!AI54)))</f>
        <v>BAU</v>
      </c>
      <c r="BA54" s="384">
        <f>clean_data!Y54</f>
        <v>98.4</v>
      </c>
    </row>
    <row r="55" spans="1:53" x14ac:dyDescent="0.2">
      <c r="A55">
        <f>coder1_YH!B55</f>
        <v>0</v>
      </c>
      <c r="B55">
        <f>coder1_YH!C55</f>
        <v>55</v>
      </c>
      <c r="C55" t="b">
        <f>coder1_YH!D55</f>
        <v>1</v>
      </c>
      <c r="D55" t="b">
        <f>coder1_YH!E55</f>
        <v>1</v>
      </c>
      <c r="E55" t="b">
        <f>coder1_YH!F55</f>
        <v>1</v>
      </c>
      <c r="F55" s="321" t="str">
        <f>IF(coder1_YH!G55="", clean_mod!F54, coder1_YH!G55)</f>
        <v>Nevo &amp; Vaknin-Nusbaum, 2020</v>
      </c>
      <c r="G55" s="321" t="str">
        <f t="shared" si="1"/>
        <v>114</v>
      </c>
      <c r="H55" s="321">
        <f>IF(coder1_YH!H55="", clean_mod!H54, coder1_YH!H55)</f>
        <v>114</v>
      </c>
      <c r="I55" s="404" t="str">
        <f t="shared" si="2"/>
        <v>2020</v>
      </c>
      <c r="J55" s="344" t="str">
        <f>IF(coder1_YH!I55="",J54,coder1_YH!I55)</f>
        <v>Israel</v>
      </c>
      <c r="K55" s="345">
        <f t="shared" si="3"/>
        <v>1</v>
      </c>
      <c r="L55" s="344" t="str">
        <f>IF(coder1_YH!J55 = "",L54, coder1_YH!J55)</f>
        <v>Hebrew</v>
      </c>
      <c r="M55" s="345">
        <f t="shared" si="4"/>
        <v>1</v>
      </c>
      <c r="N55" s="345" t="str">
        <f>IF(coder1_YH!K55 = "", N54, LEFT(coder1_YH!K55,1))</f>
        <v>0</v>
      </c>
      <c r="O55" s="345" t="str">
        <f>IF(coder1_YH!L55 = "", O54, LEFT(coder1_YH!L55,1))</f>
        <v>0</v>
      </c>
      <c r="P55" s="345" t="str">
        <f>IF(coder1_YH!M55 = "", P54, LEFT(coder1_YH!M55,1))</f>
        <v>1</v>
      </c>
      <c r="Q55" s="321">
        <f>coder1_YH!P55</f>
        <v>1</v>
      </c>
      <c r="R55" s="321" t="str">
        <f>coder1_YH!Q55</f>
        <v>IG (CORI adapted)</v>
      </c>
      <c r="S55" s="323" t="str">
        <f t="shared" si="5"/>
        <v>N</v>
      </c>
      <c r="T55" s="323" t="str">
        <f t="shared" si="6"/>
        <v/>
      </c>
      <c r="U55" s="323" t="str">
        <f t="shared" si="7"/>
        <v/>
      </c>
      <c r="V55" s="323" t="str">
        <f t="shared" si="8"/>
        <v/>
      </c>
      <c r="W55" s="323">
        <f t="shared" si="9"/>
        <v>1</v>
      </c>
      <c r="X55" s="385" t="str">
        <f>IF(coder1_YH!N55 = "",X54,coder1_YH!N55)</f>
        <v>N</v>
      </c>
      <c r="Y55" s="385" t="str">
        <f>IF(coder1_YH!O55 = "",Y54,coder1_YH!O55)</f>
        <v>cm</v>
      </c>
      <c r="Z55" s="385" t="str">
        <f t="shared" si="10"/>
        <v>M</v>
      </c>
      <c r="AA55" s="385" t="str">
        <f t="shared" si="11"/>
        <v>R</v>
      </c>
      <c r="AB55" s="385" t="str">
        <f t="shared" si="12"/>
        <v>MR</v>
      </c>
      <c r="AC55" s="323" t="str">
        <f t="shared" si="13"/>
        <v>Ncm</v>
      </c>
      <c r="AD55" s="323" t="str">
        <f t="shared" si="14"/>
        <v>N_R</v>
      </c>
      <c r="AE55" s="323">
        <f>IF(Y55="cm", 1,0)</f>
        <v>1</v>
      </c>
      <c r="AF55" s="369" t="str">
        <f t="shared" si="15"/>
        <v>114-Ncm</v>
      </c>
      <c r="AG55" s="369" t="str">
        <f t="shared" si="16"/>
        <v>114-N_R</v>
      </c>
      <c r="AH55" s="344">
        <f>IF(coder1_YH!R55="",AH54,coder1_YH!R55)</f>
        <v>1</v>
      </c>
      <c r="AI55" s="344">
        <f t="shared" si="0"/>
        <v>1</v>
      </c>
      <c r="AJ55" s="345">
        <f t="shared" si="17"/>
        <v>0</v>
      </c>
      <c r="AK55" s="408">
        <f>IF(coder1_YH!S55="",AK54,coder1_YH!S55)</f>
        <v>7.5</v>
      </c>
      <c r="AL55" s="345">
        <f>IF(coder1_YH!T55="",AL54,IF(coder1_YH!T55="mixed",0.25,coder1_YH!T55))</f>
        <v>0</v>
      </c>
      <c r="AM55" s="345">
        <f>IF(coder1_YH!U55 = "", AM54, IF(coder1_YH!U55="mixed","NA",coder1_YH!U55))</f>
        <v>0</v>
      </c>
      <c r="AN55" s="345">
        <f>IF(coder1_YH!V55="",AN54,coder1_YH!V55)</f>
        <v>0</v>
      </c>
      <c r="AO55" s="345">
        <f>IF(coder1_YH!W55="",AO54,coder1_YH!W55)</f>
        <v>0</v>
      </c>
      <c r="AP55" s="345">
        <f>IF(coder1_YH!X55="",AP54,coder1_YH!X55)</f>
        <v>0.44827586206896552</v>
      </c>
      <c r="AQ55" s="345">
        <f>IF(coder1_YH!Y55="",AQ54,coder1_YH!Y55)</f>
        <v>0</v>
      </c>
      <c r="AR55" t="str">
        <f>coder1_YH!AB55</f>
        <v>0 = Researcher-developed curriculum</v>
      </c>
      <c r="AS55" s="345" t="str">
        <f>IF(coder1_YH!AC55 = "", AS54,IF(coder1_YH!AC55="BAU","BAU",LEFT(coder1_YH!AC55)))</f>
        <v>0</v>
      </c>
      <c r="AT55" s="345" t="str">
        <f>IF(coder1_YH!AD55 = "", AT54,IF(coder1_YH!AD55="BAU","BAU",LEFT(coder1_YH!AD55)))</f>
        <v>0</v>
      </c>
      <c r="AU55" s="345" t="str">
        <f>IF(coder1_YH!AE55 = "", AU54,IF(coder1_YH!AE55="BAU","BAU",LEFT(coder1_YH!AE55)))</f>
        <v>1</v>
      </c>
      <c r="AV55" s="345">
        <f>IF(coder1_YH!AF55="",AV54,coder1_YH!AF55)</f>
        <v>10800</v>
      </c>
      <c r="AW55" s="345">
        <f t="shared" si="18"/>
        <v>180</v>
      </c>
      <c r="AX55" s="345">
        <f>IF(coder1_YH!AG55="",AX54,coder1_YH!AG55)</f>
        <v>120</v>
      </c>
      <c r="AY55" s="345">
        <f>IF(coder1_YH!AH55="",AY54,coder1_YH!AH55)</f>
        <v>45</v>
      </c>
      <c r="AZ55" s="345" t="str">
        <f>IF(coder1_YH!AI55 = "", AZ54, IF(coder1_YH!AI55="BAU","BAU",LEFT(coder1_YH!AI55)))</f>
        <v>0</v>
      </c>
      <c r="BA55" s="384">
        <f>clean_data!Y55</f>
        <v>29</v>
      </c>
    </row>
    <row r="56" spans="1:53" x14ac:dyDescent="0.2">
      <c r="A56">
        <f>coder1_YH!B56</f>
        <v>0</v>
      </c>
      <c r="B56">
        <f>coder1_YH!C56</f>
        <v>56</v>
      </c>
      <c r="C56">
        <f>coder1_YH!D56</f>
        <v>0</v>
      </c>
      <c r="D56" t="str">
        <f>coder1_YH!E56</f>
        <v/>
      </c>
      <c r="E56" t="b">
        <f>coder1_YH!F56</f>
        <v>1</v>
      </c>
      <c r="F56" s="321" t="str">
        <f>IF(coder1_YH!G56="", clean_mod!F55, coder1_YH!G56)</f>
        <v>Nevo &amp; Vaknin-Nusbaum, 2020</v>
      </c>
      <c r="G56" s="321" t="str">
        <f t="shared" si="1"/>
        <v>114</v>
      </c>
      <c r="H56" s="321">
        <f>IF(coder1_YH!H56="", clean_mod!H55, coder1_YH!H56)</f>
        <v>114</v>
      </c>
      <c r="I56" s="404" t="str">
        <f t="shared" si="2"/>
        <v>2020</v>
      </c>
      <c r="J56" s="344" t="str">
        <f>IF(coder1_YH!I56="",J55,coder1_YH!I56)</f>
        <v>Israel</v>
      </c>
      <c r="K56" s="345">
        <f t="shared" si="3"/>
        <v>1</v>
      </c>
      <c r="L56" s="344" t="str">
        <f>IF(coder1_YH!J56 = "",L55, coder1_YH!J56)</f>
        <v>Hebrew</v>
      </c>
      <c r="M56" s="345">
        <f t="shared" si="4"/>
        <v>1</v>
      </c>
      <c r="N56" s="345" t="str">
        <f>IF(coder1_YH!K56 = "", N55, LEFT(coder1_YH!K56,1))</f>
        <v>0</v>
      </c>
      <c r="O56" s="345" t="str">
        <f>IF(coder1_YH!L56 = "", O55, LEFT(coder1_YH!L56,1))</f>
        <v>0</v>
      </c>
      <c r="P56" s="345" t="str">
        <f>IF(coder1_YH!M56 = "", P55, LEFT(coder1_YH!M56,1))</f>
        <v>1</v>
      </c>
      <c r="Q56" s="321" t="str">
        <f>coder1_YH!P56</f>
        <v>ctl</v>
      </c>
      <c r="R56" s="321" t="str">
        <f>coder1_YH!Q56</f>
        <v>Control Group</v>
      </c>
      <c r="S56" s="323" t="str">
        <f t="shared" si="5"/>
        <v/>
      </c>
      <c r="T56" s="323" t="str">
        <f t="shared" si="6"/>
        <v/>
      </c>
      <c r="U56" s="323" t="str">
        <f t="shared" si="7"/>
        <v/>
      </c>
      <c r="V56" s="323" t="str">
        <f t="shared" si="8"/>
        <v/>
      </c>
      <c r="W56" s="323">
        <f t="shared" si="9"/>
        <v>0</v>
      </c>
      <c r="X56" s="385" t="str">
        <f>IF(coder1_YH!N56 = "",X55,coder1_YH!N56)</f>
        <v>.</v>
      </c>
      <c r="Y56" s="385" t="str">
        <f>IF(coder1_YH!O56 = "",Y55,coder1_YH!O56)</f>
        <v>.</v>
      </c>
      <c r="Z56" s="385" t="str">
        <f t="shared" si="10"/>
        <v/>
      </c>
      <c r="AA56" s="385" t="str">
        <f t="shared" si="11"/>
        <v>BAU</v>
      </c>
      <c r="AB56" s="385" t="str">
        <f t="shared" si="12"/>
        <v>BAU</v>
      </c>
      <c r="AC56" s="323" t="str">
        <f t="shared" si="13"/>
        <v>..</v>
      </c>
      <c r="AD56" s="323" t="str">
        <f t="shared" si="14"/>
        <v>BAU</v>
      </c>
      <c r="AF56" s="369" t="str">
        <f t="shared" si="15"/>
        <v>114-..</v>
      </c>
      <c r="AG56" s="369" t="str">
        <f t="shared" si="16"/>
        <v>114-BAU</v>
      </c>
      <c r="AH56" s="344">
        <f>IF(coder1_YH!R56="",AH55,coder1_YH!R56)</f>
        <v>1</v>
      </c>
      <c r="AI56" s="344">
        <f t="shared" si="0"/>
        <v>1</v>
      </c>
      <c r="AJ56" s="345">
        <f t="shared" si="17"/>
        <v>0</v>
      </c>
      <c r="AK56" s="408">
        <f>IF(coder1_YH!S56="",AK55,coder1_YH!S56)</f>
        <v>7.5</v>
      </c>
      <c r="AL56" s="345">
        <f>IF(coder1_YH!T56="",AL55,IF(coder1_YH!T56="mixed",0.25,coder1_YH!T56))</f>
        <v>0</v>
      </c>
      <c r="AM56" s="345">
        <f>IF(coder1_YH!U56 = "", AM55, IF(coder1_YH!U56="mixed","NA",coder1_YH!U56))</f>
        <v>0</v>
      </c>
      <c r="AN56" s="345">
        <f>IF(coder1_YH!V56="",AN55,coder1_YH!V56)</f>
        <v>0</v>
      </c>
      <c r="AO56" s="345">
        <f>IF(coder1_YH!W56="",AO55,coder1_YH!W56)</f>
        <v>0</v>
      </c>
      <c r="AP56" s="345">
        <f>IF(coder1_YH!X56="",AP55,coder1_YH!X56)</f>
        <v>0.34482758620689657</v>
      </c>
      <c r="AQ56" s="345">
        <f>IF(coder1_YH!Y56="",AQ55,coder1_YH!Y56)</f>
        <v>0</v>
      </c>
      <c r="AR56" t="str">
        <f>coder1_YH!AB56</f>
        <v>2 = District/State curriculum</v>
      </c>
      <c r="AS56" s="345" t="str">
        <f>IF(coder1_YH!AC56 = "", AS55,IF(coder1_YH!AC56="BAU","BAU",LEFT(coder1_YH!AC56)))</f>
        <v>BAU</v>
      </c>
      <c r="AT56" s="345" t="str">
        <f>IF(coder1_YH!AD56 = "", AT55,IF(coder1_YH!AD56="BAU","BAU",LEFT(coder1_YH!AD56)))</f>
        <v>BAU</v>
      </c>
      <c r="AU56" s="345" t="str">
        <f>IF(coder1_YH!AE56 = "", AU55,IF(coder1_YH!AE56="BAU","BAU",LEFT(coder1_YH!AE56)))</f>
        <v>BAU</v>
      </c>
      <c r="AV56" s="345" t="str">
        <f>IF(coder1_YH!AF56="",AV55,coder1_YH!AF56)</f>
        <v>BAU</v>
      </c>
      <c r="AW56" s="345" t="str">
        <f t="shared" si="18"/>
        <v>BAU</v>
      </c>
      <c r="AX56" s="345" t="str">
        <f>IF(coder1_YH!AG56="",AX55,coder1_YH!AG56)</f>
        <v>BAU</v>
      </c>
      <c r="AY56" s="345" t="str">
        <f>IF(coder1_YH!AH56="",AY55,coder1_YH!AH56)</f>
        <v>BAU</v>
      </c>
      <c r="AZ56" s="345" t="str">
        <f>IF(coder1_YH!AI56 = "", AZ55, IF(coder1_YH!AI56="BAU","BAU",LEFT(coder1_YH!AI56)))</f>
        <v>BAU</v>
      </c>
      <c r="BA56" s="384">
        <f>clean_data!Y56</f>
        <v>29</v>
      </c>
    </row>
    <row r="57" spans="1:53" x14ac:dyDescent="0.2">
      <c r="A57">
        <f>coder1_YH!B57</f>
        <v>0</v>
      </c>
      <c r="B57">
        <f>coder1_YH!C57</f>
        <v>57</v>
      </c>
      <c r="C57">
        <f>coder1_YH!D57</f>
        <v>0</v>
      </c>
      <c r="D57">
        <f>coder1_YH!E57</f>
        <v>0</v>
      </c>
      <c r="E57">
        <f>coder1_YH!F57</f>
        <v>0</v>
      </c>
      <c r="F57" s="321" t="str">
        <f>IF(coder1_YH!G57="", clean_mod!F56, coder1_YH!G57)</f>
        <v>Andreassen &amp; Braten, 2011</v>
      </c>
      <c r="G57" s="321" t="str">
        <f t="shared" si="1"/>
        <v>115</v>
      </c>
      <c r="H57" s="321">
        <f>IF(coder1_YH!H57="", clean_mod!H56, coder1_YH!H57)</f>
        <v>115</v>
      </c>
      <c r="I57" s="404" t="str">
        <f t="shared" si="2"/>
        <v>2011</v>
      </c>
      <c r="J57" s="344" t="str">
        <f>IF(coder1_YH!I57="",J56,coder1_YH!I57)</f>
        <v>Norway</v>
      </c>
      <c r="K57" s="345">
        <f t="shared" si="3"/>
        <v>1</v>
      </c>
      <c r="L57" s="344" t="str">
        <f>IF(coder1_YH!J57 = "",L56, coder1_YH!J57)</f>
        <v>Danish</v>
      </c>
      <c r="M57" s="345">
        <f t="shared" si="4"/>
        <v>1</v>
      </c>
      <c r="N57" s="345" t="str">
        <f>IF(coder1_YH!K57 = "", N56, LEFT(coder1_YH!K57,1))</f>
        <v>0</v>
      </c>
      <c r="O57" s="345" t="str">
        <f>IF(coder1_YH!L57 = "", O56, LEFT(coder1_YH!L57,1))</f>
        <v>0</v>
      </c>
      <c r="P57" s="345" t="str">
        <f>IF(coder1_YH!M57 = "", P56, LEFT(coder1_YH!M57,1))</f>
        <v>1</v>
      </c>
      <c r="Q57" s="321">
        <f>coder1_YH!P57</f>
        <v>1</v>
      </c>
      <c r="R57" s="321" t="str">
        <f>coder1_YH!Q57</f>
        <v>ERCI (103)</v>
      </c>
      <c r="S57" s="323" t="str">
        <f t="shared" si="5"/>
        <v>N</v>
      </c>
      <c r="T57" s="323" t="str">
        <f t="shared" si="6"/>
        <v>V</v>
      </c>
      <c r="U57" s="323" t="str">
        <f t="shared" si="7"/>
        <v/>
      </c>
      <c r="V57" s="323" t="str">
        <f t="shared" si="8"/>
        <v/>
      </c>
      <c r="W57" s="323">
        <f t="shared" si="9"/>
        <v>2</v>
      </c>
      <c r="X57" s="385" t="str">
        <f>IF(coder1_YH!N57 = "",X56,coder1_YH!N57)</f>
        <v>NV</v>
      </c>
      <c r="Y57" s="385" t="str">
        <f>IF(coder1_YH!O57 = "",Y56,coder1_YH!O57)</f>
        <v xml:space="preserve">m </v>
      </c>
      <c r="Z57" s="385" t="str">
        <f t="shared" si="10"/>
        <v>M</v>
      </c>
      <c r="AA57" s="385" t="str">
        <f t="shared" si="11"/>
        <v>R</v>
      </c>
      <c r="AB57" s="385" t="str">
        <f t="shared" si="12"/>
        <v>MR</v>
      </c>
      <c r="AC57" s="323" t="str">
        <f t="shared" si="13"/>
        <v xml:space="preserve">NVm </v>
      </c>
      <c r="AD57" s="323" t="str">
        <f t="shared" si="14"/>
        <v>NV_R</v>
      </c>
      <c r="AF57" s="369" t="str">
        <f t="shared" si="15"/>
        <v xml:space="preserve">115-NVm </v>
      </c>
      <c r="AG57" s="369" t="str">
        <f t="shared" si="16"/>
        <v>115-NV_R</v>
      </c>
      <c r="AH57" s="344" t="str">
        <f>IF(coder1_YH!R57="",AH56,coder1_YH!R57)</f>
        <v>5</v>
      </c>
      <c r="AI57" s="344" t="str">
        <f t="shared" si="0"/>
        <v>5</v>
      </c>
      <c r="AJ57" s="345">
        <f t="shared" si="17"/>
        <v>1</v>
      </c>
      <c r="AK57" s="408">
        <f>IF(coder1_YH!S57="",AK56,coder1_YH!S57)</f>
        <v>10.5</v>
      </c>
      <c r="AL57" s="345">
        <f>IF(coder1_YH!T57="",AL56,IF(coder1_YH!T57="mixed",0.25,coder1_YH!T57))</f>
        <v>0.25</v>
      </c>
      <c r="AM57" s="345">
        <f>IF(coder1_YH!U57 = "", AM56, IF(coder1_YH!U57="mixed","NA",coder1_YH!U57))</f>
        <v>4.8543689320388349E-2</v>
      </c>
      <c r="AN57" s="345">
        <f>IF(coder1_YH!V57="",AN56,coder1_YH!V57)</f>
        <v>0</v>
      </c>
      <c r="AO57" s="345">
        <f>IF(coder1_YH!W57="",AO56,coder1_YH!W57)</f>
        <v>0.11650485436893204</v>
      </c>
      <c r="AP57" s="345">
        <f>IF(coder1_YH!X57="",AP56,coder1_YH!X57)</f>
        <v>0.46601941747572817</v>
      </c>
      <c r="AQ57" s="345" t="str">
        <f>IF(coder1_YH!Y57="",AQ56,coder1_YH!Y57)</f>
        <v>NA</v>
      </c>
      <c r="AR57" t="str">
        <f>coder1_YH!AB57</f>
        <v>0 = Researcher-developed curriculum</v>
      </c>
      <c r="AS57" s="345" t="str">
        <f>IF(coder1_YH!AC57 = "", AS56,IF(coder1_YH!AC57="BAU","BAU",LEFT(coder1_YH!AC57)))</f>
        <v>0</v>
      </c>
      <c r="AT57" s="345" t="str">
        <f>IF(coder1_YH!AD57 = "", AT56,IF(coder1_YH!AD57="BAU","BAU",LEFT(coder1_YH!AD57)))</f>
        <v>0</v>
      </c>
      <c r="AU57" s="345" t="str">
        <f>IF(coder1_YH!AE57 = "", AU56,IF(coder1_YH!AE57="BAU","BAU",LEFT(coder1_YH!AE57)))</f>
        <v>1</v>
      </c>
      <c r="AV57" s="345">
        <f>IF(coder1_YH!AF57="",AV56,coder1_YH!AF57)</f>
        <v>4050</v>
      </c>
      <c r="AW57" s="345">
        <f t="shared" si="18"/>
        <v>67.5</v>
      </c>
      <c r="AX57" s="345">
        <f>IF(coder1_YH!AG57="",AX56,coder1_YH!AG57)</f>
        <v>90</v>
      </c>
      <c r="AY57" s="345">
        <f>IF(coder1_YH!AH57="",AY56,coder1_YH!AH57)</f>
        <v>45</v>
      </c>
      <c r="AZ57" s="345" t="str">
        <f>IF(coder1_YH!AI57 = "", AZ56, IF(coder1_YH!AI57="BAU","BAU",LEFT(coder1_YH!AI57)))</f>
        <v>1</v>
      </c>
      <c r="BA57" s="384">
        <f>clean_data!Y57</f>
        <v>89</v>
      </c>
    </row>
    <row r="58" spans="1:53" x14ac:dyDescent="0.2">
      <c r="A58">
        <f>coder1_YH!B58</f>
        <v>0</v>
      </c>
      <c r="B58">
        <f>coder1_YH!C58</f>
        <v>58</v>
      </c>
      <c r="C58" t="b">
        <f>coder1_YH!D58</f>
        <v>1</v>
      </c>
      <c r="D58" t="b">
        <f>coder1_YH!E58</f>
        <v>1</v>
      </c>
      <c r="E58" t="b">
        <f>coder1_YH!F58</f>
        <v>1</v>
      </c>
      <c r="F58" s="321" t="str">
        <f>IF(coder1_YH!G58="", clean_mod!F57, coder1_YH!G58)</f>
        <v>Andreassen &amp; Braten, 2011</v>
      </c>
      <c r="G58" s="321" t="str">
        <f t="shared" si="1"/>
        <v>115</v>
      </c>
      <c r="H58" s="321">
        <f>IF(coder1_YH!H58="", clean_mod!H57, coder1_YH!H58)</f>
        <v>115</v>
      </c>
      <c r="I58" s="404" t="str">
        <f t="shared" si="2"/>
        <v>2011</v>
      </c>
      <c r="J58" s="344" t="str">
        <f>IF(coder1_YH!I58="",J57,coder1_YH!I58)</f>
        <v>Norway</v>
      </c>
      <c r="K58" s="345">
        <f t="shared" si="3"/>
        <v>1</v>
      </c>
      <c r="L58" s="344" t="str">
        <f>IF(coder1_YH!J58 = "",L57, coder1_YH!J58)</f>
        <v>Danish</v>
      </c>
      <c r="M58" s="345">
        <f t="shared" si="4"/>
        <v>1</v>
      </c>
      <c r="N58" s="345" t="str">
        <f>IF(coder1_YH!K58 = "", N57, LEFT(coder1_YH!K58,1))</f>
        <v>0</v>
      </c>
      <c r="O58" s="345" t="str">
        <f>IF(coder1_YH!L58 = "", O57, LEFT(coder1_YH!L58,1))</f>
        <v>0</v>
      </c>
      <c r="P58" s="345" t="str">
        <f>IF(coder1_YH!M58 = "", P57, LEFT(coder1_YH!M58,1))</f>
        <v>1</v>
      </c>
      <c r="Q58" s="321">
        <f>coder1_YH!P58</f>
        <v>1</v>
      </c>
      <c r="R58" s="321" t="str">
        <f>coder1_YH!Q58</f>
        <v>ERCI (103)</v>
      </c>
      <c r="S58" s="323" t="str">
        <f t="shared" si="5"/>
        <v>N</v>
      </c>
      <c r="T58" s="323" t="str">
        <f t="shared" si="6"/>
        <v>V</v>
      </c>
      <c r="U58" s="323" t="str">
        <f t="shared" si="7"/>
        <v/>
      </c>
      <c r="V58" s="323" t="str">
        <f t="shared" si="8"/>
        <v/>
      </c>
      <c r="W58" s="323">
        <f t="shared" si="9"/>
        <v>2</v>
      </c>
      <c r="X58" s="385" t="str">
        <f>IF(coder1_YH!N58 = "",X57,coder1_YH!N58)</f>
        <v>NV</v>
      </c>
      <c r="Y58" s="385" t="str">
        <f>IF(coder1_YH!O58 = "",Y57,coder1_YH!O58)</f>
        <v xml:space="preserve">m </v>
      </c>
      <c r="Z58" s="385" t="str">
        <f t="shared" si="10"/>
        <v>M</v>
      </c>
      <c r="AA58" s="385" t="str">
        <f t="shared" si="11"/>
        <v>R</v>
      </c>
      <c r="AB58" s="385" t="str">
        <f t="shared" si="12"/>
        <v>MR</v>
      </c>
      <c r="AC58" s="323" t="str">
        <f t="shared" si="13"/>
        <v xml:space="preserve">NVm </v>
      </c>
      <c r="AD58" s="323" t="str">
        <f t="shared" si="14"/>
        <v>NV_R</v>
      </c>
      <c r="AE58" s="323">
        <f>IF(Y58="cm", 1,0)</f>
        <v>0</v>
      </c>
      <c r="AF58" s="369" t="str">
        <f t="shared" si="15"/>
        <v xml:space="preserve">115-NVm </v>
      </c>
      <c r="AG58" s="369" t="str">
        <f t="shared" si="16"/>
        <v>115-NV_R</v>
      </c>
      <c r="AH58" s="344" t="str">
        <f>IF(coder1_YH!R58="",AH57,coder1_YH!R58)</f>
        <v>5</v>
      </c>
      <c r="AI58" s="344" t="str">
        <f t="shared" si="0"/>
        <v>5</v>
      </c>
      <c r="AJ58" s="345">
        <f t="shared" si="17"/>
        <v>1</v>
      </c>
      <c r="AK58" s="408">
        <f>IF(coder1_YH!S58="",AK57,coder1_YH!S58)</f>
        <v>10.5</v>
      </c>
      <c r="AL58" s="345">
        <f>IF(coder1_YH!T58="",AL57,IF(coder1_YH!T58="mixed",0.25,coder1_YH!T58))</f>
        <v>0.25</v>
      </c>
      <c r="AM58" s="345">
        <f>IF(coder1_YH!U58 = "", AM57, IF(coder1_YH!U58="mixed","NA",coder1_YH!U58))</f>
        <v>4.8543689320388349E-2</v>
      </c>
      <c r="AN58" s="345">
        <f>IF(coder1_YH!V58="",AN57,coder1_YH!V58)</f>
        <v>0</v>
      </c>
      <c r="AO58" s="345">
        <f>IF(coder1_YH!W58="",AO57,coder1_YH!W58)</f>
        <v>0.11650485436893204</v>
      </c>
      <c r="AP58" s="345">
        <f>IF(coder1_YH!X58="",AP57,coder1_YH!X58)</f>
        <v>0.46601941747572817</v>
      </c>
      <c r="AQ58" s="345" t="str">
        <f>IF(coder1_YH!Y58="",AQ57,coder1_YH!Y58)</f>
        <v>NA</v>
      </c>
      <c r="AR58" t="str">
        <f>coder1_YH!AB58</f>
        <v>0 = Researcher-developed curriculum</v>
      </c>
      <c r="AS58" s="345" t="str">
        <f>IF(coder1_YH!AC58 = "", AS57,IF(coder1_YH!AC58="BAU","BAU",LEFT(coder1_YH!AC58)))</f>
        <v>0</v>
      </c>
      <c r="AT58" s="345" t="str">
        <f>IF(coder1_YH!AD58 = "", AT57,IF(coder1_YH!AD58="BAU","BAU",LEFT(coder1_YH!AD58)))</f>
        <v>0</v>
      </c>
      <c r="AU58" s="345" t="str">
        <f>IF(coder1_YH!AE58 = "", AU57,IF(coder1_YH!AE58="BAU","BAU",LEFT(coder1_YH!AE58)))</f>
        <v>1</v>
      </c>
      <c r="AV58" s="345">
        <f>IF(coder1_YH!AF58="",AV57,coder1_YH!AF58)</f>
        <v>4050</v>
      </c>
      <c r="AW58" s="345">
        <f t="shared" si="18"/>
        <v>67.5</v>
      </c>
      <c r="AX58" s="345">
        <f>IF(coder1_YH!AG58="",AX57,coder1_YH!AG58)</f>
        <v>90</v>
      </c>
      <c r="AY58" s="345">
        <f>IF(coder1_YH!AH58="",AY57,coder1_YH!AH58)</f>
        <v>45</v>
      </c>
      <c r="AZ58" s="345" t="str">
        <f>IF(coder1_YH!AI58 = "", AZ57, IF(coder1_YH!AI58="BAU","BAU",LEFT(coder1_YH!AI58)))</f>
        <v>1</v>
      </c>
      <c r="BA58" s="384">
        <f>clean_data!Y58</f>
        <v>89</v>
      </c>
    </row>
    <row r="59" spans="1:53" x14ac:dyDescent="0.2">
      <c r="A59">
        <f>coder1_YH!B59</f>
        <v>0</v>
      </c>
      <c r="B59">
        <f>coder1_YH!C59</f>
        <v>59</v>
      </c>
      <c r="C59">
        <f>coder1_YH!D59</f>
        <v>0</v>
      </c>
      <c r="D59">
        <f>coder1_YH!E59</f>
        <v>0</v>
      </c>
      <c r="E59">
        <f>coder1_YH!F59</f>
        <v>0</v>
      </c>
      <c r="F59" s="321" t="str">
        <f>IF(coder1_YH!G59="", clean_mod!F58, coder1_YH!G59)</f>
        <v>Andreassen &amp; Braten, 2011</v>
      </c>
      <c r="G59" s="321" t="str">
        <f t="shared" si="1"/>
        <v>115</v>
      </c>
      <c r="H59" s="321">
        <f>IF(coder1_YH!H59="", clean_mod!H58, coder1_YH!H59)</f>
        <v>115</v>
      </c>
      <c r="I59" s="404" t="str">
        <f t="shared" si="2"/>
        <v>2011</v>
      </c>
      <c r="J59" s="344" t="str">
        <f>IF(coder1_YH!I59="",J58,coder1_YH!I59)</f>
        <v>Norway</v>
      </c>
      <c r="K59" s="345">
        <f t="shared" si="3"/>
        <v>1</v>
      </c>
      <c r="L59" s="344" t="str">
        <f>IF(coder1_YH!J59 = "",L58, coder1_YH!J59)</f>
        <v>Danish</v>
      </c>
      <c r="M59" s="345">
        <f t="shared" si="4"/>
        <v>1</v>
      </c>
      <c r="N59" s="345" t="str">
        <f>IF(coder1_YH!K59 = "", N58, LEFT(coder1_YH!K59,1))</f>
        <v>0</v>
      </c>
      <c r="O59" s="345" t="str">
        <f>IF(coder1_YH!L59 = "", O58, LEFT(coder1_YH!L59,1))</f>
        <v>0</v>
      </c>
      <c r="P59" s="345" t="str">
        <f>IF(coder1_YH!M59 = "", P58, LEFT(coder1_YH!M59,1))</f>
        <v>1</v>
      </c>
      <c r="Q59" s="321">
        <f>coder1_YH!P59</f>
        <v>1</v>
      </c>
      <c r="R59" s="321" t="str">
        <f>coder1_YH!Q59</f>
        <v>ERCI (103)</v>
      </c>
      <c r="S59" s="323" t="str">
        <f t="shared" si="5"/>
        <v>N</v>
      </c>
      <c r="T59" s="323" t="str">
        <f t="shared" si="6"/>
        <v>V</v>
      </c>
      <c r="U59" s="323" t="str">
        <f t="shared" si="7"/>
        <v/>
      </c>
      <c r="V59" s="323" t="str">
        <f t="shared" si="8"/>
        <v/>
      </c>
      <c r="W59" s="323">
        <f t="shared" si="9"/>
        <v>2</v>
      </c>
      <c r="X59" s="385" t="str">
        <f>IF(coder1_YH!N59 = "",X58,coder1_YH!N59)</f>
        <v>NV</v>
      </c>
      <c r="Y59" s="385" t="str">
        <f>IF(coder1_YH!O59 = "",Y58,coder1_YH!O59)</f>
        <v xml:space="preserve">m </v>
      </c>
      <c r="Z59" s="385" t="str">
        <f t="shared" si="10"/>
        <v>M</v>
      </c>
      <c r="AA59" s="385" t="str">
        <f t="shared" si="11"/>
        <v>R</v>
      </c>
      <c r="AB59" s="385" t="str">
        <f t="shared" si="12"/>
        <v>MR</v>
      </c>
      <c r="AC59" s="323" t="str">
        <f t="shared" si="13"/>
        <v xml:space="preserve">NVm </v>
      </c>
      <c r="AD59" s="323" t="str">
        <f t="shared" si="14"/>
        <v>NV_R</v>
      </c>
      <c r="AF59" s="369" t="str">
        <f t="shared" si="15"/>
        <v xml:space="preserve">115-NVm </v>
      </c>
      <c r="AG59" s="369" t="str">
        <f t="shared" si="16"/>
        <v>115-NV_R</v>
      </c>
      <c r="AH59" s="344" t="str">
        <f>IF(coder1_YH!R59="",AH58,coder1_YH!R59)</f>
        <v>5</v>
      </c>
      <c r="AI59" s="344" t="str">
        <f t="shared" si="0"/>
        <v>5</v>
      </c>
      <c r="AJ59" s="345">
        <f t="shared" si="17"/>
        <v>1</v>
      </c>
      <c r="AK59" s="408">
        <f>IF(coder1_YH!S59="",AK58,coder1_YH!S59)</f>
        <v>10.5</v>
      </c>
      <c r="AL59" s="345">
        <f>IF(coder1_YH!T59="",AL58,IF(coder1_YH!T59="mixed",0.25,coder1_YH!T59))</f>
        <v>0.25</v>
      </c>
      <c r="AM59" s="345">
        <f>IF(coder1_YH!U59 = "", AM58, IF(coder1_YH!U59="mixed","NA",coder1_YH!U59))</f>
        <v>4.8543689320388349E-2</v>
      </c>
      <c r="AN59" s="345">
        <f>IF(coder1_YH!V59="",AN58,coder1_YH!V59)</f>
        <v>0</v>
      </c>
      <c r="AO59" s="345">
        <f>IF(coder1_YH!W59="",AO58,coder1_YH!W59)</f>
        <v>0.11650485436893204</v>
      </c>
      <c r="AP59" s="345">
        <f>IF(coder1_YH!X59="",AP58,coder1_YH!X59)</f>
        <v>0.46601941747572817</v>
      </c>
      <c r="AQ59" s="345" t="str">
        <f>IF(coder1_YH!Y59="",AQ58,coder1_YH!Y59)</f>
        <v>NA</v>
      </c>
      <c r="AR59" t="str">
        <f>coder1_YH!AB59</f>
        <v>0 = Researcher-developed curriculum</v>
      </c>
      <c r="AS59" s="345" t="str">
        <f>IF(coder1_YH!AC59 = "", AS58,IF(coder1_YH!AC59="BAU","BAU",LEFT(coder1_YH!AC59)))</f>
        <v>0</v>
      </c>
      <c r="AT59" s="345" t="str">
        <f>IF(coder1_YH!AD59 = "", AT58,IF(coder1_YH!AD59="BAU","BAU",LEFT(coder1_YH!AD59)))</f>
        <v>0</v>
      </c>
      <c r="AU59" s="345" t="str">
        <f>IF(coder1_YH!AE59 = "", AU58,IF(coder1_YH!AE59="BAU","BAU",LEFT(coder1_YH!AE59)))</f>
        <v>1</v>
      </c>
      <c r="AV59" s="345">
        <f>IF(coder1_YH!AF59="",AV58,coder1_YH!AF59)</f>
        <v>4050</v>
      </c>
      <c r="AW59" s="345">
        <f t="shared" si="18"/>
        <v>67.5</v>
      </c>
      <c r="AX59" s="345">
        <f>IF(coder1_YH!AG59="",AX58,coder1_YH!AG59)</f>
        <v>90</v>
      </c>
      <c r="AY59" s="345">
        <f>IF(coder1_YH!AH59="",AY58,coder1_YH!AH59)</f>
        <v>45</v>
      </c>
      <c r="AZ59" s="345" t="str">
        <f>IF(coder1_YH!AI59 = "", AZ58, IF(coder1_YH!AI59="BAU","BAU",LEFT(coder1_YH!AI59)))</f>
        <v>1</v>
      </c>
      <c r="BA59" s="384">
        <f>clean_data!Y59</f>
        <v>89</v>
      </c>
    </row>
    <row r="60" spans="1:53" x14ac:dyDescent="0.2">
      <c r="A60">
        <f>coder1_YH!B60</f>
        <v>0</v>
      </c>
      <c r="B60">
        <f>coder1_YH!C60</f>
        <v>60</v>
      </c>
      <c r="C60">
        <f>coder1_YH!D60</f>
        <v>0</v>
      </c>
      <c r="D60">
        <f>coder1_YH!E60</f>
        <v>0</v>
      </c>
      <c r="E60">
        <f>coder1_YH!F60</f>
        <v>0</v>
      </c>
      <c r="F60" s="321" t="str">
        <f>IF(coder1_YH!G60="", clean_mod!F59, coder1_YH!G60)</f>
        <v>Andreassen &amp; Braten, 2011</v>
      </c>
      <c r="G60" s="321" t="str">
        <f t="shared" si="1"/>
        <v>115</v>
      </c>
      <c r="H60" s="321">
        <f>IF(coder1_YH!H60="", clean_mod!H59, coder1_YH!H60)</f>
        <v>115</v>
      </c>
      <c r="I60" s="404" t="str">
        <f t="shared" si="2"/>
        <v>2011</v>
      </c>
      <c r="J60" s="344" t="str">
        <f>IF(coder1_YH!I60="",J59,coder1_YH!I60)</f>
        <v>Norway</v>
      </c>
      <c r="K60" s="345">
        <f t="shared" si="3"/>
        <v>1</v>
      </c>
      <c r="L60" s="344" t="str">
        <f>IF(coder1_YH!J60 = "",L59, coder1_YH!J60)</f>
        <v>Danish</v>
      </c>
      <c r="M60" s="345">
        <f t="shared" si="4"/>
        <v>1</v>
      </c>
      <c r="N60" s="345" t="str">
        <f>IF(coder1_YH!K60 = "", N59, LEFT(coder1_YH!K60,1))</f>
        <v>0</v>
      </c>
      <c r="O60" s="345" t="str">
        <f>IF(coder1_YH!L60 = "", O59, LEFT(coder1_YH!L60,1))</f>
        <v>0</v>
      </c>
      <c r="P60" s="345" t="str">
        <f>IF(coder1_YH!M60 = "", P59, LEFT(coder1_YH!M60,1))</f>
        <v>1</v>
      </c>
      <c r="Q60" s="321">
        <f>coder1_YH!P60</f>
        <v>1</v>
      </c>
      <c r="R60" s="321" t="str">
        <f>coder1_YH!Q60</f>
        <v>ERCI (103)</v>
      </c>
      <c r="S60" s="323" t="str">
        <f t="shared" si="5"/>
        <v>N</v>
      </c>
      <c r="T60" s="323" t="str">
        <f t="shared" si="6"/>
        <v>V</v>
      </c>
      <c r="U60" s="323" t="str">
        <f t="shared" si="7"/>
        <v/>
      </c>
      <c r="V60" s="323" t="str">
        <f t="shared" si="8"/>
        <v/>
      </c>
      <c r="W60" s="323">
        <f t="shared" si="9"/>
        <v>2</v>
      </c>
      <c r="X60" s="385" t="str">
        <f>IF(coder1_YH!N60 = "",X59,coder1_YH!N60)</f>
        <v>NV</v>
      </c>
      <c r="Y60" s="385" t="str">
        <f>IF(coder1_YH!O60 = "",Y59,coder1_YH!O60)</f>
        <v xml:space="preserve">m </v>
      </c>
      <c r="Z60" s="385" t="str">
        <f t="shared" si="10"/>
        <v>M</v>
      </c>
      <c r="AA60" s="385" t="str">
        <f t="shared" si="11"/>
        <v>R</v>
      </c>
      <c r="AB60" s="385" t="str">
        <f t="shared" si="12"/>
        <v>MR</v>
      </c>
      <c r="AC60" s="323" t="str">
        <f t="shared" si="13"/>
        <v xml:space="preserve">NVm </v>
      </c>
      <c r="AD60" s="323" t="str">
        <f t="shared" si="14"/>
        <v>NV_R</v>
      </c>
      <c r="AF60" s="369" t="str">
        <f t="shared" si="15"/>
        <v xml:space="preserve">115-NVm </v>
      </c>
      <c r="AG60" s="369" t="str">
        <f t="shared" si="16"/>
        <v>115-NV_R</v>
      </c>
      <c r="AH60" s="344" t="str">
        <f>IF(coder1_YH!R60="",AH59,coder1_YH!R60)</f>
        <v>5</v>
      </c>
      <c r="AI60" s="344" t="str">
        <f t="shared" si="0"/>
        <v>5</v>
      </c>
      <c r="AJ60" s="345">
        <f t="shared" si="17"/>
        <v>1</v>
      </c>
      <c r="AK60" s="408">
        <f>IF(coder1_YH!S60="",AK59,coder1_YH!S60)</f>
        <v>10.5</v>
      </c>
      <c r="AL60" s="345">
        <f>IF(coder1_YH!T60="",AL59,IF(coder1_YH!T60="mixed",0.25,coder1_YH!T60))</f>
        <v>0.25</v>
      </c>
      <c r="AM60" s="345">
        <f>IF(coder1_YH!U60 = "", AM59, IF(coder1_YH!U60="mixed","NA",coder1_YH!U60))</f>
        <v>4.8543689320388349E-2</v>
      </c>
      <c r="AN60" s="345">
        <f>IF(coder1_YH!V60="",AN59,coder1_YH!V60)</f>
        <v>0</v>
      </c>
      <c r="AO60" s="345">
        <f>IF(coder1_YH!W60="",AO59,coder1_YH!W60)</f>
        <v>0.11650485436893204</v>
      </c>
      <c r="AP60" s="345">
        <f>IF(coder1_YH!X60="",AP59,coder1_YH!X60)</f>
        <v>0.46601941747572817</v>
      </c>
      <c r="AQ60" s="345" t="str">
        <f>IF(coder1_YH!Y60="",AQ59,coder1_YH!Y60)</f>
        <v>NA</v>
      </c>
      <c r="AR60" t="str">
        <f>coder1_YH!AB60</f>
        <v>0 = Researcher-developed curriculum</v>
      </c>
      <c r="AS60" s="345" t="str">
        <f>IF(coder1_YH!AC60 = "", AS59,IF(coder1_YH!AC60="BAU","BAU",LEFT(coder1_YH!AC60)))</f>
        <v>0</v>
      </c>
      <c r="AT60" s="345" t="str">
        <f>IF(coder1_YH!AD60 = "", AT59,IF(coder1_YH!AD60="BAU","BAU",LEFT(coder1_YH!AD60)))</f>
        <v>0</v>
      </c>
      <c r="AU60" s="345" t="str">
        <f>IF(coder1_YH!AE60 = "", AU59,IF(coder1_YH!AE60="BAU","BAU",LEFT(coder1_YH!AE60)))</f>
        <v>1</v>
      </c>
      <c r="AV60" s="345">
        <f>IF(coder1_YH!AF60="",AV59,coder1_YH!AF60)</f>
        <v>4050</v>
      </c>
      <c r="AW60" s="345">
        <f t="shared" si="18"/>
        <v>67.5</v>
      </c>
      <c r="AX60" s="345">
        <f>IF(coder1_YH!AG60="",AX59,coder1_YH!AG60)</f>
        <v>90</v>
      </c>
      <c r="AY60" s="345">
        <f>IF(coder1_YH!AH60="",AY59,coder1_YH!AH60)</f>
        <v>45</v>
      </c>
      <c r="AZ60" s="345" t="str">
        <f>IF(coder1_YH!AI60 = "", AZ59, IF(coder1_YH!AI60="BAU","BAU",LEFT(coder1_YH!AI60)))</f>
        <v>1</v>
      </c>
      <c r="BA60" s="384">
        <f>clean_data!Y60</f>
        <v>89</v>
      </c>
    </row>
    <row r="61" spans="1:53" x14ac:dyDescent="0.2">
      <c r="A61">
        <f>coder1_YH!B61</f>
        <v>0</v>
      </c>
      <c r="B61">
        <f>coder1_YH!C61</f>
        <v>61</v>
      </c>
      <c r="C61">
        <f>coder1_YH!D61</f>
        <v>0</v>
      </c>
      <c r="D61">
        <f>coder1_YH!E61</f>
        <v>0</v>
      </c>
      <c r="E61">
        <f>coder1_YH!F61</f>
        <v>0</v>
      </c>
      <c r="F61" s="321" t="str">
        <f>IF(coder1_YH!G61="", clean_mod!F60, coder1_YH!G61)</f>
        <v>Andreassen &amp; Braten, 2011</v>
      </c>
      <c r="G61" s="321" t="str">
        <f t="shared" si="1"/>
        <v>115</v>
      </c>
      <c r="H61" s="321">
        <f>IF(coder1_YH!H61="", clean_mod!H60, coder1_YH!H61)</f>
        <v>115</v>
      </c>
      <c r="I61" s="404" t="str">
        <f t="shared" si="2"/>
        <v>2011</v>
      </c>
      <c r="J61" s="344" t="str">
        <f>IF(coder1_YH!I61="",J60,coder1_YH!I61)</f>
        <v>Norway</v>
      </c>
      <c r="K61" s="345">
        <f t="shared" si="3"/>
        <v>1</v>
      </c>
      <c r="L61" s="344" t="str">
        <f>IF(coder1_YH!J61 = "",L60, coder1_YH!J61)</f>
        <v>Danish</v>
      </c>
      <c r="M61" s="345">
        <f t="shared" si="4"/>
        <v>1</v>
      </c>
      <c r="N61" s="345" t="str">
        <f>IF(coder1_YH!K61 = "", N60, LEFT(coder1_YH!K61,1))</f>
        <v>0</v>
      </c>
      <c r="O61" s="345" t="str">
        <f>IF(coder1_YH!L61 = "", O60, LEFT(coder1_YH!L61,1))</f>
        <v>0</v>
      </c>
      <c r="P61" s="345" t="str">
        <f>IF(coder1_YH!M61 = "", P60, LEFT(coder1_YH!M61,1))</f>
        <v>1</v>
      </c>
      <c r="Q61" s="321" t="str">
        <f>coder1_YH!P61</f>
        <v>ctl</v>
      </c>
      <c r="R61" s="321" t="str">
        <f>coder1_YH!Q61</f>
        <v>BAU (113)</v>
      </c>
      <c r="S61" s="323" t="str">
        <f t="shared" si="5"/>
        <v/>
      </c>
      <c r="T61" s="323" t="str">
        <f t="shared" si="6"/>
        <v/>
      </c>
      <c r="U61" s="323" t="str">
        <f t="shared" si="7"/>
        <v/>
      </c>
      <c r="V61" s="323" t="str">
        <f t="shared" si="8"/>
        <v/>
      </c>
      <c r="W61" s="323">
        <f t="shared" si="9"/>
        <v>0</v>
      </c>
      <c r="X61" s="385" t="str">
        <f>IF(coder1_YH!N61 = "",X60,coder1_YH!N61)</f>
        <v>.</v>
      </c>
      <c r="Y61" s="385" t="str">
        <f>IF(coder1_YH!O61 = "",Y60,coder1_YH!O61)</f>
        <v>.</v>
      </c>
      <c r="Z61" s="385" t="str">
        <f t="shared" si="10"/>
        <v/>
      </c>
      <c r="AA61" s="385" t="str">
        <f t="shared" si="11"/>
        <v>BAU</v>
      </c>
      <c r="AB61" s="385" t="str">
        <f t="shared" si="12"/>
        <v>BAU</v>
      </c>
      <c r="AC61" s="323" t="str">
        <f t="shared" si="13"/>
        <v>..</v>
      </c>
      <c r="AD61" s="323" t="str">
        <f t="shared" si="14"/>
        <v>BAU</v>
      </c>
      <c r="AF61" s="369" t="str">
        <f t="shared" si="15"/>
        <v>115-..</v>
      </c>
      <c r="AG61" s="369" t="str">
        <f t="shared" si="16"/>
        <v>115-BAU</v>
      </c>
      <c r="AH61" s="344" t="str">
        <f>IF(coder1_YH!R61="",AH60,coder1_YH!R61)</f>
        <v>5</v>
      </c>
      <c r="AI61" s="344" t="str">
        <f t="shared" si="0"/>
        <v>5</v>
      </c>
      <c r="AJ61" s="345">
        <f t="shared" si="17"/>
        <v>1</v>
      </c>
      <c r="AK61" s="408">
        <f>IF(coder1_YH!S61="",AK60,coder1_YH!S61)</f>
        <v>10.5</v>
      </c>
      <c r="AL61" s="345">
        <f>IF(coder1_YH!T61="",AL60,IF(coder1_YH!T61="mixed",0.25,coder1_YH!T61))</f>
        <v>0.25</v>
      </c>
      <c r="AM61" s="345">
        <f>IF(coder1_YH!U61 = "", AM60, IF(coder1_YH!U61="mixed","NA",coder1_YH!U61))</f>
        <v>1.7699115044247787E-2</v>
      </c>
      <c r="AN61" s="345">
        <f>IF(coder1_YH!V61="",AN60,coder1_YH!V61)</f>
        <v>0</v>
      </c>
      <c r="AO61" s="345">
        <f>IF(coder1_YH!W61="",AO60,coder1_YH!W61)</f>
        <v>1.7699115044247787E-2</v>
      </c>
      <c r="AP61" s="345">
        <f>IF(coder1_YH!X61="",AP60,coder1_YH!X61)</f>
        <v>0.4336283185840708</v>
      </c>
      <c r="AQ61" s="345" t="str">
        <f>IF(coder1_YH!Y61="",AQ60,coder1_YH!Y61)</f>
        <v>NA</v>
      </c>
      <c r="AR61" t="str">
        <f>coder1_YH!AB61</f>
        <v>NA (for BAU/AC Condition)</v>
      </c>
      <c r="AS61" s="345" t="str">
        <f>IF(coder1_YH!AC61 = "", AS60,IF(coder1_YH!AC61="BAU","BAU",LEFT(coder1_YH!AC61)))</f>
        <v>BAU</v>
      </c>
      <c r="AT61" s="345" t="str">
        <f>IF(coder1_YH!AD61 = "", AT60,IF(coder1_YH!AD61="BAU","BAU",LEFT(coder1_YH!AD61)))</f>
        <v>BAU</v>
      </c>
      <c r="AU61" s="345" t="str">
        <f>IF(coder1_YH!AE61 = "", AU60,IF(coder1_YH!AE61="BAU","BAU",LEFT(coder1_YH!AE61)))</f>
        <v>BAU</v>
      </c>
      <c r="AV61" s="345" t="str">
        <f>IF(coder1_YH!AF61="",AV60,coder1_YH!AF61)</f>
        <v>BAU</v>
      </c>
      <c r="AW61" s="345" t="str">
        <f t="shared" si="18"/>
        <v>BAU</v>
      </c>
      <c r="AX61" s="345" t="str">
        <f>IF(coder1_YH!AG61="",AX60,coder1_YH!AG61)</f>
        <v>BAU</v>
      </c>
      <c r="AY61" s="345" t="str">
        <f>IF(coder1_YH!AH61="",AY60,coder1_YH!AH61)</f>
        <v>BAU</v>
      </c>
      <c r="AZ61" s="345" t="str">
        <f>IF(coder1_YH!AI61 = "", AZ60, IF(coder1_YH!AI61="BAU","BAU",LEFT(coder1_YH!AI61)))</f>
        <v>BAU</v>
      </c>
      <c r="BA61" s="384">
        <f>clean_data!Y61</f>
        <v>90</v>
      </c>
    </row>
    <row r="62" spans="1:53" x14ac:dyDescent="0.2">
      <c r="A62">
        <f>coder1_YH!B62</f>
        <v>0</v>
      </c>
      <c r="B62">
        <f>coder1_YH!C62</f>
        <v>62</v>
      </c>
      <c r="C62">
        <f>coder1_YH!D62</f>
        <v>0</v>
      </c>
      <c r="D62" t="b">
        <f>coder1_YH!E62</f>
        <v>1</v>
      </c>
      <c r="E62" t="b">
        <f>coder1_YH!F62</f>
        <v>1</v>
      </c>
      <c r="F62" s="321" t="str">
        <f>IF(coder1_YH!G62="", clean_mod!F61, coder1_YH!G62)</f>
        <v>Andreassen &amp; Braten, 2011</v>
      </c>
      <c r="G62" s="321" t="str">
        <f t="shared" si="1"/>
        <v>115</v>
      </c>
      <c r="H62" s="321">
        <f>IF(coder1_YH!H62="", clean_mod!H61, coder1_YH!H62)</f>
        <v>115</v>
      </c>
      <c r="I62" s="404" t="str">
        <f t="shared" si="2"/>
        <v>2011</v>
      </c>
      <c r="J62" s="344" t="str">
        <f>IF(coder1_YH!I62="",J61,coder1_YH!I62)</f>
        <v>Norway</v>
      </c>
      <c r="K62" s="345">
        <f t="shared" si="3"/>
        <v>1</v>
      </c>
      <c r="L62" s="344" t="str">
        <f>IF(coder1_YH!J62 = "",L61, coder1_YH!J62)</f>
        <v>Danish</v>
      </c>
      <c r="M62" s="345">
        <f t="shared" si="4"/>
        <v>1</v>
      </c>
      <c r="N62" s="345" t="str">
        <f>IF(coder1_YH!K62 = "", N61, LEFT(coder1_YH!K62,1))</f>
        <v>0</v>
      </c>
      <c r="O62" s="345" t="str">
        <f>IF(coder1_YH!L62 = "", O61, LEFT(coder1_YH!L62,1))</f>
        <v>0</v>
      </c>
      <c r="P62" s="345" t="str">
        <f>IF(coder1_YH!M62 = "", P61, LEFT(coder1_YH!M62,1))</f>
        <v>1</v>
      </c>
      <c r="Q62" s="321" t="str">
        <f>coder1_YH!P62</f>
        <v>ctl</v>
      </c>
      <c r="R62" s="321" t="str">
        <f>coder1_YH!Q62</f>
        <v>BAU (113)</v>
      </c>
      <c r="S62" s="323" t="str">
        <f t="shared" si="5"/>
        <v/>
      </c>
      <c r="T62" s="323" t="str">
        <f t="shared" si="6"/>
        <v/>
      </c>
      <c r="U62" s="323" t="str">
        <f t="shared" si="7"/>
        <v/>
      </c>
      <c r="V62" s="323" t="str">
        <f t="shared" si="8"/>
        <v/>
      </c>
      <c r="W62" s="323">
        <f t="shared" si="9"/>
        <v>0</v>
      </c>
      <c r="X62" s="385" t="str">
        <f>IF(coder1_YH!N62 = "",X61,coder1_YH!N62)</f>
        <v>.</v>
      </c>
      <c r="Y62" s="385" t="str">
        <f>IF(coder1_YH!O62 = "",Y61,coder1_YH!O62)</f>
        <v>.</v>
      </c>
      <c r="Z62" s="385" t="str">
        <f t="shared" si="10"/>
        <v/>
      </c>
      <c r="AA62" s="385" t="str">
        <f t="shared" si="11"/>
        <v>BAU</v>
      </c>
      <c r="AB62" s="385" t="str">
        <f t="shared" si="12"/>
        <v>BAU</v>
      </c>
      <c r="AC62" s="323" t="str">
        <f t="shared" si="13"/>
        <v>..</v>
      </c>
      <c r="AD62" s="323" t="str">
        <f t="shared" si="14"/>
        <v>BAU</v>
      </c>
      <c r="AE62" s="323">
        <f>IF(Y62="cm", 1,0)</f>
        <v>0</v>
      </c>
      <c r="AF62" s="369" t="str">
        <f t="shared" si="15"/>
        <v>115-..</v>
      </c>
      <c r="AG62" s="369" t="str">
        <f t="shared" si="16"/>
        <v>115-BAU</v>
      </c>
      <c r="AH62" s="344" t="str">
        <f>IF(coder1_YH!R62="",AH61,coder1_YH!R62)</f>
        <v>5</v>
      </c>
      <c r="AI62" s="344" t="str">
        <f t="shared" si="0"/>
        <v>5</v>
      </c>
      <c r="AJ62" s="345">
        <f t="shared" si="17"/>
        <v>1</v>
      </c>
      <c r="AK62" s="408">
        <f>IF(coder1_YH!S62="",AK61,coder1_YH!S62)</f>
        <v>10.5</v>
      </c>
      <c r="AL62" s="345">
        <f>IF(coder1_YH!T62="",AL61,IF(coder1_YH!T62="mixed",0.25,coder1_YH!T62))</f>
        <v>0.25</v>
      </c>
      <c r="AM62" s="345">
        <f>IF(coder1_YH!U62 = "", AM61, IF(coder1_YH!U62="mixed","NA",coder1_YH!U62))</f>
        <v>1.7699115044247787E-2</v>
      </c>
      <c r="AN62" s="345">
        <f>IF(coder1_YH!V62="",AN61,coder1_YH!V62)</f>
        <v>0</v>
      </c>
      <c r="AO62" s="345">
        <f>IF(coder1_YH!W62="",AO61,coder1_YH!W62)</f>
        <v>1.7699115044247787E-2</v>
      </c>
      <c r="AP62" s="345">
        <f>IF(coder1_YH!X62="",AP61,coder1_YH!X62)</f>
        <v>0.4336283185840708</v>
      </c>
      <c r="AQ62" s="345" t="str">
        <f>IF(coder1_YH!Y62="",AQ61,coder1_YH!Y62)</f>
        <v>NA</v>
      </c>
      <c r="AR62" t="str">
        <f>coder1_YH!AB62</f>
        <v>NA (for BAU/AC Condition)</v>
      </c>
      <c r="AS62" s="345" t="str">
        <f>IF(coder1_YH!AC62 = "", AS61,IF(coder1_YH!AC62="BAU","BAU",LEFT(coder1_YH!AC62)))</f>
        <v>BAU</v>
      </c>
      <c r="AT62" s="345" t="str">
        <f>IF(coder1_YH!AD62 = "", AT61,IF(coder1_YH!AD62="BAU","BAU",LEFT(coder1_YH!AD62)))</f>
        <v>BAU</v>
      </c>
      <c r="AU62" s="345" t="str">
        <f>IF(coder1_YH!AE62 = "", AU61,IF(coder1_YH!AE62="BAU","BAU",LEFT(coder1_YH!AE62)))</f>
        <v>BAU</v>
      </c>
      <c r="AV62" s="345" t="str">
        <f>IF(coder1_YH!AF62="",AV61,coder1_YH!AF62)</f>
        <v>BAU</v>
      </c>
      <c r="AW62" s="345" t="str">
        <f t="shared" si="18"/>
        <v>BAU</v>
      </c>
      <c r="AX62" s="345" t="str">
        <f>IF(coder1_YH!AG62="",AX61,coder1_YH!AG62)</f>
        <v>BAU</v>
      </c>
      <c r="AY62" s="345" t="str">
        <f>IF(coder1_YH!AH62="",AY61,coder1_YH!AH62)</f>
        <v>BAU</v>
      </c>
      <c r="AZ62" s="345" t="str">
        <f>IF(coder1_YH!AI62 = "", AZ61, IF(coder1_YH!AI62="BAU","BAU",LEFT(coder1_YH!AI62)))</f>
        <v>BAU</v>
      </c>
      <c r="BA62" s="384">
        <f>clean_data!Y62</f>
        <v>90</v>
      </c>
    </row>
    <row r="63" spans="1:53" x14ac:dyDescent="0.2">
      <c r="A63">
        <f>coder1_YH!B63</f>
        <v>0</v>
      </c>
      <c r="B63">
        <f>coder1_YH!C63</f>
        <v>63</v>
      </c>
      <c r="C63">
        <f>coder1_YH!D63</f>
        <v>0</v>
      </c>
      <c r="D63">
        <f>coder1_YH!E63</f>
        <v>0</v>
      </c>
      <c r="E63">
        <f>coder1_YH!F63</f>
        <v>0</v>
      </c>
      <c r="F63" s="321" t="str">
        <f>IF(coder1_YH!G63="", clean_mod!F62, coder1_YH!G63)</f>
        <v>Andreassen &amp; Braten, 2011</v>
      </c>
      <c r="G63" s="321" t="str">
        <f t="shared" si="1"/>
        <v>115</v>
      </c>
      <c r="H63" s="321">
        <f>IF(coder1_YH!H63="", clean_mod!H62, coder1_YH!H63)</f>
        <v>115</v>
      </c>
      <c r="I63" s="404" t="str">
        <f t="shared" si="2"/>
        <v>2011</v>
      </c>
      <c r="J63" s="344" t="str">
        <f>IF(coder1_YH!I63="",J62,coder1_YH!I63)</f>
        <v>Norway</v>
      </c>
      <c r="K63" s="345">
        <f t="shared" si="3"/>
        <v>1</v>
      </c>
      <c r="L63" s="344" t="str">
        <f>IF(coder1_YH!J63 = "",L62, coder1_YH!J63)</f>
        <v>Danish</v>
      </c>
      <c r="M63" s="345">
        <f t="shared" si="4"/>
        <v>1</v>
      </c>
      <c r="N63" s="345" t="str">
        <f>IF(coder1_YH!K63 = "", N62, LEFT(coder1_YH!K63,1))</f>
        <v>0</v>
      </c>
      <c r="O63" s="345" t="str">
        <f>IF(coder1_YH!L63 = "", O62, LEFT(coder1_YH!L63,1))</f>
        <v>0</v>
      </c>
      <c r="P63" s="345" t="str">
        <f>IF(coder1_YH!M63 = "", P62, LEFT(coder1_YH!M63,1))</f>
        <v>1</v>
      </c>
      <c r="Q63" s="321" t="str">
        <f>coder1_YH!P63</f>
        <v>ctl</v>
      </c>
      <c r="R63" s="321" t="str">
        <f>coder1_YH!Q63</f>
        <v>BAU (113)</v>
      </c>
      <c r="S63" s="323" t="str">
        <f t="shared" si="5"/>
        <v/>
      </c>
      <c r="T63" s="323" t="str">
        <f t="shared" si="6"/>
        <v/>
      </c>
      <c r="U63" s="323" t="str">
        <f t="shared" si="7"/>
        <v/>
      </c>
      <c r="V63" s="323" t="str">
        <f t="shared" si="8"/>
        <v/>
      </c>
      <c r="W63" s="323">
        <f t="shared" si="9"/>
        <v>0</v>
      </c>
      <c r="X63" s="385" t="str">
        <f>IF(coder1_YH!N63 = "",X62,coder1_YH!N63)</f>
        <v>.</v>
      </c>
      <c r="Y63" s="385" t="str">
        <f>IF(coder1_YH!O63 = "",Y62,coder1_YH!O63)</f>
        <v>.</v>
      </c>
      <c r="Z63" s="385" t="str">
        <f t="shared" si="10"/>
        <v/>
      </c>
      <c r="AA63" s="385" t="str">
        <f t="shared" si="11"/>
        <v>BAU</v>
      </c>
      <c r="AB63" s="385" t="str">
        <f t="shared" si="12"/>
        <v>BAU</v>
      </c>
      <c r="AC63" s="323" t="str">
        <f t="shared" si="13"/>
        <v>..</v>
      </c>
      <c r="AD63" s="323" t="str">
        <f t="shared" si="14"/>
        <v>BAU</v>
      </c>
      <c r="AF63" s="369" t="str">
        <f t="shared" si="15"/>
        <v>115-..</v>
      </c>
      <c r="AG63" s="369" t="str">
        <f t="shared" si="16"/>
        <v>115-BAU</v>
      </c>
      <c r="AH63" s="344" t="str">
        <f>IF(coder1_YH!R63="",AH62,coder1_YH!R63)</f>
        <v>5</v>
      </c>
      <c r="AI63" s="344" t="str">
        <f t="shared" si="0"/>
        <v>5</v>
      </c>
      <c r="AJ63" s="345">
        <f t="shared" si="17"/>
        <v>1</v>
      </c>
      <c r="AK63" s="408">
        <f>IF(coder1_YH!S63="",AK62,coder1_YH!S63)</f>
        <v>10.5</v>
      </c>
      <c r="AL63" s="345">
        <f>IF(coder1_YH!T63="",AL62,IF(coder1_YH!T63="mixed",0.25,coder1_YH!T63))</f>
        <v>0.25</v>
      </c>
      <c r="AM63" s="345">
        <f>IF(coder1_YH!U63 = "", AM62, IF(coder1_YH!U63="mixed","NA",coder1_YH!U63))</f>
        <v>1.7699115044247787E-2</v>
      </c>
      <c r="AN63" s="345">
        <f>IF(coder1_YH!V63="",AN62,coder1_YH!V63)</f>
        <v>0</v>
      </c>
      <c r="AO63" s="345">
        <f>IF(coder1_YH!W63="",AO62,coder1_YH!W63)</f>
        <v>1.7699115044247787E-2</v>
      </c>
      <c r="AP63" s="345">
        <f>IF(coder1_YH!X63="",AP62,coder1_YH!X63)</f>
        <v>0.4336283185840708</v>
      </c>
      <c r="AQ63" s="345" t="str">
        <f>IF(coder1_YH!Y63="",AQ62,coder1_YH!Y63)</f>
        <v>NA</v>
      </c>
      <c r="AR63" t="str">
        <f>coder1_YH!AB63</f>
        <v>NA (for BAU/AC Condition)</v>
      </c>
      <c r="AS63" s="345" t="str">
        <f>IF(coder1_YH!AC63 = "", AS62,IF(coder1_YH!AC63="BAU","BAU",LEFT(coder1_YH!AC63)))</f>
        <v>BAU</v>
      </c>
      <c r="AT63" s="345" t="str">
        <f>IF(coder1_YH!AD63 = "", AT62,IF(coder1_YH!AD63="BAU","BAU",LEFT(coder1_YH!AD63)))</f>
        <v>BAU</v>
      </c>
      <c r="AU63" s="345" t="str">
        <f>IF(coder1_YH!AE63 = "", AU62,IF(coder1_YH!AE63="BAU","BAU",LEFT(coder1_YH!AE63)))</f>
        <v>BAU</v>
      </c>
      <c r="AV63" s="345" t="str">
        <f>IF(coder1_YH!AF63="",AV62,coder1_YH!AF63)</f>
        <v>BAU</v>
      </c>
      <c r="AW63" s="345" t="str">
        <f t="shared" si="18"/>
        <v>BAU</v>
      </c>
      <c r="AX63" s="345" t="str">
        <f>IF(coder1_YH!AG63="",AX62,coder1_YH!AG63)</f>
        <v>BAU</v>
      </c>
      <c r="AY63" s="345" t="str">
        <f>IF(coder1_YH!AH63="",AY62,coder1_YH!AH63)</f>
        <v>BAU</v>
      </c>
      <c r="AZ63" s="345" t="str">
        <f>IF(coder1_YH!AI63 = "", AZ62, IF(coder1_YH!AI63="BAU","BAU",LEFT(coder1_YH!AI63)))</f>
        <v>BAU</v>
      </c>
      <c r="BA63" s="384">
        <f>clean_data!Y63</f>
        <v>90</v>
      </c>
    </row>
    <row r="64" spans="1:53" x14ac:dyDescent="0.2">
      <c r="A64">
        <f>coder1_YH!B64</f>
        <v>0</v>
      </c>
      <c r="B64">
        <f>coder1_YH!C64</f>
        <v>64</v>
      </c>
      <c r="C64">
        <f>coder1_YH!D64</f>
        <v>0</v>
      </c>
      <c r="D64">
        <f>coder1_YH!E64</f>
        <v>0</v>
      </c>
      <c r="E64">
        <f>coder1_YH!F64</f>
        <v>0</v>
      </c>
      <c r="F64" s="321" t="str">
        <f>IF(coder1_YH!G64="", clean_mod!F63, coder1_YH!G64)</f>
        <v>Andreassen &amp; Braten, 2011</v>
      </c>
      <c r="G64" s="321" t="str">
        <f t="shared" si="1"/>
        <v>115</v>
      </c>
      <c r="H64" s="321">
        <f>IF(coder1_YH!H64="", clean_mod!H63, coder1_YH!H64)</f>
        <v>115</v>
      </c>
      <c r="I64" s="404" t="str">
        <f t="shared" si="2"/>
        <v>2011</v>
      </c>
      <c r="J64" s="344" t="str">
        <f>IF(coder1_YH!I64="",J63,coder1_YH!I64)</f>
        <v>Norway</v>
      </c>
      <c r="K64" s="345">
        <f t="shared" si="3"/>
        <v>1</v>
      </c>
      <c r="L64" s="344" t="str">
        <f>IF(coder1_YH!J64 = "",L63, coder1_YH!J64)</f>
        <v>Danish</v>
      </c>
      <c r="M64" s="345">
        <f t="shared" si="4"/>
        <v>1</v>
      </c>
      <c r="N64" s="345" t="str">
        <f>IF(coder1_YH!K64 = "", N63, LEFT(coder1_YH!K64,1))</f>
        <v>0</v>
      </c>
      <c r="O64" s="345" t="str">
        <f>IF(coder1_YH!L64 = "", O63, LEFT(coder1_YH!L64,1))</f>
        <v>0</v>
      </c>
      <c r="P64" s="345" t="str">
        <f>IF(coder1_YH!M64 = "", P63, LEFT(coder1_YH!M64,1))</f>
        <v>1</v>
      </c>
      <c r="Q64" s="321" t="str">
        <f>coder1_YH!P64</f>
        <v>ctl</v>
      </c>
      <c r="R64" s="321" t="str">
        <f>coder1_YH!Q64</f>
        <v>BAU (113)</v>
      </c>
      <c r="S64" s="323" t="str">
        <f t="shared" si="5"/>
        <v/>
      </c>
      <c r="T64" s="323" t="str">
        <f t="shared" si="6"/>
        <v/>
      </c>
      <c r="U64" s="323" t="str">
        <f t="shared" si="7"/>
        <v/>
      </c>
      <c r="V64" s="323" t="str">
        <f t="shared" si="8"/>
        <v/>
      </c>
      <c r="W64" s="323">
        <f t="shared" si="9"/>
        <v>0</v>
      </c>
      <c r="X64" s="385" t="str">
        <f>IF(coder1_YH!N64 = "",X63,coder1_YH!N64)</f>
        <v>.</v>
      </c>
      <c r="Y64" s="385" t="str">
        <f>IF(coder1_YH!O64 = "",Y63,coder1_YH!O64)</f>
        <v>.</v>
      </c>
      <c r="Z64" s="385" t="str">
        <f t="shared" si="10"/>
        <v/>
      </c>
      <c r="AA64" s="385" t="str">
        <f t="shared" si="11"/>
        <v>BAU</v>
      </c>
      <c r="AB64" s="385" t="str">
        <f t="shared" si="12"/>
        <v>BAU</v>
      </c>
      <c r="AC64" s="323" t="str">
        <f t="shared" si="13"/>
        <v>..</v>
      </c>
      <c r="AD64" s="323" t="str">
        <f t="shared" si="14"/>
        <v>BAU</v>
      </c>
      <c r="AF64" s="369" t="str">
        <f t="shared" si="15"/>
        <v>115-..</v>
      </c>
      <c r="AG64" s="369" t="str">
        <f t="shared" si="16"/>
        <v>115-BAU</v>
      </c>
      <c r="AH64" s="344" t="str">
        <f>IF(coder1_YH!R64="",AH63,coder1_YH!R64)</f>
        <v>5</v>
      </c>
      <c r="AI64" s="344" t="str">
        <f t="shared" si="0"/>
        <v>5</v>
      </c>
      <c r="AJ64" s="345">
        <f t="shared" si="17"/>
        <v>1</v>
      </c>
      <c r="AK64" s="408">
        <f>IF(coder1_YH!S64="",AK63,coder1_YH!S64)</f>
        <v>10.5</v>
      </c>
      <c r="AL64" s="345">
        <f>IF(coder1_YH!T64="",AL63,IF(coder1_YH!T64="mixed",0.25,coder1_YH!T64))</f>
        <v>0.25</v>
      </c>
      <c r="AM64" s="345">
        <f>IF(coder1_YH!U64 = "", AM63, IF(coder1_YH!U64="mixed","NA",coder1_YH!U64))</f>
        <v>1.7699115044247787E-2</v>
      </c>
      <c r="AN64" s="345">
        <f>IF(coder1_YH!V64="",AN63,coder1_YH!V64)</f>
        <v>0</v>
      </c>
      <c r="AO64" s="345">
        <f>IF(coder1_YH!W64="",AO63,coder1_YH!W64)</f>
        <v>1.7699115044247787E-2</v>
      </c>
      <c r="AP64" s="345">
        <f>IF(coder1_YH!X64="",AP63,coder1_YH!X64)</f>
        <v>0.4336283185840708</v>
      </c>
      <c r="AQ64" s="345" t="str">
        <f>IF(coder1_YH!Y64="",AQ63,coder1_YH!Y64)</f>
        <v>NA</v>
      </c>
      <c r="AR64" t="str">
        <f>coder1_YH!AB64</f>
        <v>NA (for BAU/AC Condition)</v>
      </c>
      <c r="AS64" s="345" t="str">
        <f>IF(coder1_YH!AC64 = "", AS63,IF(coder1_YH!AC64="BAU","BAU",LEFT(coder1_YH!AC64)))</f>
        <v>BAU</v>
      </c>
      <c r="AT64" s="345" t="str">
        <f>IF(coder1_YH!AD64 = "", AT63,IF(coder1_YH!AD64="BAU","BAU",LEFT(coder1_YH!AD64)))</f>
        <v>BAU</v>
      </c>
      <c r="AU64" s="345" t="str">
        <f>IF(coder1_YH!AE64 = "", AU63,IF(coder1_YH!AE64="BAU","BAU",LEFT(coder1_YH!AE64)))</f>
        <v>BAU</v>
      </c>
      <c r="AV64" s="345" t="str">
        <f>IF(coder1_YH!AF64="",AV63,coder1_YH!AF64)</f>
        <v>BAU</v>
      </c>
      <c r="AW64" s="345" t="str">
        <f t="shared" si="18"/>
        <v>BAU</v>
      </c>
      <c r="AX64" s="345" t="str">
        <f>IF(coder1_YH!AG64="",AX63,coder1_YH!AG64)</f>
        <v>BAU</v>
      </c>
      <c r="AY64" s="345" t="str">
        <f>IF(coder1_YH!AH64="",AY63,coder1_YH!AH64)</f>
        <v>BAU</v>
      </c>
      <c r="AZ64" s="345" t="str">
        <f>IF(coder1_YH!AI64 = "", AZ63, IF(coder1_YH!AI64="BAU","BAU",LEFT(coder1_YH!AI64)))</f>
        <v>BAU</v>
      </c>
      <c r="BA64" s="384">
        <f>clean_data!Y64</f>
        <v>90</v>
      </c>
    </row>
    <row r="65" spans="1:53" x14ac:dyDescent="0.2">
      <c r="A65" t="str">
        <f>coder1_YH!B65</f>
        <v>EX</v>
      </c>
      <c r="B65">
        <f>coder1_YH!C65</f>
        <v>65</v>
      </c>
      <c r="C65" t="b">
        <f>coder1_YH!D65</f>
        <v>1</v>
      </c>
      <c r="D65" t="b">
        <f>coder1_YH!E65</f>
        <v>1</v>
      </c>
      <c r="E65" t="b">
        <f>coder1_YH!F65</f>
        <v>1</v>
      </c>
      <c r="F65" s="321" t="str">
        <f>IF(coder1_YH!G65="", clean_mod!F64, coder1_YH!G65)</f>
        <v>Cuevas et al., 2012</v>
      </c>
      <c r="G65" s="321" t="str">
        <f t="shared" si="1"/>
        <v>116</v>
      </c>
      <c r="H65" s="321">
        <f>IF(coder1_YH!H65="", clean_mod!H64, coder1_YH!H65)</f>
        <v>116</v>
      </c>
      <c r="I65" s="404" t="str">
        <f t="shared" si="2"/>
        <v>2012</v>
      </c>
      <c r="J65" s="344" t="str">
        <f>IF(coder1_YH!I65="",J64,coder1_YH!I65)</f>
        <v>USA</v>
      </c>
      <c r="K65" s="345">
        <f t="shared" si="3"/>
        <v>0</v>
      </c>
      <c r="L65" s="344" t="str">
        <f>IF(coder1_YH!J65 = "",L64, coder1_YH!J65)</f>
        <v>English</v>
      </c>
      <c r="M65" s="345">
        <f t="shared" si="4"/>
        <v>0</v>
      </c>
      <c r="N65" s="345" t="str">
        <f>IF(coder1_YH!K65 = "", N64, LEFT(coder1_YH!K65,1))</f>
        <v>0</v>
      </c>
      <c r="O65" s="345" t="str">
        <f>IF(coder1_YH!L65 = "", O64, LEFT(coder1_YH!L65,1))</f>
        <v>0</v>
      </c>
      <c r="P65" s="345" t="str">
        <f>IF(coder1_YH!M65 = "", P64, LEFT(coder1_YH!M65,1))</f>
        <v>0</v>
      </c>
      <c r="Q65" s="321">
        <f>coder1_YH!P65</f>
        <v>1</v>
      </c>
      <c r="R65" s="321" t="str">
        <f>coder1_YH!Q65</f>
        <v>1textbook ISR (45)</v>
      </c>
      <c r="S65" s="323" t="str">
        <f t="shared" si="5"/>
        <v/>
      </c>
      <c r="T65" s="323" t="str">
        <f t="shared" si="6"/>
        <v/>
      </c>
      <c r="U65" s="323" t="str">
        <f t="shared" si="7"/>
        <v/>
      </c>
      <c r="V65" s="323" t="str">
        <f t="shared" si="8"/>
        <v/>
      </c>
      <c r="W65" s="323">
        <f t="shared" si="9"/>
        <v>0</v>
      </c>
      <c r="X65" s="385" t="str">
        <f>IF(coder1_YH!N65 = "",X64,coder1_YH!N65)</f>
        <v>EX</v>
      </c>
      <c r="Y65" s="385" t="str">
        <f>IF(coder1_YH!O65 = "",Y64,coder1_YH!O65)</f>
        <v>EX</v>
      </c>
      <c r="Z65" s="385" t="str">
        <f t="shared" si="10"/>
        <v>M</v>
      </c>
      <c r="AA65" s="385" t="str">
        <f t="shared" si="11"/>
        <v>R</v>
      </c>
      <c r="AB65" s="385" t="str">
        <f t="shared" si="12"/>
        <v>MR</v>
      </c>
      <c r="AC65" s="323" t="str">
        <f t="shared" si="13"/>
        <v>EXEX</v>
      </c>
      <c r="AD65" s="323" t="str">
        <f t="shared" si="14"/>
        <v>EX_R</v>
      </c>
      <c r="AF65" s="369" t="str">
        <f t="shared" si="15"/>
        <v>116-EXEX</v>
      </c>
      <c r="AG65" s="369" t="str">
        <f t="shared" si="16"/>
        <v>116-EX_R</v>
      </c>
      <c r="AH65" s="344" t="str">
        <f>IF(coder1_YH!R65="",AH64,coder1_YH!R65)</f>
        <v>10</v>
      </c>
      <c r="AI65" s="344" t="str">
        <f t="shared" si="0"/>
        <v>10</v>
      </c>
      <c r="AJ65" s="345">
        <f t="shared" si="17"/>
        <v>1</v>
      </c>
      <c r="AK65" s="408">
        <f>IF(coder1_YH!S65="",AK64,coder1_YH!S65)</f>
        <v>16</v>
      </c>
      <c r="AL65" s="345">
        <f>IF(coder1_YH!T65="",AL64,IF(coder1_YH!T65="mixed",0.25,coder1_YH!T65))</f>
        <v>0</v>
      </c>
      <c r="AM65" s="345">
        <f>IF(coder1_YH!U65 = "", AM64, IF(coder1_YH!U65="mixed","NA",coder1_YH!U65))</f>
        <v>0</v>
      </c>
      <c r="AN65" s="345">
        <f>IF(coder1_YH!V65="",AN64,coder1_YH!V65)</f>
        <v>0.6</v>
      </c>
      <c r="AO65" s="345">
        <f>IF(coder1_YH!W65="",AO64,coder1_YH!W65)</f>
        <v>0</v>
      </c>
      <c r="AP65" s="345">
        <f>IF(coder1_YH!X65="",AP64,coder1_YH!X65)</f>
        <v>0.54</v>
      </c>
      <c r="AQ65" s="345">
        <f>IF(coder1_YH!Y65="",AQ64,coder1_YH!Y65)</f>
        <v>0.79</v>
      </c>
      <c r="AR65" t="str">
        <f>coder1_YH!AB65</f>
        <v>0 = Researcher-developed curriculum</v>
      </c>
      <c r="AS65" s="345" t="str">
        <f>IF(coder1_YH!AC65 = "", AS64,IF(coder1_YH!AC65="BAU","BAU",LEFT(coder1_YH!AC65)))</f>
        <v>0</v>
      </c>
      <c r="AT65" s="345" t="str">
        <f>IF(coder1_YH!AD65 = "", AT64,IF(coder1_YH!AD65="BAU","BAU",LEFT(coder1_YH!AD65)))</f>
        <v>0</v>
      </c>
      <c r="AU65" s="345" t="str">
        <f>IF(coder1_YH!AE65 = "", AU64,IF(coder1_YH!AE65="BAU","BAU",LEFT(coder1_YH!AE65)))</f>
        <v>1</v>
      </c>
      <c r="AV65" s="345">
        <f>IF(coder1_YH!AF65="",AV64,coder1_YH!AF65)</f>
        <v>840</v>
      </c>
      <c r="AW65" s="345">
        <f t="shared" si="18"/>
        <v>14</v>
      </c>
      <c r="AX65" s="345">
        <f>IF(coder1_YH!AG65="",AX64,coder1_YH!AG65)</f>
        <v>14</v>
      </c>
      <c r="AY65" s="345">
        <f>IF(coder1_YH!AH65="",AY64,coder1_YH!AH65)</f>
        <v>60</v>
      </c>
      <c r="AZ65" s="345" t="str">
        <f>IF(coder1_YH!AI65 = "", AZ64, IF(coder1_YH!AI65="BAU","BAU",LEFT(coder1_YH!AI65)))</f>
        <v>BAU</v>
      </c>
      <c r="BA65" s="384">
        <f>clean_data!Y65</f>
        <v>38</v>
      </c>
    </row>
    <row r="66" spans="1:53" x14ac:dyDescent="0.2">
      <c r="A66" t="str">
        <f>coder1_YH!B66</f>
        <v>EX</v>
      </c>
      <c r="B66">
        <f>coder1_YH!C66</f>
        <v>66</v>
      </c>
      <c r="C66">
        <f>coder1_YH!D66</f>
        <v>0</v>
      </c>
      <c r="D66" t="str">
        <f>coder1_YH!E66</f>
        <v/>
      </c>
      <c r="E66" t="str">
        <f>coder1_YH!F66</f>
        <v/>
      </c>
      <c r="F66" s="321" t="str">
        <f>IF(coder1_YH!G66="", clean_mod!F65, coder1_YH!G66)</f>
        <v>Cuevas et al., 2012</v>
      </c>
      <c r="G66" s="321" t="str">
        <f t="shared" si="1"/>
        <v>116</v>
      </c>
      <c r="H66" s="321">
        <f>IF(coder1_YH!H66="", clean_mod!H65, coder1_YH!H66)</f>
        <v>116</v>
      </c>
      <c r="I66" s="404" t="str">
        <f t="shared" si="2"/>
        <v>2012</v>
      </c>
      <c r="J66" s="344" t="str">
        <f>IF(coder1_YH!I66="",J65,coder1_YH!I66)</f>
        <v>USA</v>
      </c>
      <c r="K66" s="345">
        <f t="shared" si="3"/>
        <v>0</v>
      </c>
      <c r="L66" s="344" t="str">
        <f>IF(coder1_YH!J66 = "",L65, coder1_YH!J66)</f>
        <v>English</v>
      </c>
      <c r="M66" s="345">
        <f t="shared" si="4"/>
        <v>0</v>
      </c>
      <c r="N66" s="345" t="str">
        <f>IF(coder1_YH!K66 = "", N65, LEFT(coder1_YH!K66,1))</f>
        <v>0</v>
      </c>
      <c r="O66" s="345" t="str">
        <f>IF(coder1_YH!L66 = "", O65, LEFT(coder1_YH!L66,1))</f>
        <v>0</v>
      </c>
      <c r="P66" s="345" t="str">
        <f>IF(coder1_YH!M66 = "", P65, LEFT(coder1_YH!M66,1))</f>
        <v>0</v>
      </c>
      <c r="Q66" s="321">
        <f>coder1_YH!P66</f>
        <v>0</v>
      </c>
      <c r="R66" s="321">
        <f>coder1_YH!Q66</f>
        <v>0</v>
      </c>
      <c r="S66" s="323" t="str">
        <f t="shared" si="5"/>
        <v/>
      </c>
      <c r="T66" s="323" t="str">
        <f t="shared" si="6"/>
        <v/>
      </c>
      <c r="U66" s="323" t="str">
        <f t="shared" si="7"/>
        <v/>
      </c>
      <c r="V66" s="323" t="str">
        <f t="shared" si="8"/>
        <v/>
      </c>
      <c r="W66" s="323">
        <f t="shared" si="9"/>
        <v>0</v>
      </c>
      <c r="X66" s="385" t="str">
        <f>IF(coder1_YH!N66 = "",X65,coder1_YH!N66)</f>
        <v>EX</v>
      </c>
      <c r="Y66" s="385" t="str">
        <f>IF(coder1_YH!O66 = "",Y65,coder1_YH!O66)</f>
        <v>EX</v>
      </c>
      <c r="Z66" s="385" t="str">
        <f t="shared" si="10"/>
        <v>M</v>
      </c>
      <c r="AA66" s="385" t="str">
        <f t="shared" si="11"/>
        <v>R</v>
      </c>
      <c r="AB66" s="385" t="str">
        <f t="shared" si="12"/>
        <v>MR</v>
      </c>
      <c r="AC66" s="323" t="str">
        <f t="shared" si="13"/>
        <v>EXEX</v>
      </c>
      <c r="AD66" s="323" t="str">
        <f t="shared" si="14"/>
        <v>EX_R</v>
      </c>
      <c r="AF66" s="369" t="str">
        <f t="shared" si="15"/>
        <v>116-EXEX</v>
      </c>
      <c r="AG66" s="369" t="str">
        <f t="shared" si="16"/>
        <v>116-EX_R</v>
      </c>
      <c r="AH66" s="344" t="str">
        <f>IF(coder1_YH!R66="",AH65,coder1_YH!R66)</f>
        <v>10</v>
      </c>
      <c r="AI66" s="344" t="str">
        <f t="shared" ref="AI66:AI129" si="19">IF(AH66="4, 5",4.5,IF(AH66="7, 8, 9",8,IF(AH66="3, 4",3.5,IF(AH66="7, 8",7.5,IF(AH66="5, 6",5.5,IF(AH66="4,5,6,7,8",6,AH66))))))</f>
        <v>10</v>
      </c>
      <c r="AJ66" s="345">
        <f t="shared" si="17"/>
        <v>1</v>
      </c>
      <c r="AK66" s="408">
        <f>IF(coder1_YH!S66="",AK65,coder1_YH!S66)</f>
        <v>16</v>
      </c>
      <c r="AL66" s="345">
        <f>IF(coder1_YH!T66="",AL65,IF(coder1_YH!T66="mixed",0.25,coder1_YH!T66))</f>
        <v>0</v>
      </c>
      <c r="AM66" s="345">
        <f>IF(coder1_YH!U66 = "", AM65, IF(coder1_YH!U66="mixed","NA",coder1_YH!U66))</f>
        <v>0</v>
      </c>
      <c r="AN66" s="345">
        <f>IF(coder1_YH!V66="",AN65,coder1_YH!V66)</f>
        <v>0.6</v>
      </c>
      <c r="AO66" s="345">
        <f>IF(coder1_YH!W66="",AO65,coder1_YH!W66)</f>
        <v>0</v>
      </c>
      <c r="AP66" s="345">
        <f>IF(coder1_YH!X66="",AP65,coder1_YH!X66)</f>
        <v>0.54</v>
      </c>
      <c r="AQ66" s="345">
        <f>IF(coder1_YH!Y66="",AQ65,coder1_YH!Y66)</f>
        <v>0.79</v>
      </c>
      <c r="AR66">
        <f>coder1_YH!AB66</f>
        <v>0</v>
      </c>
      <c r="AS66" s="345" t="str">
        <f>IF(coder1_YH!AC66 = "", AS65,IF(coder1_YH!AC66="BAU","BAU",LEFT(coder1_YH!AC66)))</f>
        <v>0</v>
      </c>
      <c r="AT66" s="345" t="str">
        <f>IF(coder1_YH!AD66 = "", AT65,IF(coder1_YH!AD66="BAU","BAU",LEFT(coder1_YH!AD66)))</f>
        <v>0</v>
      </c>
      <c r="AU66" s="345" t="str">
        <f>IF(coder1_YH!AE66 = "", AU65,IF(coder1_YH!AE66="BAU","BAU",LEFT(coder1_YH!AE66)))</f>
        <v>1</v>
      </c>
      <c r="AV66" s="345">
        <f>IF(coder1_YH!AF66="",AV65,coder1_YH!AF66)</f>
        <v>840</v>
      </c>
      <c r="AW66" s="345">
        <f t="shared" si="18"/>
        <v>14</v>
      </c>
      <c r="AX66" s="345">
        <f>IF(coder1_YH!AG66="",AX65,coder1_YH!AG66)</f>
        <v>14</v>
      </c>
      <c r="AY66" s="345">
        <f>IF(coder1_YH!AH66="",AY65,coder1_YH!AH66)</f>
        <v>60</v>
      </c>
      <c r="AZ66" s="345" t="str">
        <f>IF(coder1_YH!AI66 = "", AZ65, IF(coder1_YH!AI66="BAU","BAU",LEFT(coder1_YH!AI66)))</f>
        <v>BAU</v>
      </c>
      <c r="BA66" s="384">
        <f>clean_data!Y66</f>
        <v>31</v>
      </c>
    </row>
    <row r="67" spans="1:53" x14ac:dyDescent="0.2">
      <c r="A67" t="str">
        <f>coder1_YH!B67</f>
        <v>EX</v>
      </c>
      <c r="B67">
        <f>coder1_YH!C67</f>
        <v>67</v>
      </c>
      <c r="C67">
        <f>coder1_YH!D67</f>
        <v>0</v>
      </c>
      <c r="D67" t="str">
        <f>coder1_YH!E67</f>
        <v/>
      </c>
      <c r="E67" t="str">
        <f>coder1_YH!F67</f>
        <v/>
      </c>
      <c r="F67" s="321" t="str">
        <f>IF(coder1_YH!G67="", clean_mod!F66, coder1_YH!G67)</f>
        <v>Cuevas et al., 2012</v>
      </c>
      <c r="G67" s="321" t="str">
        <f t="shared" ref="G67:G130" si="20">LEFT(H67,3)</f>
        <v>116</v>
      </c>
      <c r="H67" s="321">
        <f>IF(coder1_YH!H67="", clean_mod!H66, coder1_YH!H67)</f>
        <v>116</v>
      </c>
      <c r="I67" s="404" t="str">
        <f t="shared" ref="I67:I130" si="21">RIGHT(F67,4)</f>
        <v>2012</v>
      </c>
      <c r="J67" s="344" t="str">
        <f>IF(coder1_YH!I67="",J66,coder1_YH!I67)</f>
        <v>USA</v>
      </c>
      <c r="K67" s="345">
        <f t="shared" ref="K67:K130" si="22">IF(J67="USA",0,1)</f>
        <v>0</v>
      </c>
      <c r="L67" s="344" t="str">
        <f>IF(coder1_YH!J67 = "",L66, coder1_YH!J67)</f>
        <v>English</v>
      </c>
      <c r="M67" s="345">
        <f t="shared" ref="M67:M130" si="23">IF(L67="English",0,1)</f>
        <v>0</v>
      </c>
      <c r="N67" s="345" t="str">
        <f>IF(coder1_YH!K67 = "", N66, LEFT(coder1_YH!K67,1))</f>
        <v>0</v>
      </c>
      <c r="O67" s="345" t="str">
        <f>IF(coder1_YH!L67 = "", O66, LEFT(coder1_YH!L67,1))</f>
        <v>0</v>
      </c>
      <c r="P67" s="345" t="str">
        <f>IF(coder1_YH!M67 = "", P66, LEFT(coder1_YH!M67,1))</f>
        <v>0</v>
      </c>
      <c r="Q67" s="321">
        <f>coder1_YH!P67</f>
        <v>0</v>
      </c>
      <c r="R67" s="321">
        <f>coder1_YH!Q67</f>
        <v>0</v>
      </c>
      <c r="S67" s="323" t="str">
        <f t="shared" ref="S67:S130" si="24">IF(ISNUMBER(SEARCH("N", $X67)), "N", "")</f>
        <v/>
      </c>
      <c r="T67" s="323" t="str">
        <f t="shared" ref="T67:T130" si="25">IF(ISNUMBER(SEARCH("V", $X67)), "V", "")</f>
        <v/>
      </c>
      <c r="U67" s="323" t="str">
        <f t="shared" ref="U67:U130" si="26">IF(ISNUMBER(SEARCH("G", $X67)), "G", "")</f>
        <v/>
      </c>
      <c r="V67" s="323" t="str">
        <f t="shared" ref="V67:V130" si="27">IF(ISNUMBER(SEARCH("T", $X67)), "T", "")</f>
        <v/>
      </c>
      <c r="W67" s="323">
        <f t="shared" ref="W67:W130" si="28">4 - COUNTIF(S67:V67, "")</f>
        <v>0</v>
      </c>
      <c r="X67" s="385" t="str">
        <f>IF(coder1_YH!N67 = "",X66,coder1_YH!N67)</f>
        <v>EX</v>
      </c>
      <c r="Y67" s="385" t="str">
        <f>IF(coder1_YH!O67 = "",Y66,coder1_YH!O67)</f>
        <v>EX</v>
      </c>
      <c r="Z67" s="385" t="str">
        <f t="shared" ref="Z67:Z130" si="29">IF(X67=".","","M")</f>
        <v>M</v>
      </c>
      <c r="AA67" s="385" t="str">
        <f t="shared" ref="AA67:AA130" si="30">IF(Y67=".","BAU","R")</f>
        <v>R</v>
      </c>
      <c r="AB67" s="385" t="str">
        <f t="shared" ref="AB67:AB130" si="31">Z67&amp;AA67</f>
        <v>MR</v>
      </c>
      <c r="AC67" s="323" t="str">
        <f t="shared" ref="AC67:AC130" si="32">X67&amp;Y67</f>
        <v>EXEX</v>
      </c>
      <c r="AD67" s="323" t="str">
        <f t="shared" ref="AD67:AD130" si="33">IF(X67=".",AA67,X67&amp;"_"&amp;AA67)</f>
        <v>EX_R</v>
      </c>
      <c r="AF67" s="369" t="str">
        <f t="shared" ref="AF67:AF130" si="34">$H67&amp;"-"&amp;AC67</f>
        <v>116-EXEX</v>
      </c>
      <c r="AG67" s="369" t="str">
        <f t="shared" ref="AG67:AG130" si="35">$H67&amp;"-"&amp;AD67</f>
        <v>116-EX_R</v>
      </c>
      <c r="AH67" s="344" t="str">
        <f>IF(coder1_YH!R67="",AH66,coder1_YH!R67)</f>
        <v>10</v>
      </c>
      <c r="AI67" s="344" t="str">
        <f t="shared" si="19"/>
        <v>10</v>
      </c>
      <c r="AJ67" s="345">
        <f t="shared" ref="AJ67:AJ130" si="36">IF(AI67&lt;6,0,1)</f>
        <v>1</v>
      </c>
      <c r="AK67" s="408">
        <f>IF(coder1_YH!S67="",AK66,coder1_YH!S67)</f>
        <v>16</v>
      </c>
      <c r="AL67" s="345">
        <f>IF(coder1_YH!T67="",AL66,IF(coder1_YH!T67="mixed",0.25,coder1_YH!T67))</f>
        <v>0</v>
      </c>
      <c r="AM67" s="345">
        <f>IF(coder1_YH!U67 = "", AM66, IF(coder1_YH!U67="mixed","NA",coder1_YH!U67))</f>
        <v>0</v>
      </c>
      <c r="AN67" s="345">
        <f>IF(coder1_YH!V67="",AN66,coder1_YH!V67)</f>
        <v>0.6</v>
      </c>
      <c r="AO67" s="345">
        <f>IF(coder1_YH!W67="",AO66,coder1_YH!W67)</f>
        <v>0</v>
      </c>
      <c r="AP67" s="345">
        <f>IF(coder1_YH!X67="",AP66,coder1_YH!X67)</f>
        <v>0.54</v>
      </c>
      <c r="AQ67" s="345">
        <f>IF(coder1_YH!Y67="",AQ66,coder1_YH!Y67)</f>
        <v>0.79</v>
      </c>
      <c r="AR67">
        <f>coder1_YH!AB67</f>
        <v>0</v>
      </c>
      <c r="AS67" s="345" t="str">
        <f>IF(coder1_YH!AC67 = "", AS66,IF(coder1_YH!AC67="BAU","BAU",LEFT(coder1_YH!AC67)))</f>
        <v>0</v>
      </c>
      <c r="AT67" s="345" t="str">
        <f>IF(coder1_YH!AD67 = "", AT66,IF(coder1_YH!AD67="BAU","BAU",LEFT(coder1_YH!AD67)))</f>
        <v>0</v>
      </c>
      <c r="AU67" s="345" t="str">
        <f>IF(coder1_YH!AE67 = "", AU66,IF(coder1_YH!AE67="BAU","BAU",LEFT(coder1_YH!AE67)))</f>
        <v>1</v>
      </c>
      <c r="AV67" s="345">
        <f>IF(coder1_YH!AF67="",AV66,coder1_YH!AF67)</f>
        <v>840</v>
      </c>
      <c r="AW67" s="345">
        <f t="shared" ref="AW67:AW130" si="37">IF(AV67="BAU","BAU",IF(AV67="NA","NA",AV67/60))</f>
        <v>14</v>
      </c>
      <c r="AX67" s="345">
        <f>IF(coder1_YH!AG67="",AX66,coder1_YH!AG67)</f>
        <v>14</v>
      </c>
      <c r="AY67" s="345">
        <f>IF(coder1_YH!AH67="",AY66,coder1_YH!AH67)</f>
        <v>60</v>
      </c>
      <c r="AZ67" s="345" t="str">
        <f>IF(coder1_YH!AI67 = "", AZ66, IF(coder1_YH!AI67="BAU","BAU",LEFT(coder1_YH!AI67)))</f>
        <v>BAU</v>
      </c>
      <c r="BA67" s="384">
        <f>clean_data!Y67</f>
        <v>31</v>
      </c>
    </row>
    <row r="68" spans="1:53" x14ac:dyDescent="0.2">
      <c r="A68" t="str">
        <f>coder1_YH!B68</f>
        <v>EX</v>
      </c>
      <c r="B68">
        <f>coder1_YH!C68</f>
        <v>68</v>
      </c>
      <c r="C68">
        <f>coder1_YH!D68</f>
        <v>0</v>
      </c>
      <c r="D68" t="str">
        <f>coder1_YH!E68</f>
        <v/>
      </c>
      <c r="E68" t="str">
        <f>coder1_YH!F68</f>
        <v/>
      </c>
      <c r="F68" s="321" t="str">
        <f>IF(coder1_YH!G68="", clean_mod!F67, coder1_YH!G68)</f>
        <v>Cuevas et al., 2012</v>
      </c>
      <c r="G68" s="321" t="str">
        <f t="shared" si="20"/>
        <v>116</v>
      </c>
      <c r="H68" s="321">
        <f>IF(coder1_YH!H68="", clean_mod!H67, coder1_YH!H68)</f>
        <v>116</v>
      </c>
      <c r="I68" s="404" t="str">
        <f t="shared" si="21"/>
        <v>2012</v>
      </c>
      <c r="J68" s="344" t="str">
        <f>IF(coder1_YH!I68="",J67,coder1_YH!I68)</f>
        <v>USA</v>
      </c>
      <c r="K68" s="345">
        <f t="shared" si="22"/>
        <v>0</v>
      </c>
      <c r="L68" s="344" t="str">
        <f>IF(coder1_YH!J68 = "",L67, coder1_YH!J68)</f>
        <v>English</v>
      </c>
      <c r="M68" s="345">
        <f t="shared" si="23"/>
        <v>0</v>
      </c>
      <c r="N68" s="345" t="str">
        <f>IF(coder1_YH!K68 = "", N67, LEFT(coder1_YH!K68,1))</f>
        <v>0</v>
      </c>
      <c r="O68" s="345" t="str">
        <f>IF(coder1_YH!L68 = "", O67, LEFT(coder1_YH!L68,1))</f>
        <v>0</v>
      </c>
      <c r="P68" s="345" t="str">
        <f>IF(coder1_YH!M68 = "", P67, LEFT(coder1_YH!M68,1))</f>
        <v>0</v>
      </c>
      <c r="Q68" s="321">
        <f>coder1_YH!P68</f>
        <v>0</v>
      </c>
      <c r="R68" s="321">
        <f>coder1_YH!Q68</f>
        <v>0</v>
      </c>
      <c r="S68" s="323" t="str">
        <f t="shared" si="24"/>
        <v/>
      </c>
      <c r="T68" s="323" t="str">
        <f t="shared" si="25"/>
        <v/>
      </c>
      <c r="U68" s="323" t="str">
        <f t="shared" si="26"/>
        <v/>
      </c>
      <c r="V68" s="323" t="str">
        <f t="shared" si="27"/>
        <v/>
      </c>
      <c r="W68" s="323">
        <f t="shared" si="28"/>
        <v>0</v>
      </c>
      <c r="X68" s="385" t="str">
        <f>IF(coder1_YH!N68 = "",X67,coder1_YH!N68)</f>
        <v>EX</v>
      </c>
      <c r="Y68" s="385" t="str">
        <f>IF(coder1_YH!O68 = "",Y67,coder1_YH!O68)</f>
        <v>EX</v>
      </c>
      <c r="Z68" s="385" t="str">
        <f t="shared" si="29"/>
        <v>M</v>
      </c>
      <c r="AA68" s="385" t="str">
        <f t="shared" si="30"/>
        <v>R</v>
      </c>
      <c r="AB68" s="385" t="str">
        <f t="shared" si="31"/>
        <v>MR</v>
      </c>
      <c r="AC68" s="323" t="str">
        <f t="shared" si="32"/>
        <v>EXEX</v>
      </c>
      <c r="AD68" s="323" t="str">
        <f t="shared" si="33"/>
        <v>EX_R</v>
      </c>
      <c r="AF68" s="369" t="str">
        <f t="shared" si="34"/>
        <v>116-EXEX</v>
      </c>
      <c r="AG68" s="369" t="str">
        <f t="shared" si="35"/>
        <v>116-EX_R</v>
      </c>
      <c r="AH68" s="344" t="str">
        <f>IF(coder1_YH!R68="",AH67,coder1_YH!R68)</f>
        <v>10</v>
      </c>
      <c r="AI68" s="344" t="str">
        <f t="shared" si="19"/>
        <v>10</v>
      </c>
      <c r="AJ68" s="345">
        <f t="shared" si="36"/>
        <v>1</v>
      </c>
      <c r="AK68" s="408">
        <f>IF(coder1_YH!S68="",AK67,coder1_YH!S68)</f>
        <v>16</v>
      </c>
      <c r="AL68" s="345">
        <f>IF(coder1_YH!T68="",AL67,IF(coder1_YH!T68="mixed",0.25,coder1_YH!T68))</f>
        <v>0</v>
      </c>
      <c r="AM68" s="345">
        <f>IF(coder1_YH!U68 = "", AM67, IF(coder1_YH!U68="mixed","NA",coder1_YH!U68))</f>
        <v>0</v>
      </c>
      <c r="AN68" s="345">
        <f>IF(coder1_YH!V68="",AN67,coder1_YH!V68)</f>
        <v>0.6</v>
      </c>
      <c r="AO68" s="345">
        <f>IF(coder1_YH!W68="",AO67,coder1_YH!W68)</f>
        <v>0</v>
      </c>
      <c r="AP68" s="345">
        <f>IF(coder1_YH!X68="",AP67,coder1_YH!X68)</f>
        <v>0.54</v>
      </c>
      <c r="AQ68" s="345">
        <f>IF(coder1_YH!Y68="",AQ67,coder1_YH!Y68)</f>
        <v>0.79</v>
      </c>
      <c r="AR68">
        <f>coder1_YH!AB68</f>
        <v>0</v>
      </c>
      <c r="AS68" s="345" t="str">
        <f>IF(coder1_YH!AC68 = "", AS67,IF(coder1_YH!AC68="BAU","BAU",LEFT(coder1_YH!AC68)))</f>
        <v>0</v>
      </c>
      <c r="AT68" s="345" t="str">
        <f>IF(coder1_YH!AD68 = "", AT67,IF(coder1_YH!AD68="BAU","BAU",LEFT(coder1_YH!AD68)))</f>
        <v>0</v>
      </c>
      <c r="AU68" s="345" t="str">
        <f>IF(coder1_YH!AE68 = "", AU67,IF(coder1_YH!AE68="BAU","BAU",LEFT(coder1_YH!AE68)))</f>
        <v>1</v>
      </c>
      <c r="AV68" s="345">
        <f>IF(coder1_YH!AF68="",AV67,coder1_YH!AF68)</f>
        <v>840</v>
      </c>
      <c r="AW68" s="345">
        <f t="shared" si="37"/>
        <v>14</v>
      </c>
      <c r="AX68" s="345">
        <f>IF(coder1_YH!AG68="",AX67,coder1_YH!AG68)</f>
        <v>14</v>
      </c>
      <c r="AY68" s="345">
        <f>IF(coder1_YH!AH68="",AY67,coder1_YH!AH68)</f>
        <v>60</v>
      </c>
      <c r="AZ68" s="345" t="str">
        <f>IF(coder1_YH!AI68 = "", AZ67, IF(coder1_YH!AI68="BAU","BAU",LEFT(coder1_YH!AI68)))</f>
        <v>BAU</v>
      </c>
      <c r="BA68" s="384">
        <f>clean_data!Y68</f>
        <v>31</v>
      </c>
    </row>
    <row r="69" spans="1:53" x14ac:dyDescent="0.2">
      <c r="A69" t="str">
        <f>coder1_YH!B69</f>
        <v>EX</v>
      </c>
      <c r="B69">
        <f>coder1_YH!C69</f>
        <v>69</v>
      </c>
      <c r="C69">
        <f>coder1_YH!D69</f>
        <v>0</v>
      </c>
      <c r="D69" t="str">
        <f>coder1_YH!E69</f>
        <v/>
      </c>
      <c r="E69" t="str">
        <f>coder1_YH!F69</f>
        <v/>
      </c>
      <c r="F69" s="321" t="str">
        <f>IF(coder1_YH!G69="", clean_mod!F68, coder1_YH!G69)</f>
        <v>Cuevas et al., 2012</v>
      </c>
      <c r="G69" s="321" t="str">
        <f t="shared" si="20"/>
        <v>116</v>
      </c>
      <c r="H69" s="321">
        <f>IF(coder1_YH!H69="", clean_mod!H68, coder1_YH!H69)</f>
        <v>116</v>
      </c>
      <c r="I69" s="404" t="str">
        <f t="shared" si="21"/>
        <v>2012</v>
      </c>
      <c r="J69" s="344" t="str">
        <f>IF(coder1_YH!I69="",J68,coder1_YH!I69)</f>
        <v>USA</v>
      </c>
      <c r="K69" s="345">
        <f t="shared" si="22"/>
        <v>0</v>
      </c>
      <c r="L69" s="344" t="str">
        <f>IF(coder1_YH!J69 = "",L68, coder1_YH!J69)</f>
        <v>English</v>
      </c>
      <c r="M69" s="345">
        <f t="shared" si="23"/>
        <v>0</v>
      </c>
      <c r="N69" s="345" t="str">
        <f>IF(coder1_YH!K69 = "", N68, LEFT(coder1_YH!K69,1))</f>
        <v>0</v>
      </c>
      <c r="O69" s="345" t="str">
        <f>IF(coder1_YH!L69 = "", O68, LEFT(coder1_YH!L69,1))</f>
        <v>0</v>
      </c>
      <c r="P69" s="345" t="str">
        <f>IF(coder1_YH!M69 = "", P68, LEFT(coder1_YH!M69,1))</f>
        <v>0</v>
      </c>
      <c r="Q69" s="321">
        <f>coder1_YH!P69</f>
        <v>0</v>
      </c>
      <c r="R69" s="321">
        <f>coder1_YH!Q69</f>
        <v>0</v>
      </c>
      <c r="S69" s="323" t="str">
        <f t="shared" si="24"/>
        <v/>
      </c>
      <c r="T69" s="323" t="str">
        <f t="shared" si="25"/>
        <v/>
      </c>
      <c r="U69" s="323" t="str">
        <f t="shared" si="26"/>
        <v/>
      </c>
      <c r="V69" s="323" t="str">
        <f t="shared" si="27"/>
        <v/>
      </c>
      <c r="W69" s="323">
        <f t="shared" si="28"/>
        <v>0</v>
      </c>
      <c r="X69" s="385" t="str">
        <f>IF(coder1_YH!N69 = "",X68,coder1_YH!N69)</f>
        <v>EX</v>
      </c>
      <c r="Y69" s="385" t="str">
        <f>IF(coder1_YH!O69 = "",Y68,coder1_YH!O69)</f>
        <v>EX</v>
      </c>
      <c r="Z69" s="385" t="str">
        <f t="shared" si="29"/>
        <v>M</v>
      </c>
      <c r="AA69" s="385" t="str">
        <f t="shared" si="30"/>
        <v>R</v>
      </c>
      <c r="AB69" s="385" t="str">
        <f t="shared" si="31"/>
        <v>MR</v>
      </c>
      <c r="AC69" s="323" t="str">
        <f t="shared" si="32"/>
        <v>EXEX</v>
      </c>
      <c r="AD69" s="323" t="str">
        <f t="shared" si="33"/>
        <v>EX_R</v>
      </c>
      <c r="AF69" s="369" t="str">
        <f t="shared" si="34"/>
        <v>116-EXEX</v>
      </c>
      <c r="AG69" s="369" t="str">
        <f t="shared" si="35"/>
        <v>116-EX_R</v>
      </c>
      <c r="AH69" s="344" t="str">
        <f>IF(coder1_YH!R69="",AH68,coder1_YH!R69)</f>
        <v>10</v>
      </c>
      <c r="AI69" s="344" t="str">
        <f t="shared" si="19"/>
        <v>10</v>
      </c>
      <c r="AJ69" s="345">
        <f t="shared" si="36"/>
        <v>1</v>
      </c>
      <c r="AK69" s="408">
        <f>IF(coder1_YH!S69="",AK68,coder1_YH!S69)</f>
        <v>16</v>
      </c>
      <c r="AL69" s="345">
        <f>IF(coder1_YH!T69="",AL68,IF(coder1_YH!T69="mixed",0.25,coder1_YH!T69))</f>
        <v>0</v>
      </c>
      <c r="AM69" s="345">
        <f>IF(coder1_YH!U69 = "", AM68, IF(coder1_YH!U69="mixed","NA",coder1_YH!U69))</f>
        <v>0</v>
      </c>
      <c r="AN69" s="345">
        <f>IF(coder1_YH!V69="",AN68,coder1_YH!V69)</f>
        <v>0.6</v>
      </c>
      <c r="AO69" s="345">
        <f>IF(coder1_YH!W69="",AO68,coder1_YH!W69)</f>
        <v>0</v>
      </c>
      <c r="AP69" s="345">
        <f>IF(coder1_YH!X69="",AP68,coder1_YH!X69)</f>
        <v>0.54</v>
      </c>
      <c r="AQ69" s="345">
        <f>IF(coder1_YH!Y69="",AQ68,coder1_YH!Y69)</f>
        <v>0.79</v>
      </c>
      <c r="AR69">
        <f>coder1_YH!AB69</f>
        <v>0</v>
      </c>
      <c r="AS69" s="345" t="str">
        <f>IF(coder1_YH!AC69 = "", AS68,IF(coder1_YH!AC69="BAU","BAU",LEFT(coder1_YH!AC69)))</f>
        <v>0</v>
      </c>
      <c r="AT69" s="345" t="str">
        <f>IF(coder1_YH!AD69 = "", AT68,IF(coder1_YH!AD69="BAU","BAU",LEFT(coder1_YH!AD69)))</f>
        <v>0</v>
      </c>
      <c r="AU69" s="345" t="str">
        <f>IF(coder1_YH!AE69 = "", AU68,IF(coder1_YH!AE69="BAU","BAU",LEFT(coder1_YH!AE69)))</f>
        <v>1</v>
      </c>
      <c r="AV69" s="345">
        <f>IF(coder1_YH!AF69="",AV68,coder1_YH!AF69)</f>
        <v>840</v>
      </c>
      <c r="AW69" s="345">
        <f t="shared" si="37"/>
        <v>14</v>
      </c>
      <c r="AX69" s="345">
        <f>IF(coder1_YH!AG69="",AX68,coder1_YH!AG69)</f>
        <v>14</v>
      </c>
      <c r="AY69" s="345">
        <f>IF(coder1_YH!AH69="",AY68,coder1_YH!AH69)</f>
        <v>60</v>
      </c>
      <c r="AZ69" s="345" t="str">
        <f>IF(coder1_YH!AI69 = "", AZ68, IF(coder1_YH!AI69="BAU","BAU",LEFT(coder1_YH!AI69)))</f>
        <v>BAU</v>
      </c>
      <c r="BA69" s="384">
        <f>clean_data!Y69</f>
        <v>31</v>
      </c>
    </row>
    <row r="70" spans="1:53" x14ac:dyDescent="0.2">
      <c r="A70" t="str">
        <f>coder1_YH!B70</f>
        <v>EX</v>
      </c>
      <c r="B70">
        <f>coder1_YH!C70</f>
        <v>70</v>
      </c>
      <c r="C70">
        <f>coder1_YH!D70</f>
        <v>0</v>
      </c>
      <c r="D70" t="str">
        <f>coder1_YH!E70</f>
        <v/>
      </c>
      <c r="E70" t="b">
        <f>coder1_YH!F70</f>
        <v>1</v>
      </c>
      <c r="F70" s="321" t="str">
        <f>IF(coder1_YH!G70="", clean_mod!F69, coder1_YH!G70)</f>
        <v>Cuevas et al., 2012</v>
      </c>
      <c r="G70" s="321" t="str">
        <f t="shared" si="20"/>
        <v>116</v>
      </c>
      <c r="H70" s="321">
        <f>IF(coder1_YH!H70="", clean_mod!H69, coder1_YH!H70)</f>
        <v>116</v>
      </c>
      <c r="I70" s="404" t="str">
        <f t="shared" si="21"/>
        <v>2012</v>
      </c>
      <c r="J70" s="344" t="str">
        <f>IF(coder1_YH!I70="",J69,coder1_YH!I70)</f>
        <v>USA</v>
      </c>
      <c r="K70" s="345">
        <f t="shared" si="22"/>
        <v>0</v>
      </c>
      <c r="L70" s="344" t="str">
        <f>IF(coder1_YH!J70 = "",L69, coder1_YH!J70)</f>
        <v>English</v>
      </c>
      <c r="M70" s="345">
        <f t="shared" si="23"/>
        <v>0</v>
      </c>
      <c r="N70" s="345" t="str">
        <f>IF(coder1_YH!K70 = "", N69, LEFT(coder1_YH!K70,1))</f>
        <v>0</v>
      </c>
      <c r="O70" s="345" t="str">
        <f>IF(coder1_YH!L70 = "", O69, LEFT(coder1_YH!L70,1))</f>
        <v>0</v>
      </c>
      <c r="P70" s="345" t="str">
        <f>IF(coder1_YH!M70 = "", P69, LEFT(coder1_YH!M70,1))</f>
        <v>0</v>
      </c>
      <c r="Q70" s="321">
        <f>coder1_YH!P70</f>
        <v>2</v>
      </c>
      <c r="R70" s="321" t="str">
        <f>coder1_YH!Q70</f>
        <v>2module ISR (30)</v>
      </c>
      <c r="S70" s="323" t="str">
        <f t="shared" si="24"/>
        <v/>
      </c>
      <c r="T70" s="323" t="str">
        <f t="shared" si="25"/>
        <v/>
      </c>
      <c r="U70" s="323" t="str">
        <f t="shared" si="26"/>
        <v/>
      </c>
      <c r="V70" s="323" t="str">
        <f t="shared" si="27"/>
        <v/>
      </c>
      <c r="W70" s="323">
        <f t="shared" si="28"/>
        <v>0</v>
      </c>
      <c r="X70" s="385" t="str">
        <f>IF(coder1_YH!N70 = "",X69,coder1_YH!N70)</f>
        <v>EX</v>
      </c>
      <c r="Y70" s="385" t="str">
        <f>IF(coder1_YH!O70 = "",Y69,coder1_YH!O70)</f>
        <v>EX</v>
      </c>
      <c r="Z70" s="385" t="str">
        <f t="shared" si="29"/>
        <v>M</v>
      </c>
      <c r="AA70" s="385" t="str">
        <f t="shared" si="30"/>
        <v>R</v>
      </c>
      <c r="AB70" s="385" t="str">
        <f t="shared" si="31"/>
        <v>MR</v>
      </c>
      <c r="AC70" s="323" t="str">
        <f t="shared" si="32"/>
        <v>EXEX</v>
      </c>
      <c r="AD70" s="323" t="str">
        <f t="shared" si="33"/>
        <v>EX_R</v>
      </c>
      <c r="AF70" s="369" t="str">
        <f t="shared" si="34"/>
        <v>116-EXEX</v>
      </c>
      <c r="AG70" s="369" t="str">
        <f t="shared" si="35"/>
        <v>116-EX_R</v>
      </c>
      <c r="AH70" s="344" t="str">
        <f>IF(coder1_YH!R70="",AH69,coder1_YH!R70)</f>
        <v>10</v>
      </c>
      <c r="AI70" s="344" t="str">
        <f t="shared" si="19"/>
        <v>10</v>
      </c>
      <c r="AJ70" s="345">
        <f t="shared" si="36"/>
        <v>1</v>
      </c>
      <c r="AK70" s="408">
        <f>IF(coder1_YH!S70="",AK69,coder1_YH!S70)</f>
        <v>16</v>
      </c>
      <c r="AL70" s="345">
        <f>IF(coder1_YH!T70="",AL69,IF(coder1_YH!T70="mixed",0.25,coder1_YH!T70))</f>
        <v>0</v>
      </c>
      <c r="AM70" s="345">
        <f>IF(coder1_YH!U70 = "", AM69, IF(coder1_YH!U70="mixed","NA",coder1_YH!U70))</f>
        <v>0</v>
      </c>
      <c r="AN70" s="345">
        <f>IF(coder1_YH!V70="",AN69,coder1_YH!V70)</f>
        <v>0.6</v>
      </c>
      <c r="AO70" s="345">
        <f>IF(coder1_YH!W70="",AO69,coder1_YH!W70)</f>
        <v>0</v>
      </c>
      <c r="AP70" s="345">
        <f>IF(coder1_YH!X70="",AP69,coder1_YH!X70)</f>
        <v>0.54</v>
      </c>
      <c r="AQ70" s="345">
        <f>IF(coder1_YH!Y70="",AQ69,coder1_YH!Y70)</f>
        <v>0.79</v>
      </c>
      <c r="AR70" t="str">
        <f>coder1_YH!AB70</f>
        <v>0 = Researcher-developed curriculum</v>
      </c>
      <c r="AS70" s="345" t="str">
        <f>IF(coder1_YH!AC70 = "", AS69,IF(coder1_YH!AC70="BAU","BAU",LEFT(coder1_YH!AC70)))</f>
        <v>0</v>
      </c>
      <c r="AT70" s="345" t="str">
        <f>IF(coder1_YH!AD70 = "", AT69,IF(coder1_YH!AD70="BAU","BAU",LEFT(coder1_YH!AD70)))</f>
        <v>0</v>
      </c>
      <c r="AU70" s="345" t="str">
        <f>IF(coder1_YH!AE70 = "", AU69,IF(coder1_YH!AE70="BAU","BAU",LEFT(coder1_YH!AE70)))</f>
        <v>1</v>
      </c>
      <c r="AV70" s="345">
        <f>IF(coder1_YH!AF70="",AV69,coder1_YH!AF70)</f>
        <v>840</v>
      </c>
      <c r="AW70" s="345">
        <f t="shared" si="37"/>
        <v>14</v>
      </c>
      <c r="AX70" s="345">
        <f>IF(coder1_YH!AG70="",AX69,coder1_YH!AG70)</f>
        <v>14</v>
      </c>
      <c r="AY70" s="345">
        <f>IF(coder1_YH!AH70="",AY69,coder1_YH!AH70)</f>
        <v>60</v>
      </c>
      <c r="AZ70" s="345" t="str">
        <f>IF(coder1_YH!AI70 = "", AZ69, IF(coder1_YH!AI70="BAU","BAU",LEFT(coder1_YH!AI70)))</f>
        <v>BAU</v>
      </c>
      <c r="BA70" s="384">
        <f>clean_data!Y70</f>
        <v>24</v>
      </c>
    </row>
    <row r="71" spans="1:53" x14ac:dyDescent="0.2">
      <c r="A71" t="str">
        <f>coder1_YH!B71</f>
        <v>EX</v>
      </c>
      <c r="B71">
        <f>coder1_YH!C71</f>
        <v>71</v>
      </c>
      <c r="C71">
        <f>coder1_YH!D71</f>
        <v>0</v>
      </c>
      <c r="D71" t="str">
        <f>coder1_YH!E71</f>
        <v/>
      </c>
      <c r="E71" t="str">
        <f>coder1_YH!F71</f>
        <v/>
      </c>
      <c r="F71" s="321" t="str">
        <f>IF(coder1_YH!G71="", clean_mod!F70, coder1_YH!G71)</f>
        <v>Cuevas et al., 2012</v>
      </c>
      <c r="G71" s="321" t="str">
        <f t="shared" si="20"/>
        <v>116</v>
      </c>
      <c r="H71" s="321">
        <f>IF(coder1_YH!H71="", clean_mod!H70, coder1_YH!H71)</f>
        <v>116</v>
      </c>
      <c r="I71" s="404" t="str">
        <f t="shared" si="21"/>
        <v>2012</v>
      </c>
      <c r="J71" s="344" t="str">
        <f>IF(coder1_YH!I71="",J70,coder1_YH!I71)</f>
        <v>USA</v>
      </c>
      <c r="K71" s="345">
        <f t="shared" si="22"/>
        <v>0</v>
      </c>
      <c r="L71" s="344" t="str">
        <f>IF(coder1_YH!J71 = "",L70, coder1_YH!J71)</f>
        <v>English</v>
      </c>
      <c r="M71" s="345">
        <f t="shared" si="23"/>
        <v>0</v>
      </c>
      <c r="N71" s="345" t="str">
        <f>IF(coder1_YH!K71 = "", N70, LEFT(coder1_YH!K71,1))</f>
        <v>0</v>
      </c>
      <c r="O71" s="345" t="str">
        <f>IF(coder1_YH!L71 = "", O70, LEFT(coder1_YH!L71,1))</f>
        <v>0</v>
      </c>
      <c r="P71" s="345" t="str">
        <f>IF(coder1_YH!M71 = "", P70, LEFT(coder1_YH!M71,1))</f>
        <v>0</v>
      </c>
      <c r="Q71" s="321">
        <f>coder1_YH!P71</f>
        <v>0</v>
      </c>
      <c r="R71" s="321">
        <f>coder1_YH!Q71</f>
        <v>0</v>
      </c>
      <c r="S71" s="323" t="str">
        <f t="shared" si="24"/>
        <v/>
      </c>
      <c r="T71" s="323" t="str">
        <f t="shared" si="25"/>
        <v/>
      </c>
      <c r="U71" s="323" t="str">
        <f t="shared" si="26"/>
        <v/>
      </c>
      <c r="V71" s="323" t="str">
        <f t="shared" si="27"/>
        <v/>
      </c>
      <c r="W71" s="323">
        <f t="shared" si="28"/>
        <v>0</v>
      </c>
      <c r="X71" s="385" t="str">
        <f>IF(coder1_YH!N71 = "",X70,coder1_YH!N71)</f>
        <v>EX</v>
      </c>
      <c r="Y71" s="385" t="str">
        <f>IF(coder1_YH!O71 = "",Y70,coder1_YH!O71)</f>
        <v>EX</v>
      </c>
      <c r="Z71" s="385" t="str">
        <f t="shared" si="29"/>
        <v>M</v>
      </c>
      <c r="AA71" s="385" t="str">
        <f t="shared" si="30"/>
        <v>R</v>
      </c>
      <c r="AB71" s="385" t="str">
        <f t="shared" si="31"/>
        <v>MR</v>
      </c>
      <c r="AC71" s="323" t="str">
        <f t="shared" si="32"/>
        <v>EXEX</v>
      </c>
      <c r="AD71" s="323" t="str">
        <f t="shared" si="33"/>
        <v>EX_R</v>
      </c>
      <c r="AF71" s="369" t="str">
        <f t="shared" si="34"/>
        <v>116-EXEX</v>
      </c>
      <c r="AG71" s="369" t="str">
        <f t="shared" si="35"/>
        <v>116-EX_R</v>
      </c>
      <c r="AH71" s="344" t="str">
        <f>IF(coder1_YH!R71="",AH70,coder1_YH!R71)</f>
        <v>10</v>
      </c>
      <c r="AI71" s="344" t="str">
        <f t="shared" si="19"/>
        <v>10</v>
      </c>
      <c r="AJ71" s="345">
        <f t="shared" si="36"/>
        <v>1</v>
      </c>
      <c r="AK71" s="408">
        <f>IF(coder1_YH!S71="",AK70,coder1_YH!S71)</f>
        <v>16</v>
      </c>
      <c r="AL71" s="345">
        <f>IF(coder1_YH!T71="",AL70,IF(coder1_YH!T71="mixed",0.25,coder1_YH!T71))</f>
        <v>0</v>
      </c>
      <c r="AM71" s="345">
        <f>IF(coder1_YH!U71 = "", AM70, IF(coder1_YH!U71="mixed","NA",coder1_YH!U71))</f>
        <v>0</v>
      </c>
      <c r="AN71" s="345">
        <f>IF(coder1_YH!V71="",AN70,coder1_YH!V71)</f>
        <v>0.6</v>
      </c>
      <c r="AO71" s="345">
        <f>IF(coder1_YH!W71="",AO70,coder1_YH!W71)</f>
        <v>0</v>
      </c>
      <c r="AP71" s="345">
        <f>IF(coder1_YH!X71="",AP70,coder1_YH!X71)</f>
        <v>0.54</v>
      </c>
      <c r="AQ71" s="345">
        <f>IF(coder1_YH!Y71="",AQ70,coder1_YH!Y71)</f>
        <v>0.79</v>
      </c>
      <c r="AR71">
        <f>coder1_YH!AB71</f>
        <v>0</v>
      </c>
      <c r="AS71" s="345" t="str">
        <f>IF(coder1_YH!AC71 = "", AS70,IF(coder1_YH!AC71="BAU","BAU",LEFT(coder1_YH!AC71)))</f>
        <v>0</v>
      </c>
      <c r="AT71" s="345" t="str">
        <f>IF(coder1_YH!AD71 = "", AT70,IF(coder1_YH!AD71="BAU","BAU",LEFT(coder1_YH!AD71)))</f>
        <v>0</v>
      </c>
      <c r="AU71" s="345" t="str">
        <f>IF(coder1_YH!AE71 = "", AU70,IF(coder1_YH!AE71="BAU","BAU",LEFT(coder1_YH!AE71)))</f>
        <v>1</v>
      </c>
      <c r="AV71" s="345">
        <f>IF(coder1_YH!AF71="",AV70,coder1_YH!AF71)</f>
        <v>840</v>
      </c>
      <c r="AW71" s="345">
        <f t="shared" si="37"/>
        <v>14</v>
      </c>
      <c r="AX71" s="345">
        <f>IF(coder1_YH!AG71="",AX70,coder1_YH!AG71)</f>
        <v>14</v>
      </c>
      <c r="AY71" s="345">
        <f>IF(coder1_YH!AH71="",AY70,coder1_YH!AH71)</f>
        <v>60</v>
      </c>
      <c r="AZ71" s="345" t="str">
        <f>IF(coder1_YH!AI71 = "", AZ70, IF(coder1_YH!AI71="BAU","BAU",LEFT(coder1_YH!AI71)))</f>
        <v>BAU</v>
      </c>
      <c r="BA71" s="384">
        <f>clean_data!Y71</f>
        <v>19</v>
      </c>
    </row>
    <row r="72" spans="1:53" x14ac:dyDescent="0.2">
      <c r="A72" t="str">
        <f>coder1_YH!B72</f>
        <v>EX</v>
      </c>
      <c r="B72">
        <f>coder1_YH!C72</f>
        <v>72</v>
      </c>
      <c r="C72">
        <f>coder1_YH!D72</f>
        <v>0</v>
      </c>
      <c r="D72" t="str">
        <f>coder1_YH!E72</f>
        <v/>
      </c>
      <c r="E72" t="str">
        <f>coder1_YH!F72</f>
        <v/>
      </c>
      <c r="F72" s="321" t="str">
        <f>IF(coder1_YH!G72="", clean_mod!F71, coder1_YH!G72)</f>
        <v>Cuevas et al., 2012</v>
      </c>
      <c r="G72" s="321" t="str">
        <f t="shared" si="20"/>
        <v>116</v>
      </c>
      <c r="H72" s="321">
        <f>IF(coder1_YH!H72="", clean_mod!H71, coder1_YH!H72)</f>
        <v>116</v>
      </c>
      <c r="I72" s="404" t="str">
        <f t="shared" si="21"/>
        <v>2012</v>
      </c>
      <c r="J72" s="344" t="str">
        <f>IF(coder1_YH!I72="",J71,coder1_YH!I72)</f>
        <v>USA</v>
      </c>
      <c r="K72" s="345">
        <f t="shared" si="22"/>
        <v>0</v>
      </c>
      <c r="L72" s="344" t="str">
        <f>IF(coder1_YH!J72 = "",L71, coder1_YH!J72)</f>
        <v>English</v>
      </c>
      <c r="M72" s="345">
        <f t="shared" si="23"/>
        <v>0</v>
      </c>
      <c r="N72" s="345" t="str">
        <f>IF(coder1_YH!K72 = "", N71, LEFT(coder1_YH!K72,1))</f>
        <v>0</v>
      </c>
      <c r="O72" s="345" t="str">
        <f>IF(coder1_YH!L72 = "", O71, LEFT(coder1_YH!L72,1))</f>
        <v>0</v>
      </c>
      <c r="P72" s="345" t="str">
        <f>IF(coder1_YH!M72 = "", P71, LEFT(coder1_YH!M72,1))</f>
        <v>0</v>
      </c>
      <c r="Q72" s="321">
        <f>coder1_YH!P72</f>
        <v>0</v>
      </c>
      <c r="R72" s="321">
        <f>coder1_YH!Q72</f>
        <v>0</v>
      </c>
      <c r="S72" s="323" t="str">
        <f t="shared" si="24"/>
        <v/>
      </c>
      <c r="T72" s="323" t="str">
        <f t="shared" si="25"/>
        <v/>
      </c>
      <c r="U72" s="323" t="str">
        <f t="shared" si="26"/>
        <v/>
      </c>
      <c r="V72" s="323" t="str">
        <f t="shared" si="27"/>
        <v/>
      </c>
      <c r="W72" s="323">
        <f t="shared" si="28"/>
        <v>0</v>
      </c>
      <c r="X72" s="385" t="str">
        <f>IF(coder1_YH!N72 = "",X71,coder1_YH!N72)</f>
        <v>EX</v>
      </c>
      <c r="Y72" s="385" t="str">
        <f>IF(coder1_YH!O72 = "",Y71,coder1_YH!O72)</f>
        <v>EX</v>
      </c>
      <c r="Z72" s="385" t="str">
        <f t="shared" si="29"/>
        <v>M</v>
      </c>
      <c r="AA72" s="385" t="str">
        <f t="shared" si="30"/>
        <v>R</v>
      </c>
      <c r="AB72" s="385" t="str">
        <f t="shared" si="31"/>
        <v>MR</v>
      </c>
      <c r="AC72" s="323" t="str">
        <f t="shared" si="32"/>
        <v>EXEX</v>
      </c>
      <c r="AD72" s="323" t="str">
        <f t="shared" si="33"/>
        <v>EX_R</v>
      </c>
      <c r="AF72" s="369" t="str">
        <f t="shared" si="34"/>
        <v>116-EXEX</v>
      </c>
      <c r="AG72" s="369" t="str">
        <f t="shared" si="35"/>
        <v>116-EX_R</v>
      </c>
      <c r="AH72" s="344" t="str">
        <f>IF(coder1_YH!R72="",AH71,coder1_YH!R72)</f>
        <v>10</v>
      </c>
      <c r="AI72" s="344" t="str">
        <f t="shared" si="19"/>
        <v>10</v>
      </c>
      <c r="AJ72" s="345">
        <f t="shared" si="36"/>
        <v>1</v>
      </c>
      <c r="AK72" s="408">
        <f>IF(coder1_YH!S72="",AK71,coder1_YH!S72)</f>
        <v>16</v>
      </c>
      <c r="AL72" s="345">
        <f>IF(coder1_YH!T72="",AL71,IF(coder1_YH!T72="mixed",0.25,coder1_YH!T72))</f>
        <v>0</v>
      </c>
      <c r="AM72" s="345">
        <f>IF(coder1_YH!U72 = "", AM71, IF(coder1_YH!U72="mixed","NA",coder1_YH!U72))</f>
        <v>0</v>
      </c>
      <c r="AN72" s="345">
        <f>IF(coder1_YH!V72="",AN71,coder1_YH!V72)</f>
        <v>0.6</v>
      </c>
      <c r="AO72" s="345">
        <f>IF(coder1_YH!W72="",AO71,coder1_YH!W72)</f>
        <v>0</v>
      </c>
      <c r="AP72" s="345">
        <f>IF(coder1_YH!X72="",AP71,coder1_YH!X72)</f>
        <v>0.54</v>
      </c>
      <c r="AQ72" s="345">
        <f>IF(coder1_YH!Y72="",AQ71,coder1_YH!Y72)</f>
        <v>0.79</v>
      </c>
      <c r="AR72">
        <f>coder1_YH!AB72</f>
        <v>0</v>
      </c>
      <c r="AS72" s="345" t="str">
        <f>IF(coder1_YH!AC72 = "", AS71,IF(coder1_YH!AC72="BAU","BAU",LEFT(coder1_YH!AC72)))</f>
        <v>0</v>
      </c>
      <c r="AT72" s="345" t="str">
        <f>IF(coder1_YH!AD72 = "", AT71,IF(coder1_YH!AD72="BAU","BAU",LEFT(coder1_YH!AD72)))</f>
        <v>0</v>
      </c>
      <c r="AU72" s="345" t="str">
        <f>IF(coder1_YH!AE72 = "", AU71,IF(coder1_YH!AE72="BAU","BAU",LEFT(coder1_YH!AE72)))</f>
        <v>1</v>
      </c>
      <c r="AV72" s="345">
        <f>IF(coder1_YH!AF72="",AV71,coder1_YH!AF72)</f>
        <v>840</v>
      </c>
      <c r="AW72" s="345">
        <f t="shared" si="37"/>
        <v>14</v>
      </c>
      <c r="AX72" s="345">
        <f>IF(coder1_YH!AG72="",AX71,coder1_YH!AG72)</f>
        <v>14</v>
      </c>
      <c r="AY72" s="345">
        <f>IF(coder1_YH!AH72="",AY71,coder1_YH!AH72)</f>
        <v>60</v>
      </c>
      <c r="AZ72" s="345" t="str">
        <f>IF(coder1_YH!AI72 = "", AZ71, IF(coder1_YH!AI72="BAU","BAU",LEFT(coder1_YH!AI72)))</f>
        <v>BAU</v>
      </c>
      <c r="BA72" s="384">
        <f>clean_data!Y72</f>
        <v>19</v>
      </c>
    </row>
    <row r="73" spans="1:53" x14ac:dyDescent="0.2">
      <c r="A73" t="str">
        <f>coder1_YH!B73</f>
        <v>EX</v>
      </c>
      <c r="B73">
        <f>coder1_YH!C73</f>
        <v>73</v>
      </c>
      <c r="C73">
        <f>coder1_YH!D73</f>
        <v>0</v>
      </c>
      <c r="D73" t="str">
        <f>coder1_YH!E73</f>
        <v/>
      </c>
      <c r="E73" t="str">
        <f>coder1_YH!F73</f>
        <v/>
      </c>
      <c r="F73" s="321" t="str">
        <f>IF(coder1_YH!G73="", clean_mod!F72, coder1_YH!G73)</f>
        <v>Cuevas et al., 2012</v>
      </c>
      <c r="G73" s="321" t="str">
        <f t="shared" si="20"/>
        <v>116</v>
      </c>
      <c r="H73" s="321">
        <f>IF(coder1_YH!H73="", clean_mod!H72, coder1_YH!H73)</f>
        <v>116</v>
      </c>
      <c r="I73" s="404" t="str">
        <f t="shared" si="21"/>
        <v>2012</v>
      </c>
      <c r="J73" s="344" t="str">
        <f>IF(coder1_YH!I73="",J72,coder1_YH!I73)</f>
        <v>USA</v>
      </c>
      <c r="K73" s="345">
        <f t="shared" si="22"/>
        <v>0</v>
      </c>
      <c r="L73" s="344" t="str">
        <f>IF(coder1_YH!J73 = "",L72, coder1_YH!J73)</f>
        <v>English</v>
      </c>
      <c r="M73" s="345">
        <f t="shared" si="23"/>
        <v>0</v>
      </c>
      <c r="N73" s="345" t="str">
        <f>IF(coder1_YH!K73 = "", N72, LEFT(coder1_YH!K73,1))</f>
        <v>0</v>
      </c>
      <c r="O73" s="345" t="str">
        <f>IF(coder1_YH!L73 = "", O72, LEFT(coder1_YH!L73,1))</f>
        <v>0</v>
      </c>
      <c r="P73" s="345" t="str">
        <f>IF(coder1_YH!M73 = "", P72, LEFT(coder1_YH!M73,1))</f>
        <v>0</v>
      </c>
      <c r="Q73" s="321">
        <f>coder1_YH!P73</f>
        <v>0</v>
      </c>
      <c r="R73" s="321">
        <f>coder1_YH!Q73</f>
        <v>0</v>
      </c>
      <c r="S73" s="323" t="str">
        <f t="shared" si="24"/>
        <v/>
      </c>
      <c r="T73" s="323" t="str">
        <f t="shared" si="25"/>
        <v/>
      </c>
      <c r="U73" s="323" t="str">
        <f t="shared" si="26"/>
        <v/>
      </c>
      <c r="V73" s="323" t="str">
        <f t="shared" si="27"/>
        <v/>
      </c>
      <c r="W73" s="323">
        <f t="shared" si="28"/>
        <v>0</v>
      </c>
      <c r="X73" s="385" t="str">
        <f>IF(coder1_YH!N73 = "",X72,coder1_YH!N73)</f>
        <v>EX</v>
      </c>
      <c r="Y73" s="385" t="str">
        <f>IF(coder1_YH!O73 = "",Y72,coder1_YH!O73)</f>
        <v>EX</v>
      </c>
      <c r="Z73" s="385" t="str">
        <f t="shared" si="29"/>
        <v>M</v>
      </c>
      <c r="AA73" s="385" t="str">
        <f t="shared" si="30"/>
        <v>R</v>
      </c>
      <c r="AB73" s="385" t="str">
        <f t="shared" si="31"/>
        <v>MR</v>
      </c>
      <c r="AC73" s="323" t="str">
        <f t="shared" si="32"/>
        <v>EXEX</v>
      </c>
      <c r="AD73" s="323" t="str">
        <f t="shared" si="33"/>
        <v>EX_R</v>
      </c>
      <c r="AF73" s="369" t="str">
        <f t="shared" si="34"/>
        <v>116-EXEX</v>
      </c>
      <c r="AG73" s="369" t="str">
        <f t="shared" si="35"/>
        <v>116-EX_R</v>
      </c>
      <c r="AH73" s="344" t="str">
        <f>IF(coder1_YH!R73="",AH72,coder1_YH!R73)</f>
        <v>10</v>
      </c>
      <c r="AI73" s="344" t="str">
        <f t="shared" si="19"/>
        <v>10</v>
      </c>
      <c r="AJ73" s="345">
        <f t="shared" si="36"/>
        <v>1</v>
      </c>
      <c r="AK73" s="408">
        <f>IF(coder1_YH!S73="",AK72,coder1_YH!S73)</f>
        <v>16</v>
      </c>
      <c r="AL73" s="345">
        <f>IF(coder1_YH!T73="",AL72,IF(coder1_YH!T73="mixed",0.25,coder1_YH!T73))</f>
        <v>0</v>
      </c>
      <c r="AM73" s="345">
        <f>IF(coder1_YH!U73 = "", AM72, IF(coder1_YH!U73="mixed","NA",coder1_YH!U73))</f>
        <v>0</v>
      </c>
      <c r="AN73" s="345">
        <f>IF(coder1_YH!V73="",AN72,coder1_YH!V73)</f>
        <v>0.6</v>
      </c>
      <c r="AO73" s="345">
        <f>IF(coder1_YH!W73="",AO72,coder1_YH!W73)</f>
        <v>0</v>
      </c>
      <c r="AP73" s="345">
        <f>IF(coder1_YH!X73="",AP72,coder1_YH!X73)</f>
        <v>0.54</v>
      </c>
      <c r="AQ73" s="345">
        <f>IF(coder1_YH!Y73="",AQ72,coder1_YH!Y73)</f>
        <v>0.79</v>
      </c>
      <c r="AR73">
        <f>coder1_YH!AB73</f>
        <v>0</v>
      </c>
      <c r="AS73" s="345" t="str">
        <f>IF(coder1_YH!AC73 = "", AS72,IF(coder1_YH!AC73="BAU","BAU",LEFT(coder1_YH!AC73)))</f>
        <v>0</v>
      </c>
      <c r="AT73" s="345" t="str">
        <f>IF(coder1_YH!AD73 = "", AT72,IF(coder1_YH!AD73="BAU","BAU",LEFT(coder1_YH!AD73)))</f>
        <v>0</v>
      </c>
      <c r="AU73" s="345" t="str">
        <f>IF(coder1_YH!AE73 = "", AU72,IF(coder1_YH!AE73="BAU","BAU",LEFT(coder1_YH!AE73)))</f>
        <v>1</v>
      </c>
      <c r="AV73" s="345">
        <f>IF(coder1_YH!AF73="",AV72,coder1_YH!AF73)</f>
        <v>840</v>
      </c>
      <c r="AW73" s="345">
        <f t="shared" si="37"/>
        <v>14</v>
      </c>
      <c r="AX73" s="345">
        <f>IF(coder1_YH!AG73="",AX72,coder1_YH!AG73)</f>
        <v>14</v>
      </c>
      <c r="AY73" s="345">
        <f>IF(coder1_YH!AH73="",AY72,coder1_YH!AH73)</f>
        <v>60</v>
      </c>
      <c r="AZ73" s="345" t="str">
        <f>IF(coder1_YH!AI73 = "", AZ72, IF(coder1_YH!AI73="BAU","BAU",LEFT(coder1_YH!AI73)))</f>
        <v>BAU</v>
      </c>
      <c r="BA73" s="384">
        <f>clean_data!Y73</f>
        <v>19</v>
      </c>
    </row>
    <row r="74" spans="1:53" x14ac:dyDescent="0.2">
      <c r="A74" t="str">
        <f>coder1_YH!B74</f>
        <v>EX</v>
      </c>
      <c r="B74">
        <f>coder1_YH!C74</f>
        <v>74</v>
      </c>
      <c r="C74">
        <f>coder1_YH!D74</f>
        <v>0</v>
      </c>
      <c r="D74" t="str">
        <f>coder1_YH!E74</f>
        <v/>
      </c>
      <c r="E74" t="str">
        <f>coder1_YH!F74</f>
        <v/>
      </c>
      <c r="F74" s="321" t="str">
        <f>IF(coder1_YH!G74="", clean_mod!F73, coder1_YH!G74)</f>
        <v>Cuevas et al., 2012</v>
      </c>
      <c r="G74" s="321" t="str">
        <f t="shared" si="20"/>
        <v>116</v>
      </c>
      <c r="H74" s="321">
        <f>IF(coder1_YH!H74="", clean_mod!H73, coder1_YH!H74)</f>
        <v>116</v>
      </c>
      <c r="I74" s="404" t="str">
        <f t="shared" si="21"/>
        <v>2012</v>
      </c>
      <c r="J74" s="344" t="str">
        <f>IF(coder1_YH!I74="",J73,coder1_YH!I74)</f>
        <v>USA</v>
      </c>
      <c r="K74" s="345">
        <f t="shared" si="22"/>
        <v>0</v>
      </c>
      <c r="L74" s="344" t="str">
        <f>IF(coder1_YH!J74 = "",L73, coder1_YH!J74)</f>
        <v>English</v>
      </c>
      <c r="M74" s="345">
        <f t="shared" si="23"/>
        <v>0</v>
      </c>
      <c r="N74" s="345" t="str">
        <f>IF(coder1_YH!K74 = "", N73, LEFT(coder1_YH!K74,1))</f>
        <v>0</v>
      </c>
      <c r="O74" s="345" t="str">
        <f>IF(coder1_YH!L74 = "", O73, LEFT(coder1_YH!L74,1))</f>
        <v>0</v>
      </c>
      <c r="P74" s="345" t="str">
        <f>IF(coder1_YH!M74 = "", P73, LEFT(coder1_YH!M74,1))</f>
        <v>0</v>
      </c>
      <c r="Q74" s="321">
        <f>coder1_YH!P74</f>
        <v>0</v>
      </c>
      <c r="R74" s="321">
        <f>coder1_YH!Q74</f>
        <v>0</v>
      </c>
      <c r="S74" s="323" t="str">
        <f t="shared" si="24"/>
        <v/>
      </c>
      <c r="T74" s="323" t="str">
        <f t="shared" si="25"/>
        <v/>
      </c>
      <c r="U74" s="323" t="str">
        <f t="shared" si="26"/>
        <v/>
      </c>
      <c r="V74" s="323" t="str">
        <f t="shared" si="27"/>
        <v/>
      </c>
      <c r="W74" s="323">
        <f t="shared" si="28"/>
        <v>0</v>
      </c>
      <c r="X74" s="385" t="str">
        <f>IF(coder1_YH!N74 = "",X73,coder1_YH!N74)</f>
        <v>EX</v>
      </c>
      <c r="Y74" s="385" t="str">
        <f>IF(coder1_YH!O74 = "",Y73,coder1_YH!O74)</f>
        <v>EX</v>
      </c>
      <c r="Z74" s="385" t="str">
        <f t="shared" si="29"/>
        <v>M</v>
      </c>
      <c r="AA74" s="385" t="str">
        <f t="shared" si="30"/>
        <v>R</v>
      </c>
      <c r="AB74" s="385" t="str">
        <f t="shared" si="31"/>
        <v>MR</v>
      </c>
      <c r="AC74" s="323" t="str">
        <f t="shared" si="32"/>
        <v>EXEX</v>
      </c>
      <c r="AD74" s="323" t="str">
        <f t="shared" si="33"/>
        <v>EX_R</v>
      </c>
      <c r="AF74" s="369" t="str">
        <f t="shared" si="34"/>
        <v>116-EXEX</v>
      </c>
      <c r="AG74" s="369" t="str">
        <f t="shared" si="35"/>
        <v>116-EX_R</v>
      </c>
      <c r="AH74" s="344" t="str">
        <f>IF(coder1_YH!R74="",AH73,coder1_YH!R74)</f>
        <v>10</v>
      </c>
      <c r="AI74" s="344" t="str">
        <f t="shared" si="19"/>
        <v>10</v>
      </c>
      <c r="AJ74" s="345">
        <f t="shared" si="36"/>
        <v>1</v>
      </c>
      <c r="AK74" s="408">
        <f>IF(coder1_YH!S74="",AK73,coder1_YH!S74)</f>
        <v>16</v>
      </c>
      <c r="AL74" s="345">
        <f>IF(coder1_YH!T74="",AL73,IF(coder1_YH!T74="mixed",0.25,coder1_YH!T74))</f>
        <v>0</v>
      </c>
      <c r="AM74" s="345">
        <f>IF(coder1_YH!U74 = "", AM73, IF(coder1_YH!U74="mixed","NA",coder1_YH!U74))</f>
        <v>0</v>
      </c>
      <c r="AN74" s="345">
        <f>IF(coder1_YH!V74="",AN73,coder1_YH!V74)</f>
        <v>0.6</v>
      </c>
      <c r="AO74" s="345">
        <f>IF(coder1_YH!W74="",AO73,coder1_YH!W74)</f>
        <v>0</v>
      </c>
      <c r="AP74" s="345">
        <f>IF(coder1_YH!X74="",AP73,coder1_YH!X74)</f>
        <v>0.54</v>
      </c>
      <c r="AQ74" s="345">
        <f>IF(coder1_YH!Y74="",AQ73,coder1_YH!Y74)</f>
        <v>0.79</v>
      </c>
      <c r="AR74">
        <f>coder1_YH!AB74</f>
        <v>0</v>
      </c>
      <c r="AS74" s="345" t="str">
        <f>IF(coder1_YH!AC74 = "", AS73,IF(coder1_YH!AC74="BAU","BAU",LEFT(coder1_YH!AC74)))</f>
        <v>0</v>
      </c>
      <c r="AT74" s="345" t="str">
        <f>IF(coder1_YH!AD74 = "", AT73,IF(coder1_YH!AD74="BAU","BAU",LEFT(coder1_YH!AD74)))</f>
        <v>0</v>
      </c>
      <c r="AU74" s="345" t="str">
        <f>IF(coder1_YH!AE74 = "", AU73,IF(coder1_YH!AE74="BAU","BAU",LEFT(coder1_YH!AE74)))</f>
        <v>1</v>
      </c>
      <c r="AV74" s="345">
        <f>IF(coder1_YH!AF74="",AV73,coder1_YH!AF74)</f>
        <v>840</v>
      </c>
      <c r="AW74" s="345">
        <f t="shared" si="37"/>
        <v>14</v>
      </c>
      <c r="AX74" s="345">
        <f>IF(coder1_YH!AG74="",AX73,coder1_YH!AG74)</f>
        <v>14</v>
      </c>
      <c r="AY74" s="345">
        <f>IF(coder1_YH!AH74="",AY73,coder1_YH!AH74)</f>
        <v>60</v>
      </c>
      <c r="AZ74" s="345" t="str">
        <f>IF(coder1_YH!AI74 = "", AZ73, IF(coder1_YH!AI74="BAU","BAU",LEFT(coder1_YH!AI74)))</f>
        <v>BAU</v>
      </c>
      <c r="BA74" s="384">
        <f>clean_data!Y74</f>
        <v>19</v>
      </c>
    </row>
    <row r="75" spans="1:53" x14ac:dyDescent="0.2">
      <c r="A75" t="str">
        <f>coder1_YH!B75</f>
        <v>EX</v>
      </c>
      <c r="B75">
        <f>coder1_YH!C75</f>
        <v>75</v>
      </c>
      <c r="C75">
        <f>coder1_YH!D75</f>
        <v>0</v>
      </c>
      <c r="D75" t="str">
        <f>coder1_YH!E75</f>
        <v/>
      </c>
      <c r="E75" t="b">
        <f>coder1_YH!F75</f>
        <v>1</v>
      </c>
      <c r="F75" s="321" t="str">
        <f>IF(coder1_YH!G75="", clean_mod!F74, coder1_YH!G75)</f>
        <v>Cuevas et al., 2012</v>
      </c>
      <c r="G75" s="321" t="str">
        <f t="shared" si="20"/>
        <v>116</v>
      </c>
      <c r="H75" s="321">
        <f>IF(coder1_YH!H75="", clean_mod!H74, coder1_YH!H75)</f>
        <v>116</v>
      </c>
      <c r="I75" s="404" t="str">
        <f t="shared" si="21"/>
        <v>2012</v>
      </c>
      <c r="J75" s="344" t="str">
        <f>IF(coder1_YH!I75="",J74,coder1_YH!I75)</f>
        <v>USA</v>
      </c>
      <c r="K75" s="345">
        <f t="shared" si="22"/>
        <v>0</v>
      </c>
      <c r="L75" s="344" t="str">
        <f>IF(coder1_YH!J75 = "",L74, coder1_YH!J75)</f>
        <v>English</v>
      </c>
      <c r="M75" s="345">
        <f t="shared" si="23"/>
        <v>0</v>
      </c>
      <c r="N75" s="345" t="str">
        <f>IF(coder1_YH!K75 = "", N74, LEFT(coder1_YH!K75,1))</f>
        <v>0</v>
      </c>
      <c r="O75" s="345" t="str">
        <f>IF(coder1_YH!L75 = "", O74, LEFT(coder1_YH!L75,1))</f>
        <v>0</v>
      </c>
      <c r="P75" s="345" t="str">
        <f>IF(coder1_YH!M75 = "", P74, LEFT(coder1_YH!M75,1))</f>
        <v>0</v>
      </c>
      <c r="Q75" s="321" t="str">
        <f>coder1_YH!P75</f>
        <v>ctl</v>
      </c>
      <c r="R75" s="321" t="str">
        <f>coder1_YH!Q75</f>
        <v>BAU (70)</v>
      </c>
      <c r="S75" s="323" t="str">
        <f t="shared" si="24"/>
        <v/>
      </c>
      <c r="T75" s="323" t="str">
        <f t="shared" si="25"/>
        <v/>
      </c>
      <c r="U75" s="323" t="str">
        <f t="shared" si="26"/>
        <v/>
      </c>
      <c r="V75" s="323" t="str">
        <f t="shared" si="27"/>
        <v/>
      </c>
      <c r="W75" s="323">
        <f t="shared" si="28"/>
        <v>0</v>
      </c>
      <c r="X75" s="385" t="str">
        <f>IF(coder1_YH!N75 = "",X74,coder1_YH!N75)</f>
        <v>EX</v>
      </c>
      <c r="Y75" s="385" t="str">
        <f>IF(coder1_YH!O75 = "",Y74,coder1_YH!O75)</f>
        <v>EX</v>
      </c>
      <c r="Z75" s="385" t="str">
        <f t="shared" si="29"/>
        <v>M</v>
      </c>
      <c r="AA75" s="385" t="str">
        <f t="shared" si="30"/>
        <v>R</v>
      </c>
      <c r="AB75" s="385" t="str">
        <f t="shared" si="31"/>
        <v>MR</v>
      </c>
      <c r="AC75" s="323" t="str">
        <f t="shared" si="32"/>
        <v>EXEX</v>
      </c>
      <c r="AD75" s="323" t="str">
        <f t="shared" si="33"/>
        <v>EX_R</v>
      </c>
      <c r="AF75" s="369" t="str">
        <f t="shared" si="34"/>
        <v>116-EXEX</v>
      </c>
      <c r="AG75" s="369" t="str">
        <f t="shared" si="35"/>
        <v>116-EX_R</v>
      </c>
      <c r="AH75" s="344" t="str">
        <f>IF(coder1_YH!R75="",AH74,coder1_YH!R75)</f>
        <v>10</v>
      </c>
      <c r="AI75" s="344" t="str">
        <f t="shared" si="19"/>
        <v>10</v>
      </c>
      <c r="AJ75" s="345">
        <f t="shared" si="36"/>
        <v>1</v>
      </c>
      <c r="AK75" s="408">
        <f>IF(coder1_YH!S75="",AK74,coder1_YH!S75)</f>
        <v>16</v>
      </c>
      <c r="AL75" s="345">
        <f>IF(coder1_YH!T75="",AL74,IF(coder1_YH!T75="mixed",0.25,coder1_YH!T75))</f>
        <v>0</v>
      </c>
      <c r="AM75" s="345">
        <f>IF(coder1_YH!U75 = "", AM74, IF(coder1_YH!U75="mixed","NA",coder1_YH!U75))</f>
        <v>0</v>
      </c>
      <c r="AN75" s="345">
        <f>IF(coder1_YH!V75="",AN74,coder1_YH!V75)</f>
        <v>0.6</v>
      </c>
      <c r="AO75" s="345">
        <f>IF(coder1_YH!W75="",AO74,coder1_YH!W75)</f>
        <v>0</v>
      </c>
      <c r="AP75" s="345">
        <f>IF(coder1_YH!X75="",AP74,coder1_YH!X75)</f>
        <v>0.54</v>
      </c>
      <c r="AQ75" s="345">
        <f>IF(coder1_YH!Y75="",AQ74,coder1_YH!Y75)</f>
        <v>0.79</v>
      </c>
      <c r="AR75" t="str">
        <f>coder1_YH!AB75</f>
        <v>0 = Researcher-developed curriculum</v>
      </c>
      <c r="AS75" s="345" t="str">
        <f>IF(coder1_YH!AC75 = "", AS74,IF(coder1_YH!AC75="BAU","BAU",LEFT(coder1_YH!AC75)))</f>
        <v>BAU</v>
      </c>
      <c r="AT75" s="345" t="str">
        <f>IF(coder1_YH!AD75 = "", AT74,IF(coder1_YH!AD75="BAU","BAU",LEFT(coder1_YH!AD75)))</f>
        <v>BAU</v>
      </c>
      <c r="AU75" s="345" t="str">
        <f>IF(coder1_YH!AE75 = "", AU74,IF(coder1_YH!AE75="BAU","BAU",LEFT(coder1_YH!AE75)))</f>
        <v>BAU</v>
      </c>
      <c r="AV75" s="345" t="str">
        <f>IF(coder1_YH!AF75="",AV74,coder1_YH!AF75)</f>
        <v>BAU</v>
      </c>
      <c r="AW75" s="345" t="str">
        <f t="shared" si="37"/>
        <v>BAU</v>
      </c>
      <c r="AX75" s="345" t="str">
        <f>IF(coder1_YH!AG75="",AX74,coder1_YH!AG75)</f>
        <v>BAU</v>
      </c>
      <c r="AY75" s="345" t="str">
        <f>IF(coder1_YH!AH75="",AY74,coder1_YH!AH75)</f>
        <v>BAU</v>
      </c>
      <c r="AZ75" s="345" t="str">
        <f>IF(coder1_YH!AI75 = "", AZ74, IF(coder1_YH!AI75="BAU","BAU",LEFT(coder1_YH!AI75)))</f>
        <v>BAU</v>
      </c>
      <c r="BA75" s="384">
        <f>clean_data!Y75</f>
        <v>43</v>
      </c>
    </row>
    <row r="76" spans="1:53" x14ac:dyDescent="0.2">
      <c r="A76" t="str">
        <f>coder1_YH!B76</f>
        <v>EX</v>
      </c>
      <c r="B76">
        <f>coder1_YH!C76</f>
        <v>76</v>
      </c>
      <c r="C76">
        <f>coder1_YH!D76</f>
        <v>0</v>
      </c>
      <c r="D76" t="str">
        <f>coder1_YH!E76</f>
        <v/>
      </c>
      <c r="E76" t="str">
        <f>coder1_YH!F76</f>
        <v/>
      </c>
      <c r="F76" s="321" t="str">
        <f>IF(coder1_YH!G76="", clean_mod!F75, coder1_YH!G76)</f>
        <v>Cuevas et al., 2012</v>
      </c>
      <c r="G76" s="321" t="str">
        <f t="shared" si="20"/>
        <v>116</v>
      </c>
      <c r="H76" s="321">
        <f>IF(coder1_YH!H76="", clean_mod!H75, coder1_YH!H76)</f>
        <v>116</v>
      </c>
      <c r="I76" s="404" t="str">
        <f t="shared" si="21"/>
        <v>2012</v>
      </c>
      <c r="J76" s="344" t="str">
        <f>IF(coder1_YH!I76="",J75,coder1_YH!I76)</f>
        <v>USA</v>
      </c>
      <c r="K76" s="345">
        <f t="shared" si="22"/>
        <v>0</v>
      </c>
      <c r="L76" s="344" t="str">
        <f>IF(coder1_YH!J76 = "",L75, coder1_YH!J76)</f>
        <v>English</v>
      </c>
      <c r="M76" s="345">
        <f t="shared" si="23"/>
        <v>0</v>
      </c>
      <c r="N76" s="345" t="str">
        <f>IF(coder1_YH!K76 = "", N75, LEFT(coder1_YH!K76,1))</f>
        <v>0</v>
      </c>
      <c r="O76" s="345" t="str">
        <f>IF(coder1_YH!L76 = "", O75, LEFT(coder1_YH!L76,1))</f>
        <v>0</v>
      </c>
      <c r="P76" s="345" t="str">
        <f>IF(coder1_YH!M76 = "", P75, LEFT(coder1_YH!M76,1))</f>
        <v>0</v>
      </c>
      <c r="Q76" s="321">
        <f>coder1_YH!P76</f>
        <v>0</v>
      </c>
      <c r="R76" s="321">
        <f>coder1_YH!Q76</f>
        <v>0</v>
      </c>
      <c r="S76" s="323" t="str">
        <f t="shared" si="24"/>
        <v/>
      </c>
      <c r="T76" s="323" t="str">
        <f t="shared" si="25"/>
        <v/>
      </c>
      <c r="U76" s="323" t="str">
        <f t="shared" si="26"/>
        <v/>
      </c>
      <c r="V76" s="323" t="str">
        <f t="shared" si="27"/>
        <v/>
      </c>
      <c r="W76" s="323">
        <f t="shared" si="28"/>
        <v>0</v>
      </c>
      <c r="X76" s="385" t="str">
        <f>IF(coder1_YH!N76 = "",X75,coder1_YH!N76)</f>
        <v>EX</v>
      </c>
      <c r="Y76" s="385" t="str">
        <f>IF(coder1_YH!O76 = "",Y75,coder1_YH!O76)</f>
        <v>EX</v>
      </c>
      <c r="Z76" s="385" t="str">
        <f t="shared" si="29"/>
        <v>M</v>
      </c>
      <c r="AA76" s="385" t="str">
        <f t="shared" si="30"/>
        <v>R</v>
      </c>
      <c r="AB76" s="385" t="str">
        <f t="shared" si="31"/>
        <v>MR</v>
      </c>
      <c r="AC76" s="323" t="str">
        <f t="shared" si="32"/>
        <v>EXEX</v>
      </c>
      <c r="AD76" s="323" t="str">
        <f t="shared" si="33"/>
        <v>EX_R</v>
      </c>
      <c r="AF76" s="369" t="str">
        <f t="shared" si="34"/>
        <v>116-EXEX</v>
      </c>
      <c r="AG76" s="369" t="str">
        <f t="shared" si="35"/>
        <v>116-EX_R</v>
      </c>
      <c r="AH76" s="344" t="str">
        <f>IF(coder1_YH!R76="",AH75,coder1_YH!R76)</f>
        <v>10</v>
      </c>
      <c r="AI76" s="344" t="str">
        <f t="shared" si="19"/>
        <v>10</v>
      </c>
      <c r="AJ76" s="345">
        <f t="shared" si="36"/>
        <v>1</v>
      </c>
      <c r="AK76" s="408">
        <f>IF(coder1_YH!S76="",AK75,coder1_YH!S76)</f>
        <v>16</v>
      </c>
      <c r="AL76" s="345">
        <f>IF(coder1_YH!T76="",AL75,IF(coder1_YH!T76="mixed",0.25,coder1_YH!T76))</f>
        <v>0</v>
      </c>
      <c r="AM76" s="345">
        <f>IF(coder1_YH!U76 = "", AM75, IF(coder1_YH!U76="mixed","NA",coder1_YH!U76))</f>
        <v>0</v>
      </c>
      <c r="AN76" s="345">
        <f>IF(coder1_YH!V76="",AN75,coder1_YH!V76)</f>
        <v>0.6</v>
      </c>
      <c r="AO76" s="345">
        <f>IF(coder1_YH!W76="",AO75,coder1_YH!W76)</f>
        <v>0</v>
      </c>
      <c r="AP76" s="345">
        <f>IF(coder1_YH!X76="",AP75,coder1_YH!X76)</f>
        <v>0.54</v>
      </c>
      <c r="AQ76" s="345">
        <f>IF(coder1_YH!Y76="",AQ75,coder1_YH!Y76)</f>
        <v>0.79</v>
      </c>
      <c r="AR76">
        <f>coder1_YH!AB76</f>
        <v>0</v>
      </c>
      <c r="AS76" s="345" t="str">
        <f>IF(coder1_YH!AC76 = "", AS75,IF(coder1_YH!AC76="BAU","BAU",LEFT(coder1_YH!AC76)))</f>
        <v>BAU</v>
      </c>
      <c r="AT76" s="345" t="str">
        <f>IF(coder1_YH!AD76 = "", AT75,IF(coder1_YH!AD76="BAU","BAU",LEFT(coder1_YH!AD76)))</f>
        <v>BAU</v>
      </c>
      <c r="AU76" s="345" t="str">
        <f>IF(coder1_YH!AE76 = "", AU75,IF(coder1_YH!AE76="BAU","BAU",LEFT(coder1_YH!AE76)))</f>
        <v>BAU</v>
      </c>
      <c r="AV76" s="345" t="str">
        <f>IF(coder1_YH!AF76="",AV75,coder1_YH!AF76)</f>
        <v>BAU</v>
      </c>
      <c r="AW76" s="345" t="str">
        <f t="shared" si="37"/>
        <v>BAU</v>
      </c>
      <c r="AX76" s="345" t="str">
        <f>IF(coder1_YH!AG76="",AX75,coder1_YH!AG76)</f>
        <v>BAU</v>
      </c>
      <c r="AY76" s="345" t="str">
        <f>IF(coder1_YH!AH76="",AY75,coder1_YH!AH76)</f>
        <v>BAU</v>
      </c>
      <c r="AZ76" s="345" t="str">
        <f>IF(coder1_YH!AI76 = "", AZ75, IF(coder1_YH!AI76="BAU","BAU",LEFT(coder1_YH!AI76)))</f>
        <v>BAU</v>
      </c>
      <c r="BA76" s="384">
        <f>clean_data!Y76</f>
        <v>56</v>
      </c>
    </row>
    <row r="77" spans="1:53" x14ac:dyDescent="0.2">
      <c r="A77" t="str">
        <f>coder1_YH!B77</f>
        <v>EX</v>
      </c>
      <c r="B77">
        <f>coder1_YH!C77</f>
        <v>77</v>
      </c>
      <c r="C77">
        <f>coder1_YH!D77</f>
        <v>0</v>
      </c>
      <c r="D77" t="str">
        <f>coder1_YH!E77</f>
        <v/>
      </c>
      <c r="E77" t="str">
        <f>coder1_YH!F77</f>
        <v/>
      </c>
      <c r="F77" s="321" t="str">
        <f>IF(coder1_YH!G77="", clean_mod!F76, coder1_YH!G77)</f>
        <v>Cuevas et al., 2012</v>
      </c>
      <c r="G77" s="321" t="str">
        <f t="shared" si="20"/>
        <v>116</v>
      </c>
      <c r="H77" s="321">
        <f>IF(coder1_YH!H77="", clean_mod!H76, coder1_YH!H77)</f>
        <v>116</v>
      </c>
      <c r="I77" s="404" t="str">
        <f t="shared" ref="I77:I94" si="38">RIGHT(F77,4)</f>
        <v>2012</v>
      </c>
      <c r="J77" s="344" t="str">
        <f>IF(coder1_YH!I77="",J76,coder1_YH!I77)</f>
        <v>USA</v>
      </c>
      <c r="K77" s="345">
        <f t="shared" si="22"/>
        <v>0</v>
      </c>
      <c r="L77" s="344" t="str">
        <f>IF(coder1_YH!J77 = "",L76, coder1_YH!J77)</f>
        <v>English</v>
      </c>
      <c r="M77" s="345">
        <f t="shared" si="23"/>
        <v>0</v>
      </c>
      <c r="N77" s="345" t="str">
        <f>IF(coder1_YH!K77 = "", N76, LEFT(coder1_YH!K77,1))</f>
        <v>0</v>
      </c>
      <c r="O77" s="345" t="str">
        <f>IF(coder1_YH!L77 = "", O76, LEFT(coder1_YH!L77,1))</f>
        <v>0</v>
      </c>
      <c r="P77" s="345" t="str">
        <f>IF(coder1_YH!M77 = "", P76, LEFT(coder1_YH!M77,1))</f>
        <v>0</v>
      </c>
      <c r="Q77" s="321">
        <f>coder1_YH!P77</f>
        <v>0</v>
      </c>
      <c r="R77" s="321">
        <f>coder1_YH!Q77</f>
        <v>0</v>
      </c>
      <c r="S77" s="323" t="str">
        <f t="shared" si="24"/>
        <v/>
      </c>
      <c r="T77" s="323" t="str">
        <f t="shared" si="25"/>
        <v/>
      </c>
      <c r="U77" s="323" t="str">
        <f t="shared" si="26"/>
        <v/>
      </c>
      <c r="V77" s="323" t="str">
        <f t="shared" si="27"/>
        <v/>
      </c>
      <c r="W77" s="323">
        <f t="shared" si="28"/>
        <v>0</v>
      </c>
      <c r="X77" s="385" t="str">
        <f>IF(coder1_YH!N77 = "",X76,coder1_YH!N77)</f>
        <v>EX</v>
      </c>
      <c r="Y77" s="385" t="str">
        <f>IF(coder1_YH!O77 = "",Y76,coder1_YH!O77)</f>
        <v>EX</v>
      </c>
      <c r="Z77" s="385" t="str">
        <f t="shared" si="29"/>
        <v>M</v>
      </c>
      <c r="AA77" s="385" t="str">
        <f t="shared" si="30"/>
        <v>R</v>
      </c>
      <c r="AB77" s="385" t="str">
        <f t="shared" si="31"/>
        <v>MR</v>
      </c>
      <c r="AC77" s="323" t="str">
        <f t="shared" si="32"/>
        <v>EXEX</v>
      </c>
      <c r="AD77" s="323" t="str">
        <f t="shared" si="33"/>
        <v>EX_R</v>
      </c>
      <c r="AF77" s="369" t="str">
        <f t="shared" si="34"/>
        <v>116-EXEX</v>
      </c>
      <c r="AG77" s="369" t="str">
        <f t="shared" si="35"/>
        <v>116-EX_R</v>
      </c>
      <c r="AH77" s="344" t="str">
        <f>IF(coder1_YH!R77="",AH76,coder1_YH!R77)</f>
        <v>10</v>
      </c>
      <c r="AI77" s="344" t="str">
        <f t="shared" si="19"/>
        <v>10</v>
      </c>
      <c r="AJ77" s="345">
        <f t="shared" si="36"/>
        <v>1</v>
      </c>
      <c r="AK77" s="408">
        <f>IF(coder1_YH!S77="",AK76,coder1_YH!S77)</f>
        <v>16</v>
      </c>
      <c r="AL77" s="345">
        <f>IF(coder1_YH!T77="",AL76,IF(coder1_YH!T77="mixed",0.25,coder1_YH!T77))</f>
        <v>0</v>
      </c>
      <c r="AM77" s="345">
        <f>IF(coder1_YH!U77 = "", AM76, IF(coder1_YH!U77="mixed","NA",coder1_YH!U77))</f>
        <v>0</v>
      </c>
      <c r="AN77" s="345">
        <f>IF(coder1_YH!V77="",AN76,coder1_YH!V77)</f>
        <v>0.6</v>
      </c>
      <c r="AO77" s="345">
        <f>IF(coder1_YH!W77="",AO76,coder1_YH!W77)</f>
        <v>0</v>
      </c>
      <c r="AP77" s="345">
        <f>IF(coder1_YH!X77="",AP76,coder1_YH!X77)</f>
        <v>0.54</v>
      </c>
      <c r="AQ77" s="345">
        <f>IF(coder1_YH!Y77="",AQ76,coder1_YH!Y77)</f>
        <v>0.79</v>
      </c>
      <c r="AR77">
        <f>coder1_YH!AB77</f>
        <v>0</v>
      </c>
      <c r="AS77" s="345" t="str">
        <f>IF(coder1_YH!AC77 = "", AS76,IF(coder1_YH!AC77="BAU","BAU",LEFT(coder1_YH!AC77)))</f>
        <v>BAU</v>
      </c>
      <c r="AT77" s="345" t="str">
        <f>IF(coder1_YH!AD77 = "", AT76,IF(coder1_YH!AD77="BAU","BAU",LEFT(coder1_YH!AD77)))</f>
        <v>BAU</v>
      </c>
      <c r="AU77" s="345" t="str">
        <f>IF(coder1_YH!AE77 = "", AU76,IF(coder1_YH!AE77="BAU","BAU",LEFT(coder1_YH!AE77)))</f>
        <v>BAU</v>
      </c>
      <c r="AV77" s="345" t="str">
        <f>IF(coder1_YH!AF77="",AV76,coder1_YH!AF77)</f>
        <v>BAU</v>
      </c>
      <c r="AW77" s="345" t="str">
        <f t="shared" si="37"/>
        <v>BAU</v>
      </c>
      <c r="AX77" s="345" t="str">
        <f>IF(coder1_YH!AG77="",AX76,coder1_YH!AG77)</f>
        <v>BAU</v>
      </c>
      <c r="AY77" s="345" t="str">
        <f>IF(coder1_YH!AH77="",AY76,coder1_YH!AH77)</f>
        <v>BAU</v>
      </c>
      <c r="AZ77" s="345" t="str">
        <f>IF(coder1_YH!AI77 = "", AZ76, IF(coder1_YH!AI77="BAU","BAU",LEFT(coder1_YH!AI77)))</f>
        <v>BAU</v>
      </c>
      <c r="BA77" s="384">
        <f>clean_data!Y77</f>
        <v>56</v>
      </c>
    </row>
    <row r="78" spans="1:53" x14ac:dyDescent="0.2">
      <c r="A78" t="str">
        <f>coder1_YH!B78</f>
        <v>EX</v>
      </c>
      <c r="B78">
        <f>coder1_YH!C78</f>
        <v>78</v>
      </c>
      <c r="C78">
        <f>coder1_YH!D78</f>
        <v>0</v>
      </c>
      <c r="D78" t="str">
        <f>coder1_YH!E78</f>
        <v/>
      </c>
      <c r="E78" t="str">
        <f>coder1_YH!F78</f>
        <v/>
      </c>
      <c r="F78" s="321" t="str">
        <f>IF(coder1_YH!G78="", clean_mod!F77, coder1_YH!G78)</f>
        <v>Cuevas et al., 2012</v>
      </c>
      <c r="G78" s="321" t="str">
        <f t="shared" si="20"/>
        <v>116</v>
      </c>
      <c r="H78" s="321">
        <f>IF(coder1_YH!H78="", clean_mod!H77, coder1_YH!H78)</f>
        <v>116</v>
      </c>
      <c r="I78" s="404" t="str">
        <f t="shared" si="38"/>
        <v>2012</v>
      </c>
      <c r="J78" s="344" t="str">
        <f>IF(coder1_YH!I78="",J77,coder1_YH!I78)</f>
        <v>USA</v>
      </c>
      <c r="K78" s="345">
        <f t="shared" si="22"/>
        <v>0</v>
      </c>
      <c r="L78" s="344" t="str">
        <f>IF(coder1_YH!J78 = "",L77, coder1_YH!J78)</f>
        <v>English</v>
      </c>
      <c r="M78" s="345">
        <f t="shared" si="23"/>
        <v>0</v>
      </c>
      <c r="N78" s="345" t="str">
        <f>IF(coder1_YH!K78 = "", N77, LEFT(coder1_YH!K78,1))</f>
        <v>0</v>
      </c>
      <c r="O78" s="345" t="str">
        <f>IF(coder1_YH!L78 = "", O77, LEFT(coder1_YH!L78,1))</f>
        <v>0</v>
      </c>
      <c r="P78" s="345" t="str">
        <f>IF(coder1_YH!M78 = "", P77, LEFT(coder1_YH!M78,1))</f>
        <v>0</v>
      </c>
      <c r="Q78" s="321">
        <f>coder1_YH!P78</f>
        <v>0</v>
      </c>
      <c r="R78" s="321">
        <f>coder1_YH!Q78</f>
        <v>0</v>
      </c>
      <c r="S78" s="323" t="str">
        <f t="shared" si="24"/>
        <v/>
      </c>
      <c r="T78" s="323" t="str">
        <f t="shared" si="25"/>
        <v/>
      </c>
      <c r="U78" s="323" t="str">
        <f t="shared" si="26"/>
        <v/>
      </c>
      <c r="V78" s="323" t="str">
        <f t="shared" si="27"/>
        <v/>
      </c>
      <c r="W78" s="323">
        <f t="shared" si="28"/>
        <v>0</v>
      </c>
      <c r="X78" s="385" t="str">
        <f>IF(coder1_YH!N78 = "",X77,coder1_YH!N78)</f>
        <v>EX</v>
      </c>
      <c r="Y78" s="385" t="str">
        <f>IF(coder1_YH!O78 = "",Y77,coder1_YH!O78)</f>
        <v>EX</v>
      </c>
      <c r="Z78" s="385" t="str">
        <f t="shared" si="29"/>
        <v>M</v>
      </c>
      <c r="AA78" s="385" t="str">
        <f t="shared" si="30"/>
        <v>R</v>
      </c>
      <c r="AB78" s="385" t="str">
        <f t="shared" si="31"/>
        <v>MR</v>
      </c>
      <c r="AC78" s="323" t="str">
        <f t="shared" si="32"/>
        <v>EXEX</v>
      </c>
      <c r="AD78" s="323" t="str">
        <f t="shared" si="33"/>
        <v>EX_R</v>
      </c>
      <c r="AF78" s="369" t="str">
        <f t="shared" si="34"/>
        <v>116-EXEX</v>
      </c>
      <c r="AG78" s="369" t="str">
        <f t="shared" si="35"/>
        <v>116-EX_R</v>
      </c>
      <c r="AH78" s="344" t="str">
        <f>IF(coder1_YH!R78="",AH77,coder1_YH!R78)</f>
        <v>10</v>
      </c>
      <c r="AI78" s="344" t="str">
        <f t="shared" si="19"/>
        <v>10</v>
      </c>
      <c r="AJ78" s="345">
        <f t="shared" si="36"/>
        <v>1</v>
      </c>
      <c r="AK78" s="408">
        <f>IF(coder1_YH!S78="",AK77,coder1_YH!S78)</f>
        <v>16</v>
      </c>
      <c r="AL78" s="345">
        <f>IF(coder1_YH!T78="",AL77,IF(coder1_YH!T78="mixed",0.25,coder1_YH!T78))</f>
        <v>0</v>
      </c>
      <c r="AM78" s="345">
        <f>IF(coder1_YH!U78 = "", AM77, IF(coder1_YH!U78="mixed","NA",coder1_YH!U78))</f>
        <v>0</v>
      </c>
      <c r="AN78" s="345">
        <f>IF(coder1_YH!V78="",AN77,coder1_YH!V78)</f>
        <v>0.6</v>
      </c>
      <c r="AO78" s="345">
        <f>IF(coder1_YH!W78="",AO77,coder1_YH!W78)</f>
        <v>0</v>
      </c>
      <c r="AP78" s="345">
        <f>IF(coder1_YH!X78="",AP77,coder1_YH!X78)</f>
        <v>0.54</v>
      </c>
      <c r="AQ78" s="345">
        <f>IF(coder1_YH!Y78="",AQ77,coder1_YH!Y78)</f>
        <v>0.79</v>
      </c>
      <c r="AR78">
        <f>coder1_YH!AB78</f>
        <v>0</v>
      </c>
      <c r="AS78" s="345" t="str">
        <f>IF(coder1_YH!AC78 = "", AS77,IF(coder1_YH!AC78="BAU","BAU",LEFT(coder1_YH!AC78)))</f>
        <v>BAU</v>
      </c>
      <c r="AT78" s="345" t="str">
        <f>IF(coder1_YH!AD78 = "", AT77,IF(coder1_YH!AD78="BAU","BAU",LEFT(coder1_YH!AD78)))</f>
        <v>BAU</v>
      </c>
      <c r="AU78" s="345" t="str">
        <f>IF(coder1_YH!AE78 = "", AU77,IF(coder1_YH!AE78="BAU","BAU",LEFT(coder1_YH!AE78)))</f>
        <v>BAU</v>
      </c>
      <c r="AV78" s="345" t="str">
        <f>IF(coder1_YH!AF78="",AV77,coder1_YH!AF78)</f>
        <v>BAU</v>
      </c>
      <c r="AW78" s="345" t="str">
        <f t="shared" si="37"/>
        <v>BAU</v>
      </c>
      <c r="AX78" s="345" t="str">
        <f>IF(coder1_YH!AG78="",AX77,coder1_YH!AG78)</f>
        <v>BAU</v>
      </c>
      <c r="AY78" s="345" t="str">
        <f>IF(coder1_YH!AH78="",AY77,coder1_YH!AH78)</f>
        <v>BAU</v>
      </c>
      <c r="AZ78" s="345" t="str">
        <f>IF(coder1_YH!AI78 = "", AZ77, IF(coder1_YH!AI78="BAU","BAU",LEFT(coder1_YH!AI78)))</f>
        <v>BAU</v>
      </c>
      <c r="BA78" s="384">
        <f>clean_data!Y78</f>
        <v>56</v>
      </c>
    </row>
    <row r="79" spans="1:53" x14ac:dyDescent="0.2">
      <c r="A79" t="str">
        <f>coder1_YH!B79</f>
        <v>EX</v>
      </c>
      <c r="B79">
        <f>coder1_YH!C79</f>
        <v>79</v>
      </c>
      <c r="C79">
        <f>coder1_YH!D79</f>
        <v>0</v>
      </c>
      <c r="D79" t="str">
        <f>coder1_YH!E79</f>
        <v/>
      </c>
      <c r="E79" t="str">
        <f>coder1_YH!F79</f>
        <v/>
      </c>
      <c r="F79" s="321" t="str">
        <f>IF(coder1_YH!G79="", clean_mod!F78, coder1_YH!G79)</f>
        <v>Cuevas et al., 2012</v>
      </c>
      <c r="G79" s="321" t="str">
        <f t="shared" si="20"/>
        <v>116</v>
      </c>
      <c r="H79" s="321">
        <f>IF(coder1_YH!H79="", clean_mod!H78, coder1_YH!H79)</f>
        <v>116</v>
      </c>
      <c r="I79" s="404" t="str">
        <f t="shared" si="38"/>
        <v>2012</v>
      </c>
      <c r="J79" s="344" t="str">
        <f>IF(coder1_YH!I79="",J78,coder1_YH!I79)</f>
        <v>USA</v>
      </c>
      <c r="K79" s="345">
        <f t="shared" si="22"/>
        <v>0</v>
      </c>
      <c r="L79" s="344" t="str">
        <f>IF(coder1_YH!J79 = "",L78, coder1_YH!J79)</f>
        <v>English</v>
      </c>
      <c r="M79" s="345">
        <f t="shared" si="23"/>
        <v>0</v>
      </c>
      <c r="N79" s="345" t="str">
        <f>IF(coder1_YH!K79 = "", N78, LEFT(coder1_YH!K79,1))</f>
        <v>0</v>
      </c>
      <c r="O79" s="345" t="str">
        <f>IF(coder1_YH!L79 = "", O78, LEFT(coder1_YH!L79,1))</f>
        <v>0</v>
      </c>
      <c r="P79" s="345" t="str">
        <f>IF(coder1_YH!M79 = "", P78, LEFT(coder1_YH!M79,1))</f>
        <v>0</v>
      </c>
      <c r="Q79" s="321">
        <f>coder1_YH!P79</f>
        <v>0</v>
      </c>
      <c r="R79" s="321">
        <f>coder1_YH!Q79</f>
        <v>0</v>
      </c>
      <c r="S79" s="323" t="str">
        <f t="shared" si="24"/>
        <v/>
      </c>
      <c r="T79" s="323" t="str">
        <f t="shared" si="25"/>
        <v/>
      </c>
      <c r="U79" s="323" t="str">
        <f t="shared" si="26"/>
        <v/>
      </c>
      <c r="V79" s="323" t="str">
        <f t="shared" si="27"/>
        <v/>
      </c>
      <c r="W79" s="323">
        <f t="shared" si="28"/>
        <v>0</v>
      </c>
      <c r="X79" s="385" t="str">
        <f>IF(coder1_YH!N79 = "",X78,coder1_YH!N79)</f>
        <v>EX</v>
      </c>
      <c r="Y79" s="385" t="str">
        <f>IF(coder1_YH!O79 = "",Y78,coder1_YH!O79)</f>
        <v>EX</v>
      </c>
      <c r="Z79" s="385" t="str">
        <f t="shared" si="29"/>
        <v>M</v>
      </c>
      <c r="AA79" s="385" t="str">
        <f t="shared" si="30"/>
        <v>R</v>
      </c>
      <c r="AB79" s="385" t="str">
        <f t="shared" si="31"/>
        <v>MR</v>
      </c>
      <c r="AC79" s="323" t="str">
        <f t="shared" si="32"/>
        <v>EXEX</v>
      </c>
      <c r="AD79" s="323" t="str">
        <f t="shared" si="33"/>
        <v>EX_R</v>
      </c>
      <c r="AF79" s="369" t="str">
        <f t="shared" si="34"/>
        <v>116-EXEX</v>
      </c>
      <c r="AG79" s="369" t="str">
        <f t="shared" si="35"/>
        <v>116-EX_R</v>
      </c>
      <c r="AH79" s="344" t="str">
        <f>IF(coder1_YH!R79="",AH78,coder1_YH!R79)</f>
        <v>10</v>
      </c>
      <c r="AI79" s="344" t="str">
        <f t="shared" si="19"/>
        <v>10</v>
      </c>
      <c r="AJ79" s="345">
        <f t="shared" si="36"/>
        <v>1</v>
      </c>
      <c r="AK79" s="408">
        <f>IF(coder1_YH!S79="",AK78,coder1_YH!S79)</f>
        <v>16</v>
      </c>
      <c r="AL79" s="345">
        <f>IF(coder1_YH!T79="",AL78,IF(coder1_YH!T79="mixed",0.25,coder1_YH!T79))</f>
        <v>0</v>
      </c>
      <c r="AM79" s="345">
        <f>IF(coder1_YH!U79 = "", AM78, IF(coder1_YH!U79="mixed","NA",coder1_YH!U79))</f>
        <v>0</v>
      </c>
      <c r="AN79" s="345">
        <f>IF(coder1_YH!V79="",AN78,coder1_YH!V79)</f>
        <v>0.6</v>
      </c>
      <c r="AO79" s="345">
        <f>IF(coder1_YH!W79="",AO78,coder1_YH!W79)</f>
        <v>0</v>
      </c>
      <c r="AP79" s="345">
        <f>IF(coder1_YH!X79="",AP78,coder1_YH!X79)</f>
        <v>0.54</v>
      </c>
      <c r="AQ79" s="345">
        <f>IF(coder1_YH!Y79="",AQ78,coder1_YH!Y79)</f>
        <v>0.79</v>
      </c>
      <c r="AR79">
        <f>coder1_YH!AB79</f>
        <v>0</v>
      </c>
      <c r="AS79" s="345" t="str">
        <f>IF(coder1_YH!AC79 = "", AS78,IF(coder1_YH!AC79="BAU","BAU",LEFT(coder1_YH!AC79)))</f>
        <v>BAU</v>
      </c>
      <c r="AT79" s="345" t="str">
        <f>IF(coder1_YH!AD79 = "", AT78,IF(coder1_YH!AD79="BAU","BAU",LEFT(coder1_YH!AD79)))</f>
        <v>BAU</v>
      </c>
      <c r="AU79" s="345" t="str">
        <f>IF(coder1_YH!AE79 = "", AU78,IF(coder1_YH!AE79="BAU","BAU",LEFT(coder1_YH!AE79)))</f>
        <v>BAU</v>
      </c>
      <c r="AV79" s="345" t="str">
        <f>IF(coder1_YH!AF79="",AV78,coder1_YH!AF79)</f>
        <v>BAU</v>
      </c>
      <c r="AW79" s="345" t="str">
        <f t="shared" si="37"/>
        <v>BAU</v>
      </c>
      <c r="AX79" s="345" t="str">
        <f>IF(coder1_YH!AG79="",AX78,coder1_YH!AG79)</f>
        <v>BAU</v>
      </c>
      <c r="AY79" s="345" t="str">
        <f>IF(coder1_YH!AH79="",AY78,coder1_YH!AH79)</f>
        <v>BAU</v>
      </c>
      <c r="AZ79" s="345" t="str">
        <f>IF(coder1_YH!AI79 = "", AZ78, IF(coder1_YH!AI79="BAU","BAU",LEFT(coder1_YH!AI79)))</f>
        <v>BAU</v>
      </c>
      <c r="BA79" s="384">
        <f>clean_data!Y79</f>
        <v>56</v>
      </c>
    </row>
    <row r="80" spans="1:53" x14ac:dyDescent="0.2">
      <c r="A80">
        <f>coder1_YH!B80</f>
        <v>0</v>
      </c>
      <c r="B80">
        <f>coder1_YH!C80</f>
        <v>80</v>
      </c>
      <c r="C80" t="b">
        <f>coder1_YH!D80</f>
        <v>1</v>
      </c>
      <c r="D80" t="b">
        <f>coder1_YH!E80</f>
        <v>1</v>
      </c>
      <c r="E80" t="b">
        <f>coder1_YH!F80</f>
        <v>1</v>
      </c>
      <c r="F80" s="321" t="str">
        <f>IF(coder1_YH!G80="", clean_mod!F79, coder1_YH!G80)</f>
        <v>Guthrie et al. (S1), 2004</v>
      </c>
      <c r="G80" s="321" t="str">
        <f t="shared" si="20"/>
        <v>117</v>
      </c>
      <c r="H80" s="321">
        <f>IF(coder1_YH!H80="", clean_mod!H79, coder1_YH!H80)</f>
        <v>117</v>
      </c>
      <c r="I80" s="404" t="str">
        <f t="shared" si="38"/>
        <v>2004</v>
      </c>
      <c r="J80" s="344" t="str">
        <f>IF(coder1_YH!I80="",J79,coder1_YH!I80)</f>
        <v>USA</v>
      </c>
      <c r="K80" s="345">
        <f t="shared" si="22"/>
        <v>0</v>
      </c>
      <c r="L80" s="344" t="str">
        <f>IF(coder1_YH!J80 = "",L79, coder1_YH!J80)</f>
        <v>English</v>
      </c>
      <c r="M80" s="345">
        <f t="shared" si="23"/>
        <v>0</v>
      </c>
      <c r="N80" s="345" t="str">
        <f>IF(coder1_YH!K80 = "", N79, LEFT(coder1_YH!K80,1))</f>
        <v>0</v>
      </c>
      <c r="O80" s="345" t="str">
        <f>IF(coder1_YH!L80 = "", O79, LEFT(coder1_YH!L80,1))</f>
        <v>0</v>
      </c>
      <c r="P80" s="345" t="str">
        <f>IF(coder1_YH!M80 = "", P79, LEFT(coder1_YH!M80,1))</f>
        <v>1</v>
      </c>
      <c r="Q80" s="321">
        <f>coder1_YH!P80</f>
        <v>1</v>
      </c>
      <c r="R80" s="321" t="str">
        <f>coder1_YH!Q80</f>
        <v>CORI (4)</v>
      </c>
      <c r="S80" s="323" t="str">
        <f t="shared" si="24"/>
        <v>N</v>
      </c>
      <c r="T80" s="323" t="str">
        <f t="shared" si="25"/>
        <v/>
      </c>
      <c r="U80" s="323" t="str">
        <f t="shared" si="26"/>
        <v/>
      </c>
      <c r="V80" s="323" t="str">
        <f t="shared" si="27"/>
        <v/>
      </c>
      <c r="W80" s="323">
        <f t="shared" si="28"/>
        <v>1</v>
      </c>
      <c r="X80" s="385" t="str">
        <f>IF(coder1_YH!N80 = "",X79,coder1_YH!N80)</f>
        <v>N</v>
      </c>
      <c r="Y80" s="385" t="str">
        <f>IF(coder1_YH!O80 = "",Y79,coder1_YH!O80)</f>
        <v xml:space="preserve">m </v>
      </c>
      <c r="Z80" s="385" t="str">
        <f t="shared" si="29"/>
        <v>M</v>
      </c>
      <c r="AA80" s="385" t="str">
        <f t="shared" si="30"/>
        <v>R</v>
      </c>
      <c r="AB80" s="385" t="str">
        <f t="shared" si="31"/>
        <v>MR</v>
      </c>
      <c r="AC80" s="323" t="str">
        <f t="shared" si="32"/>
        <v xml:space="preserve">Nm </v>
      </c>
      <c r="AD80" s="323" t="str">
        <f t="shared" si="33"/>
        <v>N_R</v>
      </c>
      <c r="AE80" s="323">
        <f>IF(Y80="cm", 1,0)</f>
        <v>0</v>
      </c>
      <c r="AF80" s="369" t="str">
        <f t="shared" si="34"/>
        <v xml:space="preserve">117-Nm </v>
      </c>
      <c r="AG80" s="369" t="str">
        <f t="shared" si="35"/>
        <v>117-N_R</v>
      </c>
      <c r="AH80" s="344" t="str">
        <f>IF(coder1_YH!R80="",AH79,coder1_YH!R80)</f>
        <v>3</v>
      </c>
      <c r="AI80" s="344" t="str">
        <f t="shared" si="19"/>
        <v>3</v>
      </c>
      <c r="AJ80" s="345">
        <f t="shared" si="36"/>
        <v>1</v>
      </c>
      <c r="AK80" s="408">
        <f>IF(coder1_YH!S80="",AK79,coder1_YH!S80)</f>
        <v>8.5</v>
      </c>
      <c r="AL80" s="345" t="str">
        <f>IF(coder1_YH!T80="",AL79,IF(coder1_YH!T80="mixed",0.25,coder1_YH!T80))</f>
        <v>NA</v>
      </c>
      <c r="AM80" s="345" t="str">
        <f>IF(coder1_YH!U80 = "", AM79, IF(coder1_YH!U80="mixed","NA",coder1_YH!U80))</f>
        <v>NA</v>
      </c>
      <c r="AN80" s="345">
        <f>IF(coder1_YH!V80="",AN79,coder1_YH!V80)</f>
        <v>0.18243243243243243</v>
      </c>
      <c r="AO80" s="345" t="str">
        <f>IF(coder1_YH!W80="",AO79,coder1_YH!W80)</f>
        <v>NA</v>
      </c>
      <c r="AP80" s="345">
        <f>IF(coder1_YH!X80="",AP79,coder1_YH!X80)</f>
        <v>0.47972972972972971</v>
      </c>
      <c r="AQ80" s="345">
        <f>IF(coder1_YH!Y80="",AQ79,coder1_YH!Y80)</f>
        <v>0.2432432432432432</v>
      </c>
      <c r="AR80" t="str">
        <f>coder1_YH!AB80</f>
        <v>0 = Researcher-developed curriculum</v>
      </c>
      <c r="AS80" s="345" t="str">
        <f>IF(coder1_YH!AC80 = "", AS79,IF(coder1_YH!AC80="BAU","BAU",LEFT(coder1_YH!AC80)))</f>
        <v>0</v>
      </c>
      <c r="AT80" s="345" t="str">
        <f>IF(coder1_YH!AD80 = "", AT79,IF(coder1_YH!AD80="BAU","BAU",LEFT(coder1_YH!AD80)))</f>
        <v>0</v>
      </c>
      <c r="AU80" s="345" t="str">
        <f>IF(coder1_YH!AE80 = "", AU79,IF(coder1_YH!AE80="BAU","BAU",LEFT(coder1_YH!AE80)))</f>
        <v>1</v>
      </c>
      <c r="AV80" s="345">
        <f>IF(coder1_YH!AF80="",AV79,coder1_YH!AF80)</f>
        <v>5400</v>
      </c>
      <c r="AW80" s="345">
        <f t="shared" si="37"/>
        <v>90</v>
      </c>
      <c r="AX80" s="345">
        <f>IF(coder1_YH!AG80="",AX79,coder1_YH!AG80)</f>
        <v>60</v>
      </c>
      <c r="AY80" s="345">
        <f>IF(coder1_YH!AH80="",AY79,coder1_YH!AH80)</f>
        <v>90</v>
      </c>
      <c r="AZ80" s="345" t="str">
        <f>IF(coder1_YH!AI80 = "", AZ79, IF(coder1_YH!AI80="BAU","BAU",LEFT(coder1_YH!AI80)))</f>
        <v>1</v>
      </c>
      <c r="BA80" s="384">
        <f>clean_data!Y80</f>
        <v>148</v>
      </c>
    </row>
    <row r="81" spans="1:53" x14ac:dyDescent="0.2">
      <c r="A81">
        <f>coder1_YH!B81</f>
        <v>0</v>
      </c>
      <c r="B81">
        <f>coder1_YH!C81</f>
        <v>81</v>
      </c>
      <c r="C81">
        <f>coder1_YH!D81</f>
        <v>0</v>
      </c>
      <c r="D81" t="str">
        <f>coder1_YH!E81</f>
        <v/>
      </c>
      <c r="E81" t="str">
        <f>coder1_YH!F81</f>
        <v/>
      </c>
      <c r="F81" s="321" t="str">
        <f>IF(coder1_YH!G81="", clean_mod!F80, coder1_YH!G81)</f>
        <v>Guthrie et al. (S1), 2004</v>
      </c>
      <c r="G81" s="321" t="str">
        <f t="shared" si="20"/>
        <v>117</v>
      </c>
      <c r="H81" s="321">
        <f>IF(coder1_YH!H81="", clean_mod!H80, coder1_YH!H81)</f>
        <v>117</v>
      </c>
      <c r="I81" s="404" t="str">
        <f t="shared" si="38"/>
        <v>2004</v>
      </c>
      <c r="J81" s="344" t="str">
        <f>IF(coder1_YH!I81="",J80,coder1_YH!I81)</f>
        <v>USA</v>
      </c>
      <c r="K81" s="345">
        <f t="shared" si="22"/>
        <v>0</v>
      </c>
      <c r="L81" s="344" t="str">
        <f>IF(coder1_YH!J81 = "",L80, coder1_YH!J81)</f>
        <v>English</v>
      </c>
      <c r="M81" s="345">
        <f t="shared" si="23"/>
        <v>0</v>
      </c>
      <c r="N81" s="345" t="str">
        <f>IF(coder1_YH!K81 = "", N80, LEFT(coder1_YH!K81,1))</f>
        <v>0</v>
      </c>
      <c r="O81" s="345" t="str">
        <f>IF(coder1_YH!L81 = "", O80, LEFT(coder1_YH!L81,1))</f>
        <v>0</v>
      </c>
      <c r="P81" s="345" t="str">
        <f>IF(coder1_YH!M81 = "", P80, LEFT(coder1_YH!M81,1))</f>
        <v>1</v>
      </c>
      <c r="Q81" s="321">
        <f>coder1_YH!P81</f>
        <v>0</v>
      </c>
      <c r="R81" s="321">
        <f>coder1_YH!Q81</f>
        <v>0</v>
      </c>
      <c r="S81" s="323" t="str">
        <f t="shared" si="24"/>
        <v>N</v>
      </c>
      <c r="T81" s="323" t="str">
        <f t="shared" si="25"/>
        <v/>
      </c>
      <c r="U81" s="323" t="str">
        <f t="shared" si="26"/>
        <v/>
      </c>
      <c r="V81" s="323" t="str">
        <f t="shared" si="27"/>
        <v/>
      </c>
      <c r="W81" s="323">
        <f t="shared" si="28"/>
        <v>1</v>
      </c>
      <c r="X81" s="385" t="str">
        <f>IF(coder1_YH!N81 = "",X80,coder1_YH!N81)</f>
        <v>N</v>
      </c>
      <c r="Y81" s="385" t="str">
        <f>IF(coder1_YH!O81 = "",Y80,coder1_YH!O81)</f>
        <v xml:space="preserve">m </v>
      </c>
      <c r="Z81" s="385" t="str">
        <f t="shared" si="29"/>
        <v>M</v>
      </c>
      <c r="AA81" s="385" t="str">
        <f t="shared" si="30"/>
        <v>R</v>
      </c>
      <c r="AB81" s="385" t="str">
        <f t="shared" si="31"/>
        <v>MR</v>
      </c>
      <c r="AC81" s="323" t="str">
        <f t="shared" si="32"/>
        <v xml:space="preserve">Nm </v>
      </c>
      <c r="AD81" s="323" t="str">
        <f t="shared" si="33"/>
        <v>N_R</v>
      </c>
      <c r="AF81" s="369" t="str">
        <f t="shared" si="34"/>
        <v xml:space="preserve">117-Nm </v>
      </c>
      <c r="AG81" s="369" t="str">
        <f t="shared" si="35"/>
        <v>117-N_R</v>
      </c>
      <c r="AH81" s="344" t="str">
        <f>IF(coder1_YH!R81="",AH80,coder1_YH!R81)</f>
        <v>3</v>
      </c>
      <c r="AI81" s="344" t="str">
        <f t="shared" si="19"/>
        <v>3</v>
      </c>
      <c r="AJ81" s="345">
        <f t="shared" si="36"/>
        <v>1</v>
      </c>
      <c r="AK81" s="408">
        <f>IF(coder1_YH!S81="",AK80,coder1_YH!S81)</f>
        <v>8.5</v>
      </c>
      <c r="AL81" s="345" t="str">
        <f>IF(coder1_YH!T81="",AL80,IF(coder1_YH!T81="mixed",0.25,coder1_YH!T81))</f>
        <v>NA</v>
      </c>
      <c r="AM81" s="345" t="str">
        <f>IF(coder1_YH!U81 = "", AM80, IF(coder1_YH!U81="mixed","NA",coder1_YH!U81))</f>
        <v>NA</v>
      </c>
      <c r="AN81" s="345">
        <f>IF(coder1_YH!V81="",AN80,coder1_YH!V81)</f>
        <v>0.18243243243243243</v>
      </c>
      <c r="AO81" s="345" t="str">
        <f>IF(coder1_YH!W81="",AO80,coder1_YH!W81)</f>
        <v>NA</v>
      </c>
      <c r="AP81" s="345">
        <f>IF(coder1_YH!X81="",AP80,coder1_YH!X81)</f>
        <v>0.47972972972972971</v>
      </c>
      <c r="AQ81" s="345">
        <f>IF(coder1_YH!Y81="",AQ80,coder1_YH!Y81)</f>
        <v>0.2432432432432432</v>
      </c>
      <c r="AR81">
        <f>coder1_YH!AB81</f>
        <v>0</v>
      </c>
      <c r="AS81" s="345" t="str">
        <f>IF(coder1_YH!AC81 = "", AS80,IF(coder1_YH!AC81="BAU","BAU",LEFT(coder1_YH!AC81)))</f>
        <v>0</v>
      </c>
      <c r="AT81" s="345" t="str">
        <f>IF(coder1_YH!AD81 = "", AT80,IF(coder1_YH!AD81="BAU","BAU",LEFT(coder1_YH!AD81)))</f>
        <v>0</v>
      </c>
      <c r="AU81" s="345" t="str">
        <f>IF(coder1_YH!AE81 = "", AU80,IF(coder1_YH!AE81="BAU","BAU",LEFT(coder1_YH!AE81)))</f>
        <v>1</v>
      </c>
      <c r="AV81" s="345">
        <f>IF(coder1_YH!AF81="",AV80,coder1_YH!AF81)</f>
        <v>5400</v>
      </c>
      <c r="AW81" s="345">
        <f t="shared" si="37"/>
        <v>90</v>
      </c>
      <c r="AX81" s="345">
        <f>IF(coder1_YH!AG81="",AX80,coder1_YH!AG81)</f>
        <v>60</v>
      </c>
      <c r="AY81" s="345">
        <f>IF(coder1_YH!AH81="",AY80,coder1_YH!AH81)</f>
        <v>90</v>
      </c>
      <c r="AZ81" s="345" t="str">
        <f>IF(coder1_YH!AI81 = "", AZ80, IF(coder1_YH!AI81="BAU","BAU",LEFT(coder1_YH!AI81)))</f>
        <v>1</v>
      </c>
      <c r="BA81" s="384">
        <f>clean_data!Y81</f>
        <v>148</v>
      </c>
    </row>
    <row r="82" spans="1:53" x14ac:dyDescent="0.2">
      <c r="A82">
        <f>coder1_YH!B82</f>
        <v>0</v>
      </c>
      <c r="B82">
        <f>coder1_YH!C82</f>
        <v>82</v>
      </c>
      <c r="C82">
        <f>coder1_YH!D82</f>
        <v>0</v>
      </c>
      <c r="D82" t="str">
        <f>coder1_YH!E82</f>
        <v/>
      </c>
      <c r="E82" t="b">
        <f>coder1_YH!F82</f>
        <v>1</v>
      </c>
      <c r="F82" s="321" t="str">
        <f>IF(coder1_YH!G82="", clean_mod!F81, coder1_YH!G82)</f>
        <v>Guthrie et al. (S1), 2004</v>
      </c>
      <c r="G82" s="321" t="str">
        <f t="shared" si="20"/>
        <v>117</v>
      </c>
      <c r="H82" s="321">
        <f>IF(coder1_YH!H82="", clean_mod!H81, coder1_YH!H82)</f>
        <v>117</v>
      </c>
      <c r="I82" s="404" t="str">
        <f t="shared" si="38"/>
        <v>2004</v>
      </c>
      <c r="J82" s="344" t="str">
        <f>IF(coder1_YH!I82="",J81,coder1_YH!I82)</f>
        <v>USA</v>
      </c>
      <c r="K82" s="345">
        <f t="shared" si="22"/>
        <v>0</v>
      </c>
      <c r="L82" s="344" t="str">
        <f>IF(coder1_YH!J82 = "",L81, coder1_YH!J82)</f>
        <v>English</v>
      </c>
      <c r="M82" s="345">
        <f t="shared" si="23"/>
        <v>0</v>
      </c>
      <c r="N82" s="345" t="str">
        <f>IF(coder1_YH!K82 = "", N81, LEFT(coder1_YH!K82,1))</f>
        <v>0</v>
      </c>
      <c r="O82" s="345" t="str">
        <f>IF(coder1_YH!L82 = "", O81, LEFT(coder1_YH!L82,1))</f>
        <v>0</v>
      </c>
      <c r="P82" s="345" t="str">
        <f>IF(coder1_YH!M82 = "", P81, LEFT(coder1_YH!M82,1))</f>
        <v>1</v>
      </c>
      <c r="Q82" s="321" t="str">
        <f>coder1_YH!P82</f>
        <v>ctl</v>
      </c>
      <c r="R82" s="321" t="str">
        <f>coder1_YH!Q82</f>
        <v>SI (6)</v>
      </c>
      <c r="S82" s="323" t="str">
        <f t="shared" si="24"/>
        <v/>
      </c>
      <c r="T82" s="323" t="str">
        <f t="shared" si="25"/>
        <v/>
      </c>
      <c r="U82" s="323" t="str">
        <f t="shared" si="26"/>
        <v/>
      </c>
      <c r="V82" s="323" t="str">
        <f t="shared" si="27"/>
        <v/>
      </c>
      <c r="W82" s="323">
        <f t="shared" si="28"/>
        <v>0</v>
      </c>
      <c r="X82" s="385" t="str">
        <f>IF(coder1_YH!N82 = "",X81,coder1_YH!N82)</f>
        <v>.</v>
      </c>
      <c r="Y82" s="385" t="str">
        <f>IF(coder1_YH!O82 = "",Y81,coder1_YH!O82)</f>
        <v xml:space="preserve">m </v>
      </c>
      <c r="Z82" s="385" t="str">
        <f t="shared" si="29"/>
        <v/>
      </c>
      <c r="AA82" s="385" t="str">
        <f t="shared" si="30"/>
        <v>R</v>
      </c>
      <c r="AB82" s="385" t="str">
        <f t="shared" si="31"/>
        <v>R</v>
      </c>
      <c r="AC82" s="323" t="str">
        <f t="shared" si="32"/>
        <v xml:space="preserve">.m </v>
      </c>
      <c r="AD82" s="323" t="str">
        <f t="shared" si="33"/>
        <v>R</v>
      </c>
      <c r="AF82" s="369" t="str">
        <f t="shared" si="34"/>
        <v xml:space="preserve">117-.m </v>
      </c>
      <c r="AG82" s="369" t="str">
        <f t="shared" si="35"/>
        <v>117-R</v>
      </c>
      <c r="AH82" s="344" t="str">
        <f>IF(coder1_YH!R82="",AH81,coder1_YH!R82)</f>
        <v>3</v>
      </c>
      <c r="AI82" s="344" t="str">
        <f t="shared" si="19"/>
        <v>3</v>
      </c>
      <c r="AJ82" s="345">
        <f t="shared" si="36"/>
        <v>1</v>
      </c>
      <c r="AK82" s="408">
        <f>IF(coder1_YH!S82="",AK81,coder1_YH!S82)</f>
        <v>8.5</v>
      </c>
      <c r="AL82" s="345" t="str">
        <f>IF(coder1_YH!T82="",AL81,IF(coder1_YH!T82="mixed",0.25,coder1_YH!T82))</f>
        <v>NA</v>
      </c>
      <c r="AM82" s="345" t="str">
        <f>IF(coder1_YH!U82 = "", AM81, IF(coder1_YH!U82="mixed","NA",coder1_YH!U82))</f>
        <v>NA</v>
      </c>
      <c r="AN82" s="345">
        <f>IF(coder1_YH!V82="",AN81,coder1_YH!V82)</f>
        <v>0.22065727699530516</v>
      </c>
      <c r="AO82" s="345" t="str">
        <f>IF(coder1_YH!W82="",AO81,coder1_YH!W82)</f>
        <v>NA</v>
      </c>
      <c r="AP82" s="345">
        <f>IF(coder1_YH!X82="",AP81,coder1_YH!X82)</f>
        <v>0.47887323943661969</v>
      </c>
      <c r="AQ82" s="345">
        <f>IF(coder1_YH!Y82="",AQ81,coder1_YH!Y82)</f>
        <v>0.27230046948356812</v>
      </c>
      <c r="AR82" t="str">
        <f>coder1_YH!AB82</f>
        <v>2 = District/State curriculum</v>
      </c>
      <c r="AS82" s="345" t="str">
        <f>IF(coder1_YH!AC82 = "", AS81,IF(coder1_YH!AC82="BAU","BAU",LEFT(coder1_YH!AC82)))</f>
        <v>0</v>
      </c>
      <c r="AT82" s="345" t="str">
        <f>IF(coder1_YH!AD82 = "", AT81,IF(coder1_YH!AD82="BAU","BAU",LEFT(coder1_YH!AD82)))</f>
        <v>0</v>
      </c>
      <c r="AU82" s="345" t="str">
        <f>IF(coder1_YH!AE82 = "", AU81,IF(coder1_YH!AE82="BAU","BAU",LEFT(coder1_YH!AE82)))</f>
        <v>1</v>
      </c>
      <c r="AV82" s="345">
        <f>IF(coder1_YH!AF82="",AV81,coder1_YH!AF82)</f>
        <v>5400</v>
      </c>
      <c r="AW82" s="345">
        <f t="shared" si="37"/>
        <v>90</v>
      </c>
      <c r="AX82" s="345">
        <f>IF(coder1_YH!AG82="",AX81,coder1_YH!AG82)</f>
        <v>60</v>
      </c>
      <c r="AY82" s="345">
        <f>IF(coder1_YH!AH82="",AY81,coder1_YH!AH82)</f>
        <v>90</v>
      </c>
      <c r="AZ82" s="345" t="str">
        <f>IF(coder1_YH!AI82 = "", AZ81, IF(coder1_YH!AI82="BAU","BAU",LEFT(coder1_YH!AI82)))</f>
        <v>1</v>
      </c>
      <c r="BA82" s="384">
        <f>clean_data!Y82</f>
        <v>213</v>
      </c>
    </row>
    <row r="83" spans="1:53" x14ac:dyDescent="0.2">
      <c r="A83">
        <f>coder1_YH!B83</f>
        <v>0</v>
      </c>
      <c r="B83">
        <f>coder1_YH!C83</f>
        <v>83</v>
      </c>
      <c r="C83">
        <f>coder1_YH!D83</f>
        <v>0</v>
      </c>
      <c r="D83" t="str">
        <f>coder1_YH!E83</f>
        <v/>
      </c>
      <c r="E83" t="str">
        <f>coder1_YH!F83</f>
        <v/>
      </c>
      <c r="F83" s="321" t="str">
        <f>IF(coder1_YH!G83="", clean_mod!F82, coder1_YH!G83)</f>
        <v>Guthrie et al. (S1), 2004</v>
      </c>
      <c r="G83" s="321" t="str">
        <f t="shared" si="20"/>
        <v>117</v>
      </c>
      <c r="H83" s="321">
        <f>IF(coder1_YH!H83="", clean_mod!H82, coder1_YH!H83)</f>
        <v>117</v>
      </c>
      <c r="I83" s="404" t="str">
        <f t="shared" si="38"/>
        <v>2004</v>
      </c>
      <c r="J83" s="344" t="str">
        <f>IF(coder1_YH!I83="",J82,coder1_YH!I83)</f>
        <v>USA</v>
      </c>
      <c r="K83" s="345">
        <f t="shared" si="22"/>
        <v>0</v>
      </c>
      <c r="L83" s="344" t="str">
        <f>IF(coder1_YH!J83 = "",L82, coder1_YH!J83)</f>
        <v>English</v>
      </c>
      <c r="M83" s="345">
        <f t="shared" si="23"/>
        <v>0</v>
      </c>
      <c r="N83" s="345" t="str">
        <f>IF(coder1_YH!K83 = "", N82, LEFT(coder1_YH!K83,1))</f>
        <v>0</v>
      </c>
      <c r="O83" s="345" t="str">
        <f>IF(coder1_YH!L83 = "", O82, LEFT(coder1_YH!L83,1))</f>
        <v>0</v>
      </c>
      <c r="P83" s="345" t="str">
        <f>IF(coder1_YH!M83 = "", P82, LEFT(coder1_YH!M83,1))</f>
        <v>1</v>
      </c>
      <c r="Q83" s="321">
        <f>coder1_YH!P83</f>
        <v>0</v>
      </c>
      <c r="R83" s="321">
        <f>coder1_YH!Q83</f>
        <v>0</v>
      </c>
      <c r="S83" s="323" t="str">
        <f t="shared" si="24"/>
        <v/>
      </c>
      <c r="T83" s="323" t="str">
        <f t="shared" si="25"/>
        <v/>
      </c>
      <c r="U83" s="323" t="str">
        <f t="shared" si="26"/>
        <v/>
      </c>
      <c r="V83" s="323" t="str">
        <f t="shared" si="27"/>
        <v/>
      </c>
      <c r="W83" s="323">
        <f t="shared" si="28"/>
        <v>0</v>
      </c>
      <c r="X83" s="385" t="str">
        <f>IF(coder1_YH!N83 = "",X82,coder1_YH!N83)</f>
        <v>.</v>
      </c>
      <c r="Y83" s="385" t="str">
        <f>IF(coder1_YH!O83 = "",Y82,coder1_YH!O83)</f>
        <v xml:space="preserve">m </v>
      </c>
      <c r="Z83" s="385" t="str">
        <f t="shared" si="29"/>
        <v/>
      </c>
      <c r="AA83" s="385" t="str">
        <f t="shared" si="30"/>
        <v>R</v>
      </c>
      <c r="AB83" s="385" t="str">
        <f t="shared" si="31"/>
        <v>R</v>
      </c>
      <c r="AC83" s="323" t="str">
        <f t="shared" si="32"/>
        <v xml:space="preserve">.m </v>
      </c>
      <c r="AD83" s="323" t="str">
        <f t="shared" si="33"/>
        <v>R</v>
      </c>
      <c r="AF83" s="369" t="str">
        <f t="shared" si="34"/>
        <v xml:space="preserve">117-.m </v>
      </c>
      <c r="AG83" s="369" t="str">
        <f t="shared" si="35"/>
        <v>117-R</v>
      </c>
      <c r="AH83" s="344" t="str">
        <f>IF(coder1_YH!R83="",AH82,coder1_YH!R83)</f>
        <v>3</v>
      </c>
      <c r="AI83" s="344" t="str">
        <f t="shared" si="19"/>
        <v>3</v>
      </c>
      <c r="AJ83" s="345">
        <f t="shared" si="36"/>
        <v>1</v>
      </c>
      <c r="AK83" s="408">
        <f>IF(coder1_YH!S83="",AK82,coder1_YH!S83)</f>
        <v>8.5</v>
      </c>
      <c r="AL83" s="345" t="str">
        <f>IF(coder1_YH!T83="",AL82,IF(coder1_YH!T83="mixed",0.25,coder1_YH!T83))</f>
        <v>NA</v>
      </c>
      <c r="AM83" s="345" t="str">
        <f>IF(coder1_YH!U83 = "", AM82, IF(coder1_YH!U83="mixed","NA",coder1_YH!U83))</f>
        <v>NA</v>
      </c>
      <c r="AN83" s="345">
        <f>IF(coder1_YH!V83="",AN82,coder1_YH!V83)</f>
        <v>0.22065727699530516</v>
      </c>
      <c r="AO83" s="345" t="str">
        <f>IF(coder1_YH!W83="",AO82,coder1_YH!W83)</f>
        <v>NA</v>
      </c>
      <c r="AP83" s="345">
        <f>IF(coder1_YH!X83="",AP82,coder1_YH!X83)</f>
        <v>0.47887323943661969</v>
      </c>
      <c r="AQ83" s="345">
        <f>IF(coder1_YH!Y83="",AQ82,coder1_YH!Y83)</f>
        <v>0.27230046948356812</v>
      </c>
      <c r="AR83">
        <f>coder1_YH!AB83</f>
        <v>0</v>
      </c>
      <c r="AS83" s="345" t="str">
        <f>IF(coder1_YH!AC83 = "", AS82,IF(coder1_YH!AC83="BAU","BAU",LEFT(coder1_YH!AC83)))</f>
        <v>0</v>
      </c>
      <c r="AT83" s="345" t="str">
        <f>IF(coder1_YH!AD83 = "", AT82,IF(coder1_YH!AD83="BAU","BAU",LEFT(coder1_YH!AD83)))</f>
        <v>0</v>
      </c>
      <c r="AU83" s="345" t="str">
        <f>IF(coder1_YH!AE83 = "", AU82,IF(coder1_YH!AE83="BAU","BAU",LEFT(coder1_YH!AE83)))</f>
        <v>1</v>
      </c>
      <c r="AV83" s="345">
        <f>IF(coder1_YH!AF83="",AV82,coder1_YH!AF83)</f>
        <v>5400</v>
      </c>
      <c r="AW83" s="345">
        <f t="shared" si="37"/>
        <v>90</v>
      </c>
      <c r="AX83" s="345">
        <f>IF(coder1_YH!AG83="",AX82,coder1_YH!AG83)</f>
        <v>60</v>
      </c>
      <c r="AY83" s="345">
        <f>IF(coder1_YH!AH83="",AY82,coder1_YH!AH83)</f>
        <v>90</v>
      </c>
      <c r="AZ83" s="345" t="str">
        <f>IF(coder1_YH!AI83 = "", AZ82, IF(coder1_YH!AI83="BAU","BAU",LEFT(coder1_YH!AI83)))</f>
        <v>1</v>
      </c>
      <c r="BA83" s="384">
        <f>clean_data!Y83</f>
        <v>213</v>
      </c>
    </row>
    <row r="84" spans="1:53" x14ac:dyDescent="0.2">
      <c r="A84">
        <f>coder1_YH!B84</f>
        <v>0</v>
      </c>
      <c r="B84">
        <f>coder1_YH!C84</f>
        <v>84</v>
      </c>
      <c r="C84" t="b">
        <f>coder1_YH!D84</f>
        <v>1</v>
      </c>
      <c r="D84" t="b">
        <f>coder1_YH!E84</f>
        <v>1</v>
      </c>
      <c r="E84" t="b">
        <f>coder1_YH!F84</f>
        <v>1</v>
      </c>
      <c r="F84" s="321" t="str">
        <f>IF(coder1_YH!G84="", clean_mod!F83, coder1_YH!G84)</f>
        <v>Guthrie et al. (S2), 2004</v>
      </c>
      <c r="G84" s="321" t="str">
        <f t="shared" si="20"/>
        <v>118</v>
      </c>
      <c r="H84" s="321">
        <f>IF(coder1_YH!H84="", clean_mod!H83, coder1_YH!H84)</f>
        <v>118</v>
      </c>
      <c r="I84" s="404" t="str">
        <f t="shared" si="38"/>
        <v>2004</v>
      </c>
      <c r="J84" s="344" t="str">
        <f>IF(coder1_YH!I84="",J83,coder1_YH!I84)</f>
        <v>USA</v>
      </c>
      <c r="K84" s="345">
        <f t="shared" si="22"/>
        <v>0</v>
      </c>
      <c r="L84" s="344" t="str">
        <f>IF(coder1_YH!J84 = "",L83, coder1_YH!J84)</f>
        <v>English</v>
      </c>
      <c r="M84" s="345">
        <f t="shared" si="23"/>
        <v>0</v>
      </c>
      <c r="N84" s="345" t="str">
        <f>IF(coder1_YH!K84 = "", N83, LEFT(coder1_YH!K84,1))</f>
        <v>0</v>
      </c>
      <c r="O84" s="345" t="str">
        <f>IF(coder1_YH!L84 = "", O83, LEFT(coder1_YH!L84,1))</f>
        <v>0</v>
      </c>
      <c r="P84" s="345" t="str">
        <f>IF(coder1_YH!M84 = "", P83, LEFT(coder1_YH!M84,1))</f>
        <v>1</v>
      </c>
      <c r="Q84" s="321">
        <f>coder1_YH!P84</f>
        <v>1</v>
      </c>
      <c r="R84" s="321" t="str">
        <f>coder1_YH!Q84</f>
        <v>CORI (9)</v>
      </c>
      <c r="S84" s="323" t="str">
        <f t="shared" si="24"/>
        <v>N</v>
      </c>
      <c r="T84" s="323" t="str">
        <f t="shared" si="25"/>
        <v/>
      </c>
      <c r="U84" s="323" t="str">
        <f t="shared" si="26"/>
        <v/>
      </c>
      <c r="V84" s="323" t="str">
        <f t="shared" si="27"/>
        <v/>
      </c>
      <c r="W84" s="323">
        <f t="shared" si="28"/>
        <v>1</v>
      </c>
      <c r="X84" s="385" t="str">
        <f>IF(coder1_YH!N84 = "",X83,coder1_YH!N84)</f>
        <v>N</v>
      </c>
      <c r="Y84" s="385" t="str">
        <f>IF(coder1_YH!O84 = "",Y83,coder1_YH!O84)</f>
        <v xml:space="preserve">m </v>
      </c>
      <c r="Z84" s="385" t="str">
        <f t="shared" si="29"/>
        <v>M</v>
      </c>
      <c r="AA84" s="385" t="str">
        <f t="shared" si="30"/>
        <v>R</v>
      </c>
      <c r="AB84" s="385" t="str">
        <f t="shared" si="31"/>
        <v>MR</v>
      </c>
      <c r="AC84" s="323" t="str">
        <f t="shared" si="32"/>
        <v xml:space="preserve">Nm </v>
      </c>
      <c r="AD84" s="323" t="str">
        <f t="shared" si="33"/>
        <v>N_R</v>
      </c>
      <c r="AE84" s="323">
        <f>IF(Y84="cm", 1,0)</f>
        <v>0</v>
      </c>
      <c r="AF84" s="369" t="str">
        <f t="shared" si="34"/>
        <v xml:space="preserve">118-Nm </v>
      </c>
      <c r="AG84" s="369" t="str">
        <f t="shared" si="35"/>
        <v>118-N_R</v>
      </c>
      <c r="AH84" s="344" t="str">
        <f>IF(coder1_YH!R84="",AH83,coder1_YH!R84)</f>
        <v>3</v>
      </c>
      <c r="AI84" s="344" t="str">
        <f t="shared" si="19"/>
        <v>3</v>
      </c>
      <c r="AJ84" s="345">
        <f t="shared" si="36"/>
        <v>1</v>
      </c>
      <c r="AK84" s="408">
        <f>IF(coder1_YH!S84="",AK83,coder1_YH!S84)</f>
        <v>8.5</v>
      </c>
      <c r="AL84" s="345" t="str">
        <f>IF(coder1_YH!T84="",AL83,IF(coder1_YH!T84="mixed",0.25,coder1_YH!T84))</f>
        <v>NA</v>
      </c>
      <c r="AM84" s="345">
        <f>IF(coder1_YH!U84 = "", AM83, IF(coder1_YH!U84="mixed","NA",coder1_YH!U84))</f>
        <v>0.15760869565217392</v>
      </c>
      <c r="AN84" s="345" t="str">
        <f>IF(coder1_YH!V84="",AN83,coder1_YH!V84)</f>
        <v>NA</v>
      </c>
      <c r="AO84" s="345">
        <f>IF(coder1_YH!W84="",AO83,coder1_YH!W84)</f>
        <v>2.0512820512820513E-2</v>
      </c>
      <c r="AP84" s="345">
        <f>IF(coder1_YH!X84="",AP83,coder1_YH!X84)</f>
        <v>0.56544502617801051</v>
      </c>
      <c r="AQ84" s="345">
        <f>IF(coder1_YH!Y84="",AQ83,coder1_YH!Y84)</f>
        <v>0.47777777777777775</v>
      </c>
      <c r="AR84" t="str">
        <f>coder1_YH!AB84</f>
        <v>0 = Researcher-developed curriculum</v>
      </c>
      <c r="AS84" s="345" t="str">
        <f>IF(coder1_YH!AC84 = "", AS83,IF(coder1_YH!AC84="BAU","BAU",LEFT(coder1_YH!AC84)))</f>
        <v>0</v>
      </c>
      <c r="AT84" s="345" t="str">
        <f>IF(coder1_YH!AD84 = "", AT83,IF(coder1_YH!AD84="BAU","BAU",LEFT(coder1_YH!AD84)))</f>
        <v>0</v>
      </c>
      <c r="AU84" s="345" t="str">
        <f>IF(coder1_YH!AE84 = "", AU83,IF(coder1_YH!AE84="BAU","BAU",LEFT(coder1_YH!AE84)))</f>
        <v>1</v>
      </c>
      <c r="AV84" s="345">
        <f>IF(coder1_YH!AF84="",AV83,coder1_YH!AF84)</f>
        <v>5400</v>
      </c>
      <c r="AW84" s="345">
        <f t="shared" si="37"/>
        <v>90</v>
      </c>
      <c r="AX84" s="345">
        <f>IF(coder1_YH!AG84="",AX83,coder1_YH!AG84)</f>
        <v>60</v>
      </c>
      <c r="AY84" s="345">
        <f>IF(coder1_YH!AH84="",AY83,coder1_YH!AH84)</f>
        <v>90</v>
      </c>
      <c r="AZ84" s="345" t="str">
        <f>IF(coder1_YH!AI84 = "", AZ83, IF(coder1_YH!AI84="BAU","BAU",LEFT(coder1_YH!AI84)))</f>
        <v>1</v>
      </c>
      <c r="BA84" s="384">
        <f>clean_data!Y84</f>
        <v>191</v>
      </c>
    </row>
    <row r="85" spans="1:53" x14ac:dyDescent="0.2">
      <c r="A85">
        <f>coder1_YH!B85</f>
        <v>0</v>
      </c>
      <c r="B85">
        <f>coder1_YH!C85</f>
        <v>85</v>
      </c>
      <c r="C85">
        <f>coder1_YH!D85</f>
        <v>0</v>
      </c>
      <c r="D85" t="str">
        <f>coder1_YH!E85</f>
        <v/>
      </c>
      <c r="E85" t="str">
        <f>coder1_YH!F85</f>
        <v/>
      </c>
      <c r="F85" s="321" t="str">
        <f>IF(coder1_YH!G85="", clean_mod!F84, coder1_YH!G85)</f>
        <v>Guthrie et al. (S2), 2004</v>
      </c>
      <c r="G85" s="321" t="str">
        <f t="shared" si="20"/>
        <v>118</v>
      </c>
      <c r="H85" s="321">
        <f>IF(coder1_YH!H85="", clean_mod!H84, coder1_YH!H85)</f>
        <v>118</v>
      </c>
      <c r="I85" s="404" t="str">
        <f t="shared" si="38"/>
        <v>2004</v>
      </c>
      <c r="J85" s="344" t="str">
        <f>IF(coder1_YH!I85="",J84,coder1_YH!I85)</f>
        <v>USA</v>
      </c>
      <c r="K85" s="345">
        <f t="shared" si="22"/>
        <v>0</v>
      </c>
      <c r="L85" s="344" t="str">
        <f>IF(coder1_YH!J85 = "",L84, coder1_YH!J85)</f>
        <v>English</v>
      </c>
      <c r="M85" s="345">
        <f t="shared" si="23"/>
        <v>0</v>
      </c>
      <c r="N85" s="345" t="str">
        <f>IF(coder1_YH!K85 = "", N84, LEFT(coder1_YH!K85,1))</f>
        <v>0</v>
      </c>
      <c r="O85" s="345" t="str">
        <f>IF(coder1_YH!L85 = "", O84, LEFT(coder1_YH!L85,1))</f>
        <v>0</v>
      </c>
      <c r="P85" s="345" t="str">
        <f>IF(coder1_YH!M85 = "", P84, LEFT(coder1_YH!M85,1))</f>
        <v>1</v>
      </c>
      <c r="Q85" s="321">
        <f>coder1_YH!P85</f>
        <v>0</v>
      </c>
      <c r="R85" s="321">
        <f>coder1_YH!Q85</f>
        <v>0</v>
      </c>
      <c r="S85" s="323" t="str">
        <f t="shared" si="24"/>
        <v>N</v>
      </c>
      <c r="T85" s="323" t="str">
        <f t="shared" si="25"/>
        <v/>
      </c>
      <c r="U85" s="323" t="str">
        <f t="shared" si="26"/>
        <v/>
      </c>
      <c r="V85" s="323" t="str">
        <f t="shared" si="27"/>
        <v/>
      </c>
      <c r="W85" s="323">
        <f t="shared" si="28"/>
        <v>1</v>
      </c>
      <c r="X85" s="385" t="str">
        <f>IF(coder1_YH!N85 = "",X84,coder1_YH!N85)</f>
        <v>N</v>
      </c>
      <c r="Y85" s="385" t="str">
        <f>IF(coder1_YH!O85 = "",Y84,coder1_YH!O85)</f>
        <v xml:space="preserve">m </v>
      </c>
      <c r="Z85" s="385" t="str">
        <f t="shared" si="29"/>
        <v>M</v>
      </c>
      <c r="AA85" s="385" t="str">
        <f t="shared" si="30"/>
        <v>R</v>
      </c>
      <c r="AB85" s="385" t="str">
        <f t="shared" si="31"/>
        <v>MR</v>
      </c>
      <c r="AC85" s="323" t="str">
        <f t="shared" si="32"/>
        <v xml:space="preserve">Nm </v>
      </c>
      <c r="AD85" s="323" t="str">
        <f t="shared" si="33"/>
        <v>N_R</v>
      </c>
      <c r="AF85" s="369" t="str">
        <f t="shared" si="34"/>
        <v xml:space="preserve">118-Nm </v>
      </c>
      <c r="AG85" s="369" t="str">
        <f t="shared" si="35"/>
        <v>118-N_R</v>
      </c>
      <c r="AH85" s="344" t="str">
        <f>IF(coder1_YH!R85="",AH84,coder1_YH!R85)</f>
        <v>3</v>
      </c>
      <c r="AI85" s="344" t="str">
        <f t="shared" si="19"/>
        <v>3</v>
      </c>
      <c r="AJ85" s="345">
        <f t="shared" si="36"/>
        <v>1</v>
      </c>
      <c r="AK85" s="408">
        <f>IF(coder1_YH!S85="",AK84,coder1_YH!S85)</f>
        <v>8.5</v>
      </c>
      <c r="AL85" s="345" t="str">
        <f>IF(coder1_YH!T85="",AL84,IF(coder1_YH!T85="mixed",0.25,coder1_YH!T85))</f>
        <v>NA</v>
      </c>
      <c r="AM85" s="345">
        <f>IF(coder1_YH!U85 = "", AM84, IF(coder1_YH!U85="mixed","NA",coder1_YH!U85))</f>
        <v>0.15760869565217392</v>
      </c>
      <c r="AN85" s="345" t="str">
        <f>IF(coder1_YH!V85="",AN84,coder1_YH!V85)</f>
        <v>NA</v>
      </c>
      <c r="AO85" s="345">
        <f>IF(coder1_YH!W85="",AO84,coder1_YH!W85)</f>
        <v>2.0512820512820513E-2</v>
      </c>
      <c r="AP85" s="345">
        <f>IF(coder1_YH!X85="",AP84,coder1_YH!X85)</f>
        <v>0.56544502617801051</v>
      </c>
      <c r="AQ85" s="345">
        <f>IF(coder1_YH!Y85="",AQ84,coder1_YH!Y85)</f>
        <v>0.47777777777777775</v>
      </c>
      <c r="AR85">
        <f>coder1_YH!AB85</f>
        <v>0</v>
      </c>
      <c r="AS85" s="345" t="str">
        <f>IF(coder1_YH!AC85 = "", AS84,IF(coder1_YH!AC85="BAU","BAU",LEFT(coder1_YH!AC85)))</f>
        <v>0</v>
      </c>
      <c r="AT85" s="345" t="str">
        <f>IF(coder1_YH!AD85 = "", AT84,IF(coder1_YH!AD85="BAU","BAU",LEFT(coder1_YH!AD85)))</f>
        <v>0</v>
      </c>
      <c r="AU85" s="345" t="str">
        <f>IF(coder1_YH!AE85 = "", AU84,IF(coder1_YH!AE85="BAU","BAU",LEFT(coder1_YH!AE85)))</f>
        <v>1</v>
      </c>
      <c r="AV85" s="345">
        <f>IF(coder1_YH!AF85="",AV84,coder1_YH!AF85)</f>
        <v>5400</v>
      </c>
      <c r="AW85" s="345">
        <f t="shared" si="37"/>
        <v>90</v>
      </c>
      <c r="AX85" s="345">
        <f>IF(coder1_YH!AG85="",AX84,coder1_YH!AG85)</f>
        <v>60</v>
      </c>
      <c r="AY85" s="345">
        <f>IF(coder1_YH!AH85="",AY84,coder1_YH!AH85)</f>
        <v>90</v>
      </c>
      <c r="AZ85" s="345" t="str">
        <f>IF(coder1_YH!AI85 = "", AZ84, IF(coder1_YH!AI85="BAU","BAU",LEFT(coder1_YH!AI85)))</f>
        <v>1</v>
      </c>
      <c r="BA85" s="384">
        <f>clean_data!Y85</f>
        <v>191</v>
      </c>
    </row>
    <row r="86" spans="1:53" x14ac:dyDescent="0.2">
      <c r="A86">
        <f>coder1_YH!B86</f>
        <v>0</v>
      </c>
      <c r="B86">
        <f>coder1_YH!C86</f>
        <v>86</v>
      </c>
      <c r="C86">
        <f>coder1_YH!D86</f>
        <v>0</v>
      </c>
      <c r="D86" t="str">
        <f>coder1_YH!E86</f>
        <v/>
      </c>
      <c r="E86" t="b">
        <f>coder1_YH!F86</f>
        <v>1</v>
      </c>
      <c r="F86" s="321" t="str">
        <f>IF(coder1_YH!G86="", clean_mod!F85, coder1_YH!G86)</f>
        <v>Guthrie et al. (S2), 2004</v>
      </c>
      <c r="G86" s="321" t="str">
        <f t="shared" si="20"/>
        <v>118</v>
      </c>
      <c r="H86" s="321">
        <f>IF(coder1_YH!H86="", clean_mod!H85, coder1_YH!H86)</f>
        <v>118</v>
      </c>
      <c r="I86" s="404" t="str">
        <f t="shared" si="38"/>
        <v>2004</v>
      </c>
      <c r="J86" s="344" t="str">
        <f>IF(coder1_YH!I86="",J85,coder1_YH!I86)</f>
        <v>USA</v>
      </c>
      <c r="K86" s="345">
        <f t="shared" si="22"/>
        <v>0</v>
      </c>
      <c r="L86" s="344" t="str">
        <f>IF(coder1_YH!J86 = "",L85, coder1_YH!J86)</f>
        <v>English</v>
      </c>
      <c r="M86" s="345">
        <f t="shared" si="23"/>
        <v>0</v>
      </c>
      <c r="N86" s="345" t="str">
        <f>IF(coder1_YH!K86 = "", N85, LEFT(coder1_YH!K86,1))</f>
        <v>0</v>
      </c>
      <c r="O86" s="345" t="str">
        <f>IF(coder1_YH!L86 = "", O85, LEFT(coder1_YH!L86,1))</f>
        <v>0</v>
      </c>
      <c r="P86" s="345" t="str">
        <f>IF(coder1_YH!M86 = "", P85, LEFT(coder1_YH!M86,1))</f>
        <v>1</v>
      </c>
      <c r="Q86" s="321">
        <f>coder1_YH!P86</f>
        <v>2</v>
      </c>
      <c r="R86" s="321" t="str">
        <f>coder1_YH!Q86</f>
        <v>SI (11)</v>
      </c>
      <c r="S86" s="323" t="str">
        <f t="shared" si="24"/>
        <v>N</v>
      </c>
      <c r="T86" s="323" t="str">
        <f t="shared" si="25"/>
        <v/>
      </c>
      <c r="U86" s="323" t="str">
        <f t="shared" si="26"/>
        <v/>
      </c>
      <c r="V86" s="323" t="str">
        <f t="shared" si="27"/>
        <v/>
      </c>
      <c r="W86" s="323">
        <f t="shared" si="28"/>
        <v>1</v>
      </c>
      <c r="X86" s="385" t="str">
        <f>IF(coder1_YH!N86 = "",X85,coder1_YH!N86)</f>
        <v>N</v>
      </c>
      <c r="Y86" s="385" t="str">
        <f>IF(coder1_YH!O86 = "",Y85,coder1_YH!O86)</f>
        <v xml:space="preserve">m </v>
      </c>
      <c r="Z86" s="385" t="str">
        <f t="shared" si="29"/>
        <v>M</v>
      </c>
      <c r="AA86" s="385" t="str">
        <f t="shared" si="30"/>
        <v>R</v>
      </c>
      <c r="AB86" s="385" t="str">
        <f t="shared" si="31"/>
        <v>MR</v>
      </c>
      <c r="AC86" s="323" t="str">
        <f t="shared" si="32"/>
        <v xml:space="preserve">Nm </v>
      </c>
      <c r="AD86" s="323" t="str">
        <f t="shared" si="33"/>
        <v>N_R</v>
      </c>
      <c r="AF86" s="369" t="str">
        <f t="shared" si="34"/>
        <v xml:space="preserve">118-Nm </v>
      </c>
      <c r="AG86" s="369" t="str">
        <f t="shared" si="35"/>
        <v>118-N_R</v>
      </c>
      <c r="AH86" s="344" t="str">
        <f>IF(coder1_YH!R86="",AH85,coder1_YH!R86)</f>
        <v>3</v>
      </c>
      <c r="AI86" s="344" t="str">
        <f t="shared" si="19"/>
        <v>3</v>
      </c>
      <c r="AJ86" s="345">
        <f t="shared" si="36"/>
        <v>1</v>
      </c>
      <c r="AK86" s="408">
        <f>IF(coder1_YH!S86="",AK85,coder1_YH!S86)</f>
        <v>8.5</v>
      </c>
      <c r="AL86" s="345" t="str">
        <f>IF(coder1_YH!T86="",AL85,IF(coder1_YH!T86="mixed",0.25,coder1_YH!T86))</f>
        <v>NA</v>
      </c>
      <c r="AM86" s="345">
        <f>IF(coder1_YH!U86 = "", AM85, IF(coder1_YH!U86="mixed","NA",coder1_YH!U86))</f>
        <v>0.10483870967741936</v>
      </c>
      <c r="AN86" s="345" t="str">
        <f>IF(coder1_YH!V86="",AN85,coder1_YH!V86)</f>
        <v>NA</v>
      </c>
      <c r="AO86" s="345">
        <f>IF(coder1_YH!W86="",AO85,coder1_YH!W86)</f>
        <v>2.6923076923076925E-2</v>
      </c>
      <c r="AP86" s="345">
        <f>IF(coder1_YH!X86="",AP85,coder1_YH!X86)</f>
        <v>0.50194552529182879</v>
      </c>
      <c r="AQ86" s="345">
        <f>IF(coder1_YH!Y86="",AQ85,coder1_YH!Y86)</f>
        <v>0.44129554655870445</v>
      </c>
      <c r="AR86" t="str">
        <f>coder1_YH!AB86</f>
        <v>2 = District/State curriculum</v>
      </c>
      <c r="AS86" s="345" t="str">
        <f>IF(coder1_YH!AC86 = "", AS85,IF(coder1_YH!AC86="BAU","BAU",LEFT(coder1_YH!AC86)))</f>
        <v>0</v>
      </c>
      <c r="AT86" s="345" t="str">
        <f>IF(coder1_YH!AD86 = "", AT85,IF(coder1_YH!AD86="BAU","BAU",LEFT(coder1_YH!AD86)))</f>
        <v>0</v>
      </c>
      <c r="AU86" s="345" t="str">
        <f>IF(coder1_YH!AE86 = "", AU85,IF(coder1_YH!AE86="BAU","BAU",LEFT(coder1_YH!AE86)))</f>
        <v>1</v>
      </c>
      <c r="AV86" s="345">
        <f>IF(coder1_YH!AF86="",AV85,coder1_YH!AF86)</f>
        <v>5400</v>
      </c>
      <c r="AW86" s="345">
        <f t="shared" si="37"/>
        <v>90</v>
      </c>
      <c r="AX86" s="345">
        <f>IF(coder1_YH!AG86="",AX85,coder1_YH!AG86)</f>
        <v>60</v>
      </c>
      <c r="AY86" s="345">
        <f>IF(coder1_YH!AH86="",AY85,coder1_YH!AH86)</f>
        <v>90</v>
      </c>
      <c r="AZ86" s="345" t="str">
        <f>IF(coder1_YH!AI86 = "", AZ85, IF(coder1_YH!AI86="BAU","BAU",LEFT(coder1_YH!AI86)))</f>
        <v>1</v>
      </c>
      <c r="BA86" s="384">
        <f>clean_data!Y86</f>
        <v>257</v>
      </c>
    </row>
    <row r="87" spans="1:53" x14ac:dyDescent="0.2">
      <c r="A87">
        <f>coder1_YH!B87</f>
        <v>0</v>
      </c>
      <c r="B87">
        <f>coder1_YH!C87</f>
        <v>87</v>
      </c>
      <c r="C87">
        <f>coder1_YH!D87</f>
        <v>0</v>
      </c>
      <c r="D87" t="str">
        <f>coder1_YH!E87</f>
        <v/>
      </c>
      <c r="E87" t="str">
        <f>coder1_YH!F87</f>
        <v/>
      </c>
      <c r="F87" s="321" t="str">
        <f>IF(coder1_YH!G87="", clean_mod!F86, coder1_YH!G87)</f>
        <v>Guthrie et al. (S2), 2004</v>
      </c>
      <c r="G87" s="321" t="str">
        <f t="shared" si="20"/>
        <v>118</v>
      </c>
      <c r="H87" s="321">
        <f>IF(coder1_YH!H87="", clean_mod!H86, coder1_YH!H87)</f>
        <v>118</v>
      </c>
      <c r="I87" s="404" t="str">
        <f t="shared" si="38"/>
        <v>2004</v>
      </c>
      <c r="J87" s="344" t="str">
        <f>IF(coder1_YH!I87="",J86,coder1_YH!I87)</f>
        <v>USA</v>
      </c>
      <c r="K87" s="345">
        <f t="shared" si="22"/>
        <v>0</v>
      </c>
      <c r="L87" s="344" t="str">
        <f>IF(coder1_YH!J87 = "",L86, coder1_YH!J87)</f>
        <v>English</v>
      </c>
      <c r="M87" s="345">
        <f t="shared" si="23"/>
        <v>0</v>
      </c>
      <c r="N87" s="345" t="str">
        <f>IF(coder1_YH!K87 = "", N86, LEFT(coder1_YH!K87,1))</f>
        <v>0</v>
      </c>
      <c r="O87" s="345" t="str">
        <f>IF(coder1_YH!L87 = "", O86, LEFT(coder1_YH!L87,1))</f>
        <v>0</v>
      </c>
      <c r="P87" s="345" t="str">
        <f>IF(coder1_YH!M87 = "", P86, LEFT(coder1_YH!M87,1))</f>
        <v>1</v>
      </c>
      <c r="Q87" s="321">
        <f>coder1_YH!P87</f>
        <v>0</v>
      </c>
      <c r="R87" s="321">
        <f>coder1_YH!Q87</f>
        <v>0</v>
      </c>
      <c r="S87" s="323" t="str">
        <f t="shared" si="24"/>
        <v>N</v>
      </c>
      <c r="T87" s="323" t="str">
        <f t="shared" si="25"/>
        <v/>
      </c>
      <c r="U87" s="323" t="str">
        <f t="shared" si="26"/>
        <v/>
      </c>
      <c r="V87" s="323" t="str">
        <f t="shared" si="27"/>
        <v/>
      </c>
      <c r="W87" s="323">
        <f t="shared" si="28"/>
        <v>1</v>
      </c>
      <c r="X87" s="385" t="str">
        <f>IF(coder1_YH!N87 = "",X86,coder1_YH!N87)</f>
        <v>N</v>
      </c>
      <c r="Y87" s="385" t="str">
        <f>IF(coder1_YH!O87 = "",Y86,coder1_YH!O87)</f>
        <v xml:space="preserve">m </v>
      </c>
      <c r="Z87" s="385" t="str">
        <f t="shared" si="29"/>
        <v>M</v>
      </c>
      <c r="AA87" s="385" t="str">
        <f t="shared" si="30"/>
        <v>R</v>
      </c>
      <c r="AB87" s="385" t="str">
        <f t="shared" si="31"/>
        <v>MR</v>
      </c>
      <c r="AC87" s="323" t="str">
        <f t="shared" si="32"/>
        <v xml:space="preserve">Nm </v>
      </c>
      <c r="AD87" s="323" t="str">
        <f t="shared" si="33"/>
        <v>N_R</v>
      </c>
      <c r="AF87" s="369" t="str">
        <f t="shared" si="34"/>
        <v xml:space="preserve">118-Nm </v>
      </c>
      <c r="AG87" s="369" t="str">
        <f t="shared" si="35"/>
        <v>118-N_R</v>
      </c>
      <c r="AH87" s="344" t="str">
        <f>IF(coder1_YH!R87="",AH86,coder1_YH!R87)</f>
        <v>3</v>
      </c>
      <c r="AI87" s="344" t="str">
        <f t="shared" si="19"/>
        <v>3</v>
      </c>
      <c r="AJ87" s="345">
        <f t="shared" si="36"/>
        <v>1</v>
      </c>
      <c r="AK87" s="408">
        <f>IF(coder1_YH!S87="",AK86,coder1_YH!S87)</f>
        <v>8.5</v>
      </c>
      <c r="AL87" s="345" t="str">
        <f>IF(coder1_YH!T87="",AL86,IF(coder1_YH!T87="mixed",0.25,coder1_YH!T87))</f>
        <v>NA</v>
      </c>
      <c r="AM87" s="345">
        <f>IF(coder1_YH!U87 = "", AM86, IF(coder1_YH!U87="mixed","NA",coder1_YH!U87))</f>
        <v>0.10483870967741936</v>
      </c>
      <c r="AN87" s="345" t="str">
        <f>IF(coder1_YH!V87="",AN86,coder1_YH!V87)</f>
        <v>NA</v>
      </c>
      <c r="AO87" s="345">
        <f>IF(coder1_YH!W87="",AO86,coder1_YH!W87)</f>
        <v>2.6923076923076925E-2</v>
      </c>
      <c r="AP87" s="345">
        <f>IF(coder1_YH!X87="",AP86,coder1_YH!X87)</f>
        <v>0.50194552529182879</v>
      </c>
      <c r="AQ87" s="345">
        <f>IF(coder1_YH!Y87="",AQ86,coder1_YH!Y87)</f>
        <v>0.44129554655870445</v>
      </c>
      <c r="AR87">
        <f>coder1_YH!AB87</f>
        <v>0</v>
      </c>
      <c r="AS87" s="345" t="str">
        <f>IF(coder1_YH!AC87 = "", AS86,IF(coder1_YH!AC87="BAU","BAU",LEFT(coder1_YH!AC87)))</f>
        <v>0</v>
      </c>
      <c r="AT87" s="345" t="str">
        <f>IF(coder1_YH!AD87 = "", AT86,IF(coder1_YH!AD87="BAU","BAU",LEFT(coder1_YH!AD87)))</f>
        <v>0</v>
      </c>
      <c r="AU87" s="345" t="str">
        <f>IF(coder1_YH!AE87 = "", AU86,IF(coder1_YH!AE87="BAU","BAU",LEFT(coder1_YH!AE87)))</f>
        <v>1</v>
      </c>
      <c r="AV87" s="345">
        <f>IF(coder1_YH!AF87="",AV86,coder1_YH!AF87)</f>
        <v>5400</v>
      </c>
      <c r="AW87" s="345">
        <f t="shared" si="37"/>
        <v>90</v>
      </c>
      <c r="AX87" s="345">
        <f>IF(coder1_YH!AG87="",AX86,coder1_YH!AG87)</f>
        <v>60</v>
      </c>
      <c r="AY87" s="345">
        <f>IF(coder1_YH!AH87="",AY86,coder1_YH!AH87)</f>
        <v>90</v>
      </c>
      <c r="AZ87" s="345" t="str">
        <f>IF(coder1_YH!AI87 = "", AZ86, IF(coder1_YH!AI87="BAU","BAU",LEFT(coder1_YH!AI87)))</f>
        <v>1</v>
      </c>
      <c r="BA87" s="384">
        <f>clean_data!Y87</f>
        <v>257</v>
      </c>
    </row>
    <row r="88" spans="1:53" x14ac:dyDescent="0.2">
      <c r="A88">
        <f>coder1_YH!B88</f>
        <v>0</v>
      </c>
      <c r="B88">
        <f>coder1_YH!C88</f>
        <v>88</v>
      </c>
      <c r="C88">
        <f>coder1_YH!D88</f>
        <v>0</v>
      </c>
      <c r="D88" t="str">
        <f>coder1_YH!E88</f>
        <v/>
      </c>
      <c r="E88" t="b">
        <f>coder1_YH!F88</f>
        <v>1</v>
      </c>
      <c r="F88" s="321" t="str">
        <f>IF(coder1_YH!G88="", clean_mod!F87, coder1_YH!G88)</f>
        <v>Guthrie et al. (S2), 2004</v>
      </c>
      <c r="G88" s="321" t="str">
        <f t="shared" si="20"/>
        <v>118</v>
      </c>
      <c r="H88" s="321">
        <f>IF(coder1_YH!H88="", clean_mod!H87, coder1_YH!H88)</f>
        <v>118</v>
      </c>
      <c r="I88" s="404" t="str">
        <f t="shared" si="38"/>
        <v>2004</v>
      </c>
      <c r="J88" s="344" t="str">
        <f>IF(coder1_YH!I88="",J87,coder1_YH!I88)</f>
        <v>USA</v>
      </c>
      <c r="K88" s="345">
        <f t="shared" si="22"/>
        <v>0</v>
      </c>
      <c r="L88" s="344" t="str">
        <f>IF(coder1_YH!J88 = "",L87, coder1_YH!J88)</f>
        <v>English</v>
      </c>
      <c r="M88" s="345">
        <f t="shared" si="23"/>
        <v>0</v>
      </c>
      <c r="N88" s="345" t="str">
        <f>IF(coder1_YH!K88 = "", N87, LEFT(coder1_YH!K88,1))</f>
        <v>0</v>
      </c>
      <c r="O88" s="345" t="str">
        <f>IF(coder1_YH!L88 = "", O87, LEFT(coder1_YH!L88,1))</f>
        <v>0</v>
      </c>
      <c r="P88" s="345" t="str">
        <f>IF(coder1_YH!M88 = "", P87, LEFT(coder1_YH!M88,1))</f>
        <v>1</v>
      </c>
      <c r="Q88" s="321" t="str">
        <f>coder1_YH!P88</f>
        <v>ctl</v>
      </c>
      <c r="R88" s="321" t="str">
        <f>coder1_YH!Q88</f>
        <v>TI (4)</v>
      </c>
      <c r="S88" s="323" t="str">
        <f t="shared" si="24"/>
        <v>N</v>
      </c>
      <c r="T88" s="323" t="str">
        <f t="shared" si="25"/>
        <v/>
      </c>
      <c r="U88" s="323" t="str">
        <f t="shared" si="26"/>
        <v/>
      </c>
      <c r="V88" s="323" t="str">
        <f t="shared" si="27"/>
        <v/>
      </c>
      <c r="W88" s="323">
        <f t="shared" si="28"/>
        <v>1</v>
      </c>
      <c r="X88" s="385" t="str">
        <f>IF(coder1_YH!N88 = "",X87,coder1_YH!N88)</f>
        <v>N</v>
      </c>
      <c r="Y88" s="385" t="str">
        <f>IF(coder1_YH!O88 = "",Y87,coder1_YH!O88)</f>
        <v>.</v>
      </c>
      <c r="Z88" s="385" t="str">
        <f t="shared" si="29"/>
        <v>M</v>
      </c>
      <c r="AA88" s="385" t="str">
        <f t="shared" si="30"/>
        <v>BAU</v>
      </c>
      <c r="AB88" s="385" t="str">
        <f t="shared" si="31"/>
        <v>MBAU</v>
      </c>
      <c r="AC88" s="323" t="str">
        <f t="shared" si="32"/>
        <v>N.</v>
      </c>
      <c r="AD88" s="323" t="str">
        <f t="shared" si="33"/>
        <v>N_BAU</v>
      </c>
      <c r="AF88" s="369" t="str">
        <f t="shared" si="34"/>
        <v>118-N.</v>
      </c>
      <c r="AG88" s="369" t="str">
        <f t="shared" si="35"/>
        <v>118-N_BAU</v>
      </c>
      <c r="AH88" s="344" t="str">
        <f>IF(coder1_YH!R88="",AH87,coder1_YH!R88)</f>
        <v>3</v>
      </c>
      <c r="AI88" s="344" t="str">
        <f t="shared" si="19"/>
        <v>3</v>
      </c>
      <c r="AJ88" s="345">
        <f t="shared" si="36"/>
        <v>1</v>
      </c>
      <c r="AK88" s="408">
        <f>IF(coder1_YH!S88="",AK87,coder1_YH!S88)</f>
        <v>8.5</v>
      </c>
      <c r="AL88" s="345" t="str">
        <f>IF(coder1_YH!T88="",AL87,IF(coder1_YH!T88="mixed",0.25,coder1_YH!T88))</f>
        <v>NA</v>
      </c>
      <c r="AM88" s="345">
        <f>IF(coder1_YH!U88 = "", AM87, IF(coder1_YH!U88="mixed","NA",coder1_YH!U88))</f>
        <v>0.20338983050847459</v>
      </c>
      <c r="AN88" s="345" t="str">
        <f>IF(coder1_YH!V88="",AN87,coder1_YH!V88)</f>
        <v>NA</v>
      </c>
      <c r="AO88" s="345">
        <f>IF(coder1_YH!W88="",AO87,coder1_YH!W88)</f>
        <v>0</v>
      </c>
      <c r="AP88" s="345">
        <f>IF(coder1_YH!X88="",AP87,coder1_YH!X88)</f>
        <v>0.55263157894736847</v>
      </c>
      <c r="AQ88" s="345">
        <f>IF(coder1_YH!Y88="",AQ87,coder1_YH!Y88)</f>
        <v>0.10169491525423729</v>
      </c>
      <c r="AR88" t="str">
        <f>coder1_YH!AB88</f>
        <v>2 = District/State curriculum</v>
      </c>
      <c r="AS88" s="345" t="str">
        <f>IF(coder1_YH!AC88 = "", AS87,IF(coder1_YH!AC88="BAU","BAU",LEFT(coder1_YH!AC88)))</f>
        <v>0</v>
      </c>
      <c r="AT88" s="345" t="str">
        <f>IF(coder1_YH!AD88 = "", AT87,IF(coder1_YH!AD88="BAU","BAU",LEFT(coder1_YH!AD88)))</f>
        <v>0</v>
      </c>
      <c r="AU88" s="345" t="str">
        <f>IF(coder1_YH!AE88 = "", AU87,IF(coder1_YH!AE88="BAU","BAU",LEFT(coder1_YH!AE88)))</f>
        <v>1</v>
      </c>
      <c r="AV88" s="345">
        <f>IF(coder1_YH!AF88="",AV87,coder1_YH!AF88)</f>
        <v>5400</v>
      </c>
      <c r="AW88" s="345">
        <f t="shared" si="37"/>
        <v>90</v>
      </c>
      <c r="AX88" s="345">
        <f>IF(coder1_YH!AG88="",AX87,coder1_YH!AG88)</f>
        <v>60</v>
      </c>
      <c r="AY88" s="345">
        <f>IF(coder1_YH!AH88="",AY87,coder1_YH!AH88)</f>
        <v>90</v>
      </c>
      <c r="AZ88" s="345" t="str">
        <f>IF(coder1_YH!AI88 = "", AZ87, IF(coder1_YH!AI88="BAU","BAU",LEFT(coder1_YH!AI88)))</f>
        <v>1</v>
      </c>
      <c r="BA88" s="384">
        <f>clean_data!Y88</f>
        <v>76</v>
      </c>
    </row>
    <row r="89" spans="1:53" x14ac:dyDescent="0.2">
      <c r="A89">
        <f>coder1_YH!B89</f>
        <v>0</v>
      </c>
      <c r="B89">
        <f>coder1_YH!C89</f>
        <v>89</v>
      </c>
      <c r="C89">
        <f>coder1_YH!D89</f>
        <v>0</v>
      </c>
      <c r="D89" t="str">
        <f>coder1_YH!E89</f>
        <v/>
      </c>
      <c r="E89" t="str">
        <f>coder1_YH!F89</f>
        <v/>
      </c>
      <c r="F89" s="321" t="str">
        <f>IF(coder1_YH!G89="", clean_mod!F88, coder1_YH!G89)</f>
        <v>Guthrie et al. (S2), 2004</v>
      </c>
      <c r="G89" s="321" t="str">
        <f t="shared" si="20"/>
        <v>118</v>
      </c>
      <c r="H89" s="321">
        <f>IF(coder1_YH!H89="", clean_mod!H88, coder1_YH!H89)</f>
        <v>118</v>
      </c>
      <c r="I89" s="404" t="str">
        <f t="shared" si="38"/>
        <v>2004</v>
      </c>
      <c r="J89" s="344" t="str">
        <f>IF(coder1_YH!I89="",J88,coder1_YH!I89)</f>
        <v>USA</v>
      </c>
      <c r="K89" s="345">
        <f t="shared" si="22"/>
        <v>0</v>
      </c>
      <c r="L89" s="344" t="str">
        <f>IF(coder1_YH!J89 = "",L88, coder1_YH!J89)</f>
        <v>English</v>
      </c>
      <c r="M89" s="345">
        <f t="shared" si="23"/>
        <v>0</v>
      </c>
      <c r="N89" s="345" t="str">
        <f>IF(coder1_YH!K89 = "", N88, LEFT(coder1_YH!K89,1))</f>
        <v>0</v>
      </c>
      <c r="O89" s="345" t="str">
        <f>IF(coder1_YH!L89 = "", O88, LEFT(coder1_YH!L89,1))</f>
        <v>0</v>
      </c>
      <c r="P89" s="345" t="str">
        <f>IF(coder1_YH!M89 = "", P88, LEFT(coder1_YH!M89,1))</f>
        <v>1</v>
      </c>
      <c r="Q89" s="321">
        <f>coder1_YH!P89</f>
        <v>0</v>
      </c>
      <c r="R89" s="321">
        <f>coder1_YH!Q89</f>
        <v>0</v>
      </c>
      <c r="S89" s="323" t="str">
        <f t="shared" si="24"/>
        <v>N</v>
      </c>
      <c r="T89" s="323" t="str">
        <f t="shared" si="25"/>
        <v/>
      </c>
      <c r="U89" s="323" t="str">
        <f t="shared" si="26"/>
        <v/>
      </c>
      <c r="V89" s="323" t="str">
        <f t="shared" si="27"/>
        <v/>
      </c>
      <c r="W89" s="323">
        <f t="shared" si="28"/>
        <v>1</v>
      </c>
      <c r="X89" s="385" t="str">
        <f>IF(coder1_YH!N89 = "",X88,coder1_YH!N89)</f>
        <v>N</v>
      </c>
      <c r="Y89" s="385" t="str">
        <f>IF(coder1_YH!O89 = "",Y88,coder1_YH!O89)</f>
        <v>.</v>
      </c>
      <c r="Z89" s="385" t="str">
        <f t="shared" si="29"/>
        <v>M</v>
      </c>
      <c r="AA89" s="385" t="str">
        <f t="shared" si="30"/>
        <v>BAU</v>
      </c>
      <c r="AB89" s="385" t="str">
        <f t="shared" si="31"/>
        <v>MBAU</v>
      </c>
      <c r="AC89" s="323" t="str">
        <f t="shared" si="32"/>
        <v>N.</v>
      </c>
      <c r="AD89" s="323" t="str">
        <f t="shared" si="33"/>
        <v>N_BAU</v>
      </c>
      <c r="AF89" s="369" t="str">
        <f t="shared" si="34"/>
        <v>118-N.</v>
      </c>
      <c r="AG89" s="369" t="str">
        <f t="shared" si="35"/>
        <v>118-N_BAU</v>
      </c>
      <c r="AH89" s="344" t="str">
        <f>IF(coder1_YH!R89="",AH88,coder1_YH!R89)</f>
        <v>3</v>
      </c>
      <c r="AI89" s="344" t="str">
        <f t="shared" si="19"/>
        <v>3</v>
      </c>
      <c r="AJ89" s="345">
        <f t="shared" si="36"/>
        <v>1</v>
      </c>
      <c r="AK89" s="408">
        <f>IF(coder1_YH!S89="",AK88,coder1_YH!S89)</f>
        <v>8.5</v>
      </c>
      <c r="AL89" s="345" t="str">
        <f>IF(coder1_YH!T89="",AL88,IF(coder1_YH!T89="mixed",0.25,coder1_YH!T89))</f>
        <v>NA</v>
      </c>
      <c r="AM89" s="345">
        <f>IF(coder1_YH!U89 = "", AM88, IF(coder1_YH!U89="mixed","NA",coder1_YH!U89))</f>
        <v>0.20338983050847459</v>
      </c>
      <c r="AN89" s="345" t="str">
        <f>IF(coder1_YH!V89="",AN88,coder1_YH!V89)</f>
        <v>NA</v>
      </c>
      <c r="AO89" s="345">
        <f>IF(coder1_YH!W89="",AO88,coder1_YH!W89)</f>
        <v>0</v>
      </c>
      <c r="AP89" s="345">
        <f>IF(coder1_YH!X89="",AP88,coder1_YH!X89)</f>
        <v>0.55263157894736847</v>
      </c>
      <c r="AQ89" s="345">
        <f>IF(coder1_YH!Y89="",AQ88,coder1_YH!Y89)</f>
        <v>0.10169491525423729</v>
      </c>
      <c r="AR89">
        <f>coder1_YH!AB89</f>
        <v>0</v>
      </c>
      <c r="AS89" s="345" t="str">
        <f>IF(coder1_YH!AC89 = "", AS88,IF(coder1_YH!AC89="BAU","BAU",LEFT(coder1_YH!AC89)))</f>
        <v>0</v>
      </c>
      <c r="AT89" s="345" t="str">
        <f>IF(coder1_YH!AD89 = "", AT88,IF(coder1_YH!AD89="BAU","BAU",LEFT(coder1_YH!AD89)))</f>
        <v>0</v>
      </c>
      <c r="AU89" s="345" t="str">
        <f>IF(coder1_YH!AE89 = "", AU88,IF(coder1_YH!AE89="BAU","BAU",LEFT(coder1_YH!AE89)))</f>
        <v>1</v>
      </c>
      <c r="AV89" s="345">
        <f>IF(coder1_YH!AF89="",AV88,coder1_YH!AF89)</f>
        <v>5400</v>
      </c>
      <c r="AW89" s="345">
        <f t="shared" si="37"/>
        <v>90</v>
      </c>
      <c r="AX89" s="345">
        <f>IF(coder1_YH!AG89="",AX88,coder1_YH!AG89)</f>
        <v>60</v>
      </c>
      <c r="AY89" s="345">
        <f>IF(coder1_YH!AH89="",AY88,coder1_YH!AH89)</f>
        <v>90</v>
      </c>
      <c r="AZ89" s="345" t="str">
        <f>IF(coder1_YH!AI89 = "", AZ88, IF(coder1_YH!AI89="BAU","BAU",LEFT(coder1_YH!AI89)))</f>
        <v>1</v>
      </c>
      <c r="BA89" s="384">
        <f>clean_data!Y89</f>
        <v>76</v>
      </c>
    </row>
    <row r="90" spans="1:53" x14ac:dyDescent="0.2">
      <c r="A90">
        <f>coder1_YH!B90</f>
        <v>0</v>
      </c>
      <c r="B90">
        <f>coder1_YH!C90</f>
        <v>90</v>
      </c>
      <c r="C90" t="b">
        <f>coder1_YH!D90</f>
        <v>1</v>
      </c>
      <c r="D90" t="b">
        <f>coder1_YH!E90</f>
        <v>1</v>
      </c>
      <c r="E90" t="b">
        <f>coder1_YH!F90</f>
        <v>1</v>
      </c>
      <c r="F90" s="321" t="str">
        <f>IF(coder1_YH!G90="", clean_mod!F89, coder1_YH!G90)</f>
        <v>Hautala et al., 2023</v>
      </c>
      <c r="G90" s="321" t="str">
        <f t="shared" si="20"/>
        <v>119</v>
      </c>
      <c r="H90" s="321">
        <f>IF(coder1_YH!H90="", clean_mod!H89, coder1_YH!H90)</f>
        <v>119</v>
      </c>
      <c r="I90" s="404" t="str">
        <f t="shared" si="38"/>
        <v>2023</v>
      </c>
      <c r="J90" s="344" t="str">
        <f>IF(coder1_YH!I90="",J89,coder1_YH!I90)</f>
        <v>Finland</v>
      </c>
      <c r="K90" s="345">
        <f t="shared" si="22"/>
        <v>1</v>
      </c>
      <c r="L90" s="344" t="str">
        <f>IF(coder1_YH!J90 = "",L89, coder1_YH!J90)</f>
        <v>Finnish</v>
      </c>
      <c r="M90" s="345">
        <f t="shared" si="23"/>
        <v>1</v>
      </c>
      <c r="N90" s="345" t="str">
        <f>IF(coder1_YH!K90 = "", N89, LEFT(coder1_YH!K90,1))</f>
        <v>0</v>
      </c>
      <c r="O90" s="345" t="str">
        <f>IF(coder1_YH!L90 = "", O89, LEFT(coder1_YH!L90,1))</f>
        <v>0</v>
      </c>
      <c r="P90" s="345" t="str">
        <f>IF(coder1_YH!M90 = "", P89, LEFT(coder1_YH!M90,1))</f>
        <v>0</v>
      </c>
      <c r="Q90" s="321">
        <f>coder1_YH!P90</f>
        <v>1</v>
      </c>
      <c r="R90" s="321" t="str">
        <f>coder1_YH!Q90</f>
        <v>RT Goal</v>
      </c>
      <c r="S90" s="323" t="str">
        <f t="shared" si="24"/>
        <v>N</v>
      </c>
      <c r="T90" s="323" t="str">
        <f t="shared" si="25"/>
        <v/>
      </c>
      <c r="U90" s="323" t="str">
        <f t="shared" si="26"/>
        <v>G</v>
      </c>
      <c r="V90" s="323" t="str">
        <f t="shared" si="27"/>
        <v/>
      </c>
      <c r="W90" s="323">
        <f t="shared" si="28"/>
        <v>2</v>
      </c>
      <c r="X90" s="385" t="str">
        <f>IF(coder1_YH!N90 = "",X89,coder1_YH!N90)</f>
        <v>NG</v>
      </c>
      <c r="Y90" s="385" t="str">
        <f>IF(coder1_YH!O90 = "",Y89,coder1_YH!O90)</f>
        <v>cm</v>
      </c>
      <c r="Z90" s="385" t="str">
        <f t="shared" si="29"/>
        <v>M</v>
      </c>
      <c r="AA90" s="385" t="str">
        <f t="shared" si="30"/>
        <v>R</v>
      </c>
      <c r="AB90" s="385" t="str">
        <f t="shared" si="31"/>
        <v>MR</v>
      </c>
      <c r="AC90" s="323" t="str">
        <f t="shared" si="32"/>
        <v>NGcm</v>
      </c>
      <c r="AD90" s="323" t="str">
        <f t="shared" si="33"/>
        <v>NG_R</v>
      </c>
      <c r="AE90" s="323">
        <f>IF(Y90="cm", 1,0)</f>
        <v>1</v>
      </c>
      <c r="AF90" s="369" t="str">
        <f t="shared" si="34"/>
        <v>119-NGcm</v>
      </c>
      <c r="AG90" s="369" t="str">
        <f t="shared" si="35"/>
        <v>119-NG_R</v>
      </c>
      <c r="AH90" s="344" t="str">
        <f>IF(coder1_YH!R90="",AH89,coder1_YH!R90)</f>
        <v>3, 4</v>
      </c>
      <c r="AI90" s="344">
        <f t="shared" si="19"/>
        <v>3.5</v>
      </c>
      <c r="AJ90" s="345">
        <f t="shared" si="36"/>
        <v>0</v>
      </c>
      <c r="AK90" s="408">
        <f>IF(coder1_YH!S90="",AK89,coder1_YH!S90)</f>
        <v>10.02</v>
      </c>
      <c r="AL90" s="345">
        <f>IF(coder1_YH!T90="",AL89,IF(coder1_YH!T90="mixed",0.25,coder1_YH!T90))</f>
        <v>1</v>
      </c>
      <c r="AM90" s="345" t="str">
        <f>IF(coder1_YH!U90 = "", AM89, IF(coder1_YH!U90="mixed","NA",coder1_YH!U90))</f>
        <v>NA</v>
      </c>
      <c r="AN90" s="345" t="str">
        <f>IF(coder1_YH!V90="",AN89,coder1_YH!V90)</f>
        <v>NA</v>
      </c>
      <c r="AO90" s="345" t="str">
        <f>IF(coder1_YH!W90="",AO89,coder1_YH!W90)</f>
        <v>NA</v>
      </c>
      <c r="AP90" s="345">
        <f>IF(coder1_YH!X90="",AP89,coder1_YH!X90)</f>
        <v>0.44</v>
      </c>
      <c r="AQ90" s="345" t="str">
        <f>IF(coder1_YH!Y90="",AQ89,coder1_YH!Y90)</f>
        <v>NA</v>
      </c>
      <c r="AR90" t="str">
        <f>coder1_YH!AB90</f>
        <v>0 = Researcher-developed curriculum</v>
      </c>
      <c r="AS90" s="345" t="str">
        <f>IF(coder1_YH!AC90 = "", AS89,IF(coder1_YH!AC90="BAU","BAU",LEFT(coder1_YH!AC90)))</f>
        <v>0</v>
      </c>
      <c r="AT90" s="345" t="str">
        <f>IF(coder1_YH!AD90 = "", AT89,IF(coder1_YH!AD90="BAU","BAU",LEFT(coder1_YH!AD90)))</f>
        <v>1</v>
      </c>
      <c r="AU90" s="345" t="str">
        <f>IF(coder1_YH!AE90 = "", AU89,IF(coder1_YH!AE90="BAU","BAU",LEFT(coder1_YH!AE90)))</f>
        <v>1</v>
      </c>
      <c r="AV90" s="345">
        <f>IF(coder1_YH!AF90="",AV89,coder1_YH!AF90)</f>
        <v>720</v>
      </c>
      <c r="AW90" s="345">
        <f t="shared" si="37"/>
        <v>12</v>
      </c>
      <c r="AX90" s="345">
        <f>IF(coder1_YH!AG90="",AX89,coder1_YH!AG90)</f>
        <v>8</v>
      </c>
      <c r="AY90" s="345">
        <f>IF(coder1_YH!AH90="",AY89,coder1_YH!AH90)</f>
        <v>90</v>
      </c>
      <c r="AZ90" s="345" t="str">
        <f>IF(coder1_YH!AI90 = "", AZ89, IF(coder1_YH!AI90="BAU","BAU",LEFT(coder1_YH!AI90)))</f>
        <v>1</v>
      </c>
      <c r="BA90" s="384">
        <f>clean_data!Y90</f>
        <v>43</v>
      </c>
    </row>
    <row r="91" spans="1:53" x14ac:dyDescent="0.2">
      <c r="A91">
        <f>coder1_YH!B91</f>
        <v>0</v>
      </c>
      <c r="B91">
        <f>coder1_YH!C91</f>
        <v>91</v>
      </c>
      <c r="C91">
        <f>coder1_YH!D91</f>
        <v>0</v>
      </c>
      <c r="D91" t="str">
        <f>coder1_YH!E91</f>
        <v/>
      </c>
      <c r="E91" t="b">
        <f>coder1_YH!F91</f>
        <v>1</v>
      </c>
      <c r="F91" s="321" t="str">
        <f>IF(coder1_YH!G91="", clean_mod!F90, coder1_YH!G91)</f>
        <v>Hautala et al., 2023</v>
      </c>
      <c r="G91" s="321" t="str">
        <f t="shared" si="20"/>
        <v>119</v>
      </c>
      <c r="H91" s="321">
        <f>IF(coder1_YH!H91="", clean_mod!H90, coder1_YH!H91)</f>
        <v>119</v>
      </c>
      <c r="I91" s="404" t="str">
        <f t="shared" si="38"/>
        <v>2023</v>
      </c>
      <c r="J91" s="344" t="str">
        <f>IF(coder1_YH!I91="",J90,coder1_YH!I91)</f>
        <v>Finland</v>
      </c>
      <c r="K91" s="345">
        <f t="shared" si="22"/>
        <v>1</v>
      </c>
      <c r="L91" s="344" t="str">
        <f>IF(coder1_YH!J91 = "",L90, coder1_YH!J91)</f>
        <v>Finnish</v>
      </c>
      <c r="M91" s="345">
        <f t="shared" si="23"/>
        <v>1</v>
      </c>
      <c r="N91" s="345" t="str">
        <f>IF(coder1_YH!K91 = "", N90, LEFT(coder1_YH!K91,1))</f>
        <v>0</v>
      </c>
      <c r="O91" s="345" t="str">
        <f>IF(coder1_YH!L91 = "", O90, LEFT(coder1_YH!L91,1))</f>
        <v>0</v>
      </c>
      <c r="P91" s="345" t="str">
        <f>IF(coder1_YH!M91 = "", P90, LEFT(coder1_YH!M91,1))</f>
        <v>0</v>
      </c>
      <c r="Q91" s="321">
        <f>coder1_YH!P91</f>
        <v>2</v>
      </c>
      <c r="R91" s="321" t="str">
        <f>coder1_YH!Q91</f>
        <v>RT Practice</v>
      </c>
      <c r="S91" s="323" t="str">
        <f t="shared" si="24"/>
        <v>N</v>
      </c>
      <c r="T91" s="323" t="str">
        <f t="shared" si="25"/>
        <v/>
      </c>
      <c r="U91" s="323" t="str">
        <f t="shared" si="26"/>
        <v/>
      </c>
      <c r="V91" s="323" t="str">
        <f t="shared" si="27"/>
        <v/>
      </c>
      <c r="W91" s="323">
        <f t="shared" si="28"/>
        <v>1</v>
      </c>
      <c r="X91" s="385" t="str">
        <f>IF(coder1_YH!N91 = "",X90,coder1_YH!N91)</f>
        <v>N</v>
      </c>
      <c r="Y91" s="385" t="str">
        <f>IF(coder1_YH!O91 = "",Y90,coder1_YH!O91)</f>
        <v>cm</v>
      </c>
      <c r="Z91" s="385" t="str">
        <f t="shared" si="29"/>
        <v>M</v>
      </c>
      <c r="AA91" s="385" t="str">
        <f t="shared" si="30"/>
        <v>R</v>
      </c>
      <c r="AB91" s="385" t="str">
        <f t="shared" si="31"/>
        <v>MR</v>
      </c>
      <c r="AC91" s="323" t="str">
        <f t="shared" si="32"/>
        <v>Ncm</v>
      </c>
      <c r="AD91" s="323" t="str">
        <f t="shared" si="33"/>
        <v>N_R</v>
      </c>
      <c r="AF91" s="369" t="str">
        <f t="shared" si="34"/>
        <v>119-Ncm</v>
      </c>
      <c r="AG91" s="369" t="str">
        <f t="shared" si="35"/>
        <v>119-N_R</v>
      </c>
      <c r="AH91" s="344" t="str">
        <f>IF(coder1_YH!R91="",AH90,coder1_YH!R91)</f>
        <v>3, 4</v>
      </c>
      <c r="AI91" s="344">
        <f t="shared" si="19"/>
        <v>3.5</v>
      </c>
      <c r="AJ91" s="345">
        <f t="shared" si="36"/>
        <v>0</v>
      </c>
      <c r="AK91" s="408">
        <f>IF(coder1_YH!S91="",AK90,coder1_YH!S91)</f>
        <v>9.89</v>
      </c>
      <c r="AL91" s="345">
        <f>IF(coder1_YH!T91="",AL90,IF(coder1_YH!T91="mixed",0.25,coder1_YH!T91))</f>
        <v>1</v>
      </c>
      <c r="AM91" s="345" t="str">
        <f>IF(coder1_YH!U91 = "", AM90, IF(coder1_YH!U91="mixed","NA",coder1_YH!U91))</f>
        <v>NA</v>
      </c>
      <c r="AN91" s="345" t="str">
        <f>IF(coder1_YH!V91="",AN90,coder1_YH!V91)</f>
        <v>NA</v>
      </c>
      <c r="AO91" s="345" t="str">
        <f>IF(coder1_YH!W91="",AO90,coder1_YH!W91)</f>
        <v>NA</v>
      </c>
      <c r="AP91" s="345">
        <f>IF(coder1_YH!X91="",AP90,coder1_YH!X91)</f>
        <v>0.36734693877551022</v>
      </c>
      <c r="AQ91" s="345" t="str">
        <f>IF(coder1_YH!Y91="",AQ90,coder1_YH!Y91)</f>
        <v>NA</v>
      </c>
      <c r="AR91" t="str">
        <f>coder1_YH!AB91</f>
        <v>0 = Researcher-developed curriculum</v>
      </c>
      <c r="AS91" s="345" t="str">
        <f>IF(coder1_YH!AC91 = "", AS90,IF(coder1_YH!AC91="BAU","BAU",LEFT(coder1_YH!AC91)))</f>
        <v>0</v>
      </c>
      <c r="AT91" s="345" t="str">
        <f>IF(coder1_YH!AD91 = "", AT90,IF(coder1_YH!AD91="BAU","BAU",LEFT(coder1_YH!AD91)))</f>
        <v>1</v>
      </c>
      <c r="AU91" s="345" t="str">
        <f>IF(coder1_YH!AE91 = "", AU90,IF(coder1_YH!AE91="BAU","BAU",LEFT(coder1_YH!AE91)))</f>
        <v>1</v>
      </c>
      <c r="AV91" s="345">
        <f>IF(coder1_YH!AF91="",AV90,coder1_YH!AF91)</f>
        <v>720</v>
      </c>
      <c r="AW91" s="345">
        <f t="shared" si="37"/>
        <v>12</v>
      </c>
      <c r="AX91" s="345">
        <f>IF(coder1_YH!AG91="",AX90,coder1_YH!AG91)</f>
        <v>8</v>
      </c>
      <c r="AY91" s="345">
        <f>IF(coder1_YH!AH91="",AY90,coder1_YH!AH91)</f>
        <v>90</v>
      </c>
      <c r="AZ91" s="345" t="str">
        <f>IF(coder1_YH!AI91 = "", AZ90, IF(coder1_YH!AI91="BAU","BAU",LEFT(coder1_YH!AI91)))</f>
        <v>1</v>
      </c>
      <c r="BA91" s="384">
        <f>clean_data!Y91</f>
        <v>38</v>
      </c>
    </row>
    <row r="92" spans="1:53" x14ac:dyDescent="0.2">
      <c r="A92">
        <f>coder1_YH!B92</f>
        <v>0</v>
      </c>
      <c r="B92">
        <f>coder1_YH!C92</f>
        <v>92</v>
      </c>
      <c r="C92">
        <f>coder1_YH!D92</f>
        <v>0</v>
      </c>
      <c r="D92" t="str">
        <f>coder1_YH!E92</f>
        <v/>
      </c>
      <c r="E92" t="b">
        <f>coder1_YH!F92</f>
        <v>1</v>
      </c>
      <c r="F92" s="321" t="str">
        <f>IF(coder1_YH!G92="", clean_mod!F91, coder1_YH!G92)</f>
        <v>Hautala et al., 2023</v>
      </c>
      <c r="G92" s="321" t="str">
        <f t="shared" si="20"/>
        <v>119</v>
      </c>
      <c r="H92" s="321">
        <f>IF(coder1_YH!H92="", clean_mod!H91, coder1_YH!H92)</f>
        <v>119</v>
      </c>
      <c r="I92" s="404" t="str">
        <f t="shared" si="38"/>
        <v>2023</v>
      </c>
      <c r="J92" s="344" t="str">
        <f>IF(coder1_YH!I92="",J91,coder1_YH!I92)</f>
        <v>Finland</v>
      </c>
      <c r="K92" s="345">
        <f t="shared" si="22"/>
        <v>1</v>
      </c>
      <c r="L92" s="344" t="str">
        <f>IF(coder1_YH!J92 = "",L91, coder1_YH!J92)</f>
        <v>Finnish</v>
      </c>
      <c r="M92" s="345">
        <f t="shared" si="23"/>
        <v>1</v>
      </c>
      <c r="N92" s="345" t="str">
        <f>IF(coder1_YH!K92 = "", N91, LEFT(coder1_YH!K92,1))</f>
        <v>0</v>
      </c>
      <c r="O92" s="345" t="str">
        <f>IF(coder1_YH!L92 = "", O91, LEFT(coder1_YH!L92,1))</f>
        <v>0</v>
      </c>
      <c r="P92" s="345" t="str">
        <f>IF(coder1_YH!M92 = "", P91, LEFT(coder1_YH!M92,1))</f>
        <v>0</v>
      </c>
      <c r="Q92" s="321" t="str">
        <f>coder1_YH!P92</f>
        <v>ctl</v>
      </c>
      <c r="R92" s="321" t="str">
        <f>coder1_YH!Q92</f>
        <v>Control</v>
      </c>
      <c r="S92" s="323" t="str">
        <f t="shared" si="24"/>
        <v/>
      </c>
      <c r="T92" s="323" t="str">
        <f t="shared" si="25"/>
        <v/>
      </c>
      <c r="U92" s="323" t="str">
        <f t="shared" si="26"/>
        <v/>
      </c>
      <c r="V92" s="323" t="str">
        <f t="shared" si="27"/>
        <v/>
      </c>
      <c r="W92" s="323">
        <f t="shared" si="28"/>
        <v>0</v>
      </c>
      <c r="X92" s="385" t="str">
        <f>IF(coder1_YH!N92 = "",X91,coder1_YH!N92)</f>
        <v>.</v>
      </c>
      <c r="Y92" s="385" t="str">
        <f>IF(coder1_YH!O92 = "",Y91,coder1_YH!O92)</f>
        <v>.</v>
      </c>
      <c r="Z92" s="385" t="str">
        <f t="shared" si="29"/>
        <v/>
      </c>
      <c r="AA92" s="385" t="str">
        <f t="shared" si="30"/>
        <v>BAU</v>
      </c>
      <c r="AB92" s="385" t="str">
        <f t="shared" si="31"/>
        <v>BAU</v>
      </c>
      <c r="AC92" s="323" t="str">
        <f t="shared" si="32"/>
        <v>..</v>
      </c>
      <c r="AD92" s="323" t="str">
        <f t="shared" si="33"/>
        <v>BAU</v>
      </c>
      <c r="AF92" s="369" t="str">
        <f t="shared" si="34"/>
        <v>119-..</v>
      </c>
      <c r="AG92" s="369" t="str">
        <f t="shared" si="35"/>
        <v>119-BAU</v>
      </c>
      <c r="AH92" s="344" t="str">
        <f>IF(coder1_YH!R92="",AH91,coder1_YH!R92)</f>
        <v>3, 4</v>
      </c>
      <c r="AI92" s="344">
        <f t="shared" si="19"/>
        <v>3.5</v>
      </c>
      <c r="AJ92" s="345">
        <f t="shared" si="36"/>
        <v>0</v>
      </c>
      <c r="AK92" s="408">
        <f>IF(coder1_YH!S92="",AK91,coder1_YH!S92)</f>
        <v>9.98</v>
      </c>
      <c r="AL92" s="345">
        <f>IF(coder1_YH!T92="",AL91,IF(coder1_YH!T92="mixed",0.25,coder1_YH!T92))</f>
        <v>1</v>
      </c>
      <c r="AM92" s="345" t="str">
        <f>IF(coder1_YH!U92 = "", AM91, IF(coder1_YH!U92="mixed","NA",coder1_YH!U92))</f>
        <v>NA</v>
      </c>
      <c r="AN92" s="345" t="str">
        <f>IF(coder1_YH!V92="",AN91,coder1_YH!V92)</f>
        <v>NA</v>
      </c>
      <c r="AO92" s="345" t="str">
        <f>IF(coder1_YH!W92="",AO91,coder1_YH!W92)</f>
        <v>NA</v>
      </c>
      <c r="AP92" s="345">
        <f>IF(coder1_YH!X92="",AP91,coder1_YH!X92)</f>
        <v>0.4576271186440678</v>
      </c>
      <c r="AQ92" s="345" t="str">
        <f>IF(coder1_YH!Y92="",AQ91,coder1_YH!Y92)</f>
        <v>NA</v>
      </c>
      <c r="AR92" t="str">
        <f>coder1_YH!AB92</f>
        <v>2 = District/State curriculum</v>
      </c>
      <c r="AS92" s="345" t="str">
        <f>IF(coder1_YH!AC92 = "", AS91,IF(coder1_YH!AC92="BAU","BAU",LEFT(coder1_YH!AC92)))</f>
        <v>BAU</v>
      </c>
      <c r="AT92" s="345" t="str">
        <f>IF(coder1_YH!AD92 = "", AT91,IF(coder1_YH!AD92="BAU","BAU",LEFT(coder1_YH!AD92)))</f>
        <v>BAU</v>
      </c>
      <c r="AU92" s="345" t="str">
        <f>IF(coder1_YH!AE92 = "", AU91,IF(coder1_YH!AE92="BAU","BAU",LEFT(coder1_YH!AE92)))</f>
        <v>BAU</v>
      </c>
      <c r="AV92" s="345" t="str">
        <f>IF(coder1_YH!AF92="",AV91,coder1_YH!AF92)</f>
        <v>BAU</v>
      </c>
      <c r="AW92" s="345" t="str">
        <f t="shared" si="37"/>
        <v>BAU</v>
      </c>
      <c r="AX92" s="345" t="str">
        <f>IF(coder1_YH!AG92="",AX91,coder1_YH!AG92)</f>
        <v>BAU</v>
      </c>
      <c r="AY92" s="345" t="str">
        <f>IF(coder1_YH!AH92="",AY91,coder1_YH!AH92)</f>
        <v>BAU</v>
      </c>
      <c r="AZ92" s="345" t="str">
        <f>IF(coder1_YH!AI92 = "", AZ91, IF(coder1_YH!AI92="BAU","BAU",LEFT(coder1_YH!AI92)))</f>
        <v>BAU</v>
      </c>
      <c r="BA92" s="384">
        <f>clean_data!Y92</f>
        <v>48</v>
      </c>
    </row>
    <row r="93" spans="1:53" x14ac:dyDescent="0.2">
      <c r="A93">
        <f>coder1_YH!B93</f>
        <v>0</v>
      </c>
      <c r="B93">
        <f>coder1_YH!C93</f>
        <v>93</v>
      </c>
      <c r="C93" t="b">
        <f>coder1_YH!D93</f>
        <v>1</v>
      </c>
      <c r="D93" t="b">
        <f>coder1_YH!E93</f>
        <v>1</v>
      </c>
      <c r="E93" t="b">
        <f>coder1_YH!F93</f>
        <v>1</v>
      </c>
      <c r="F93" s="321" t="str">
        <f>IF(coder1_YH!G93="", clean_mod!F92, coder1_YH!G93)</f>
        <v>Kim et al., 2021</v>
      </c>
      <c r="G93" s="321" t="str">
        <f t="shared" si="20"/>
        <v>120</v>
      </c>
      <c r="H93" s="321">
        <f>IF(coder1_YH!H93="", clean_mod!H92, coder1_YH!H93)</f>
        <v>120</v>
      </c>
      <c r="I93" s="404" t="str">
        <f t="shared" si="38"/>
        <v>2021</v>
      </c>
      <c r="J93" s="344" t="str">
        <f>IF(coder1_YH!I93="",J92,coder1_YH!I93)</f>
        <v>USA</v>
      </c>
      <c r="K93" s="345">
        <f t="shared" si="22"/>
        <v>0</v>
      </c>
      <c r="L93" s="344" t="str">
        <f>IF(coder1_YH!J93 = "",L92, coder1_YH!J93)</f>
        <v>English</v>
      </c>
      <c r="M93" s="345">
        <f t="shared" si="23"/>
        <v>0</v>
      </c>
      <c r="N93" s="345" t="str">
        <f>IF(coder1_YH!K93 = "", N92, LEFT(coder1_YH!K93,1))</f>
        <v>0</v>
      </c>
      <c r="O93" s="345" t="str">
        <f>IF(coder1_YH!L93 = "", O92, LEFT(coder1_YH!L93,1))</f>
        <v>0</v>
      </c>
      <c r="P93" s="345" t="str">
        <f>IF(coder1_YH!M93 = "", P92, LEFT(coder1_YH!M93,1))</f>
        <v>0</v>
      </c>
      <c r="Q93" s="321">
        <f>coder1_YH!P93</f>
        <v>1</v>
      </c>
      <c r="R93" s="321" t="str">
        <f>coder1_YH!Q93</f>
        <v>MORE</v>
      </c>
      <c r="S93" s="323" t="str">
        <f t="shared" si="24"/>
        <v>N</v>
      </c>
      <c r="T93" s="323" t="str">
        <f t="shared" si="25"/>
        <v/>
      </c>
      <c r="U93" s="323" t="str">
        <f t="shared" si="26"/>
        <v>G</v>
      </c>
      <c r="V93" s="323" t="str">
        <f t="shared" si="27"/>
        <v/>
      </c>
      <c r="W93" s="323">
        <f t="shared" si="28"/>
        <v>2</v>
      </c>
      <c r="X93" s="385" t="str">
        <f>IF(coder1_YH!N93 = "",X92,coder1_YH!N93)</f>
        <v>NG</v>
      </c>
      <c r="Y93" s="385" t="str">
        <f>IF(coder1_YH!O93 = "",Y92,coder1_YH!O93)</f>
        <v xml:space="preserve">m </v>
      </c>
      <c r="Z93" s="385" t="str">
        <f t="shared" si="29"/>
        <v>M</v>
      </c>
      <c r="AA93" s="385" t="str">
        <f t="shared" si="30"/>
        <v>R</v>
      </c>
      <c r="AB93" s="385" t="str">
        <f t="shared" si="31"/>
        <v>MR</v>
      </c>
      <c r="AC93" s="323" t="str">
        <f t="shared" si="32"/>
        <v xml:space="preserve">NGm </v>
      </c>
      <c r="AD93" s="323" t="str">
        <f t="shared" si="33"/>
        <v>NG_R</v>
      </c>
      <c r="AE93" s="323">
        <f>IF(Y93="cm", 1,0)</f>
        <v>0</v>
      </c>
      <c r="AF93" s="369" t="str">
        <f t="shared" si="34"/>
        <v xml:space="preserve">120-NGm </v>
      </c>
      <c r="AG93" s="369" t="str">
        <f t="shared" si="35"/>
        <v>120-NG_R</v>
      </c>
      <c r="AH93" s="344" t="str">
        <f>IF(coder1_YH!R93="",AH92,coder1_YH!R93)</f>
        <v>1</v>
      </c>
      <c r="AI93" s="344" t="str">
        <f t="shared" si="19"/>
        <v>1</v>
      </c>
      <c r="AJ93" s="345">
        <f t="shared" si="36"/>
        <v>1</v>
      </c>
      <c r="AK93" s="408">
        <f>IF(coder1_YH!S93="",AK92,coder1_YH!S93)</f>
        <v>6.5</v>
      </c>
      <c r="AL93" s="345" t="str">
        <f>IF(coder1_YH!T93="",AL92,IF(coder1_YH!T93="mixed",0.25,coder1_YH!T93))</f>
        <v>NA</v>
      </c>
      <c r="AM93" s="345">
        <f>IF(coder1_YH!U93 = "", AM92, IF(coder1_YH!U93="mixed","NA",coder1_YH!U93))</f>
        <v>7.2072072072072071E-2</v>
      </c>
      <c r="AN93" s="345" t="str">
        <f>IF(coder1_YH!V93="",AN92,coder1_YH!V93)</f>
        <v>NA</v>
      </c>
      <c r="AO93" s="345">
        <f>IF(coder1_YH!W93="",AO92,coder1_YH!W93)</f>
        <v>0.1891891891891892</v>
      </c>
      <c r="AP93" s="345">
        <f>IF(coder1_YH!X93="",AP92,coder1_YH!X93)</f>
        <v>0.50225225225225223</v>
      </c>
      <c r="AQ93" s="345">
        <f>IF(coder1_YH!Y93="",AQ92,coder1_YH!Y93)</f>
        <v>0.80180180180180183</v>
      </c>
      <c r="AR93" t="str">
        <f>coder1_YH!AB93</f>
        <v>1 = Published or Commercially available curriculum</v>
      </c>
      <c r="AS93" s="345" t="str">
        <f>IF(coder1_YH!AC93 = "", AS92,IF(coder1_YH!AC93="BAU","BAU",LEFT(coder1_YH!AC93)))</f>
        <v>0</v>
      </c>
      <c r="AT93" s="345" t="str">
        <f>IF(coder1_YH!AD93 = "", AT92,IF(coder1_YH!AD93="BAU","BAU",LEFT(coder1_YH!AD93)))</f>
        <v>0</v>
      </c>
      <c r="AU93" s="345" t="str">
        <f>IF(coder1_YH!AE93 = "", AU92,IF(coder1_YH!AE93="BAU","BAU",LEFT(coder1_YH!AE93)))</f>
        <v>1</v>
      </c>
      <c r="AV93" s="345">
        <f>IF(coder1_YH!AF93="",AV92,coder1_YH!AF93)</f>
        <v>600</v>
      </c>
      <c r="AW93" s="345">
        <f t="shared" si="37"/>
        <v>10</v>
      </c>
      <c r="AX93" s="345">
        <f>IF(coder1_YH!AG93="",AX92,coder1_YH!AG93)</f>
        <v>10</v>
      </c>
      <c r="AY93" s="345">
        <f>IF(coder1_YH!AH93="",AY92,coder1_YH!AH93)</f>
        <v>60</v>
      </c>
      <c r="AZ93" s="345" t="str">
        <f>IF(coder1_YH!AI93 = "", AZ92, IF(coder1_YH!AI93="BAU","BAU",LEFT(coder1_YH!AI93)))</f>
        <v>1</v>
      </c>
      <c r="BA93" s="384">
        <f>clean_data!Y93</f>
        <v>403</v>
      </c>
    </row>
    <row r="94" spans="1:53" x14ac:dyDescent="0.2">
      <c r="A94">
        <f>coder1_YH!B94</f>
        <v>0</v>
      </c>
      <c r="B94">
        <f>coder1_YH!C94</f>
        <v>94</v>
      </c>
      <c r="C94">
        <f>coder1_YH!D94</f>
        <v>0</v>
      </c>
      <c r="D94" t="str">
        <f>coder1_YH!E94</f>
        <v/>
      </c>
      <c r="E94" t="str">
        <f>coder1_YH!F94</f>
        <v/>
      </c>
      <c r="F94" s="321" t="str">
        <f>IF(coder1_YH!G94="", clean_mod!F93, coder1_YH!G94)</f>
        <v>Kim et al., 2021</v>
      </c>
      <c r="G94" s="321" t="str">
        <f t="shared" si="20"/>
        <v>120</v>
      </c>
      <c r="H94" s="321">
        <f>IF(coder1_YH!H94="", clean_mod!H93, coder1_YH!H94)</f>
        <v>120</v>
      </c>
      <c r="I94" s="404" t="str">
        <f t="shared" si="38"/>
        <v>2021</v>
      </c>
      <c r="J94" s="344" t="str">
        <f>IF(coder1_YH!I94="",J93,coder1_YH!I94)</f>
        <v>USA</v>
      </c>
      <c r="K94" s="345">
        <f t="shared" si="22"/>
        <v>0</v>
      </c>
      <c r="L94" s="344" t="str">
        <f>IF(coder1_YH!J94 = "",L93, coder1_YH!J94)</f>
        <v>English</v>
      </c>
      <c r="M94" s="345">
        <f t="shared" si="23"/>
        <v>0</v>
      </c>
      <c r="N94" s="345" t="str">
        <f>IF(coder1_YH!K94 = "", N93, LEFT(coder1_YH!K94,1))</f>
        <v>0</v>
      </c>
      <c r="O94" s="345" t="str">
        <f>IF(coder1_YH!L94 = "", O93, LEFT(coder1_YH!L94,1))</f>
        <v>0</v>
      </c>
      <c r="P94" s="345" t="str">
        <f>IF(coder1_YH!M94 = "", P93, LEFT(coder1_YH!M94,1))</f>
        <v>0</v>
      </c>
      <c r="Q94" s="321">
        <f>coder1_YH!P94</f>
        <v>0</v>
      </c>
      <c r="R94" s="321">
        <f>coder1_YH!Q94</f>
        <v>0</v>
      </c>
      <c r="S94" s="323" t="str">
        <f t="shared" si="24"/>
        <v>N</v>
      </c>
      <c r="T94" s="323" t="str">
        <f t="shared" si="25"/>
        <v/>
      </c>
      <c r="U94" s="323" t="str">
        <f t="shared" si="26"/>
        <v>G</v>
      </c>
      <c r="V94" s="323" t="str">
        <f t="shared" si="27"/>
        <v/>
      </c>
      <c r="W94" s="323">
        <f t="shared" si="28"/>
        <v>2</v>
      </c>
      <c r="X94" s="385" t="str">
        <f>IF(coder1_YH!N94 = "",X93,coder1_YH!N94)</f>
        <v>NG</v>
      </c>
      <c r="Y94" s="385" t="str">
        <f>IF(coder1_YH!O94 = "",Y93,coder1_YH!O94)</f>
        <v xml:space="preserve">m </v>
      </c>
      <c r="Z94" s="385" t="str">
        <f t="shared" si="29"/>
        <v>M</v>
      </c>
      <c r="AA94" s="385" t="str">
        <f t="shared" si="30"/>
        <v>R</v>
      </c>
      <c r="AB94" s="385" t="str">
        <f t="shared" si="31"/>
        <v>MR</v>
      </c>
      <c r="AC94" s="323" t="str">
        <f t="shared" si="32"/>
        <v xml:space="preserve">NGm </v>
      </c>
      <c r="AD94" s="323" t="str">
        <f t="shared" si="33"/>
        <v>NG_R</v>
      </c>
      <c r="AF94" s="369" t="str">
        <f t="shared" si="34"/>
        <v xml:space="preserve">120-NGm </v>
      </c>
      <c r="AG94" s="369" t="str">
        <f t="shared" si="35"/>
        <v>120-NG_R</v>
      </c>
      <c r="AH94" s="344" t="str">
        <f>IF(coder1_YH!R94="",AH93,coder1_YH!R94)</f>
        <v>1</v>
      </c>
      <c r="AI94" s="344" t="str">
        <f t="shared" si="19"/>
        <v>1</v>
      </c>
      <c r="AJ94" s="345">
        <f t="shared" si="36"/>
        <v>1</v>
      </c>
      <c r="AK94" s="408">
        <f>IF(coder1_YH!S94="",AK93,coder1_YH!S94)</f>
        <v>6.5</v>
      </c>
      <c r="AL94" s="345" t="str">
        <f>IF(coder1_YH!T94="",AL93,IF(coder1_YH!T94="mixed",0.25,coder1_YH!T94))</f>
        <v>NA</v>
      </c>
      <c r="AM94" s="345">
        <f>IF(coder1_YH!U94 = "", AM93, IF(coder1_YH!U94="mixed","NA",coder1_YH!U94))</f>
        <v>7.2072072072072071E-2</v>
      </c>
      <c r="AN94" s="345" t="str">
        <f>IF(coder1_YH!V94="",AN93,coder1_YH!V94)</f>
        <v>NA</v>
      </c>
      <c r="AO94" s="345">
        <f>IF(coder1_YH!W94="",AO93,coder1_YH!W94)</f>
        <v>0.1891891891891892</v>
      </c>
      <c r="AP94" s="345">
        <f>IF(coder1_YH!X94="",AP93,coder1_YH!X94)</f>
        <v>0.50225225225225223</v>
      </c>
      <c r="AQ94" s="345">
        <f>IF(coder1_YH!Y94="",AQ93,coder1_YH!Y94)</f>
        <v>0.80180180180180183</v>
      </c>
      <c r="AR94">
        <f>coder1_YH!AB94</f>
        <v>0</v>
      </c>
      <c r="AS94" s="345" t="str">
        <f>IF(coder1_YH!AC94 = "", AS93,IF(coder1_YH!AC94="BAU","BAU",LEFT(coder1_YH!AC94)))</f>
        <v>0</v>
      </c>
      <c r="AT94" s="345" t="str">
        <f>IF(coder1_YH!AD94 = "", AT93,IF(coder1_YH!AD94="BAU","BAU",LEFT(coder1_YH!AD94)))</f>
        <v>0</v>
      </c>
      <c r="AU94" s="345" t="str">
        <f>IF(coder1_YH!AE94 = "", AU93,IF(coder1_YH!AE94="BAU","BAU",LEFT(coder1_YH!AE94)))</f>
        <v>1</v>
      </c>
      <c r="AV94" s="345">
        <f>IF(coder1_YH!AF94="",AV93,coder1_YH!AF94)</f>
        <v>600</v>
      </c>
      <c r="AW94" s="345">
        <f t="shared" si="37"/>
        <v>10</v>
      </c>
      <c r="AX94" s="345">
        <f>IF(coder1_YH!AG94="",AX93,coder1_YH!AG94)</f>
        <v>10</v>
      </c>
      <c r="AY94" s="345">
        <f>IF(coder1_YH!AH94="",AY93,coder1_YH!AH94)</f>
        <v>60</v>
      </c>
      <c r="AZ94" s="345" t="str">
        <f>IF(coder1_YH!AI94 = "", AZ93, IF(coder1_YH!AI94="BAU","BAU",LEFT(coder1_YH!AI94)))</f>
        <v>1</v>
      </c>
      <c r="BA94" s="384">
        <f>clean_data!Y94</f>
        <v>431</v>
      </c>
    </row>
    <row r="95" spans="1:53" x14ac:dyDescent="0.2">
      <c r="A95">
        <f>coder1_YH!B95</f>
        <v>0</v>
      </c>
      <c r="B95">
        <f>coder1_YH!C95</f>
        <v>95</v>
      </c>
      <c r="C95">
        <f>coder1_YH!D95</f>
        <v>0</v>
      </c>
      <c r="D95" t="str">
        <f>coder1_YH!E95</f>
        <v/>
      </c>
      <c r="E95" t="b">
        <f>coder1_YH!F95</f>
        <v>1</v>
      </c>
      <c r="F95" s="321" t="str">
        <f>IF(coder1_YH!G95="", clean_mod!F94, coder1_YH!G95)</f>
        <v>Kim et al., 2021</v>
      </c>
      <c r="G95" s="321" t="str">
        <f t="shared" si="20"/>
        <v>120</v>
      </c>
      <c r="H95" s="321">
        <f>IF(coder1_YH!H95="", clean_mod!H94, coder1_YH!H95)</f>
        <v>120</v>
      </c>
      <c r="I95" s="404" t="str">
        <f t="shared" si="21"/>
        <v>2021</v>
      </c>
      <c r="J95" s="344" t="str">
        <f>IF(coder1_YH!I95="",J94,coder1_YH!I95)</f>
        <v>USA</v>
      </c>
      <c r="K95" s="345">
        <f t="shared" si="22"/>
        <v>0</v>
      </c>
      <c r="L95" s="344" t="str">
        <f>IF(coder1_YH!J95 = "",L94, coder1_YH!J95)</f>
        <v>English</v>
      </c>
      <c r="M95" s="345">
        <f t="shared" si="23"/>
        <v>0</v>
      </c>
      <c r="N95" s="345" t="str">
        <f>IF(coder1_YH!K95 = "", N94, LEFT(coder1_YH!K95,1))</f>
        <v>0</v>
      </c>
      <c r="O95" s="345" t="str">
        <f>IF(coder1_YH!L95 = "", O94, LEFT(coder1_YH!L95,1))</f>
        <v>0</v>
      </c>
      <c r="P95" s="345" t="str">
        <f>IF(coder1_YH!M95 = "", P94, LEFT(coder1_YH!M95,1))</f>
        <v>0</v>
      </c>
      <c r="Q95" s="321" t="str">
        <f>coder1_YH!P95</f>
        <v>ctl</v>
      </c>
      <c r="R95" s="321" t="str">
        <f>coder1_YH!Q95</f>
        <v>TI</v>
      </c>
      <c r="S95" s="323" t="str">
        <f t="shared" si="24"/>
        <v/>
      </c>
      <c r="T95" s="323" t="str">
        <f t="shared" si="25"/>
        <v/>
      </c>
      <c r="U95" s="323" t="str">
        <f t="shared" si="26"/>
        <v/>
      </c>
      <c r="V95" s="323" t="str">
        <f t="shared" si="27"/>
        <v/>
      </c>
      <c r="W95" s="323">
        <f t="shared" si="28"/>
        <v>0</v>
      </c>
      <c r="X95" s="385" t="str">
        <f>IF(coder1_YH!N95 = "",X94,coder1_YH!N95)</f>
        <v>.</v>
      </c>
      <c r="Y95" s="385" t="str">
        <f>IF(coder1_YH!O95 = "",Y94,coder1_YH!O95)</f>
        <v>.</v>
      </c>
      <c r="Z95" s="385" t="str">
        <f t="shared" si="29"/>
        <v/>
      </c>
      <c r="AA95" s="385" t="str">
        <f t="shared" si="30"/>
        <v>BAU</v>
      </c>
      <c r="AB95" s="385" t="str">
        <f t="shared" si="31"/>
        <v>BAU</v>
      </c>
      <c r="AC95" s="323" t="str">
        <f t="shared" si="32"/>
        <v>..</v>
      </c>
      <c r="AD95" s="323" t="str">
        <f t="shared" si="33"/>
        <v>BAU</v>
      </c>
      <c r="AF95" s="369" t="str">
        <f t="shared" si="34"/>
        <v>120-..</v>
      </c>
      <c r="AG95" s="369" t="str">
        <f t="shared" si="35"/>
        <v>120-BAU</v>
      </c>
      <c r="AH95" s="344" t="str">
        <f>IF(coder1_YH!R95="",AH94,coder1_YH!R95)</f>
        <v>1</v>
      </c>
      <c r="AI95" s="344" t="str">
        <f t="shared" si="19"/>
        <v>1</v>
      </c>
      <c r="AJ95" s="345">
        <f t="shared" si="36"/>
        <v>1</v>
      </c>
      <c r="AK95" s="408">
        <f>IF(coder1_YH!S95="",AK94,coder1_YH!S95)</f>
        <v>6.5</v>
      </c>
      <c r="AL95" s="345" t="str">
        <f>IF(coder1_YH!T95="",AL94,IF(coder1_YH!T95="mixed",0.25,coder1_YH!T95))</f>
        <v>NA</v>
      </c>
      <c r="AM95" s="345">
        <f>IF(coder1_YH!U95 = "", AM94, IF(coder1_YH!U95="mixed","NA",coder1_YH!U95))</f>
        <v>5.9633027522935783E-2</v>
      </c>
      <c r="AN95" s="345" t="str">
        <f>IF(coder1_YH!V95="",AN94,coder1_YH!V95)</f>
        <v>NA</v>
      </c>
      <c r="AO95" s="345">
        <f>IF(coder1_YH!W95="",AO94,coder1_YH!W95)</f>
        <v>0.23853211009174313</v>
      </c>
      <c r="AP95" s="345">
        <f>IF(coder1_YH!X95="",AP94,coder1_YH!X95)</f>
        <v>0.45871559633027525</v>
      </c>
      <c r="AQ95" s="345">
        <f>IF(coder1_YH!Y95="",AQ94,coder1_YH!Y95)</f>
        <v>0.75688073394495414</v>
      </c>
      <c r="AR95" t="str">
        <f>coder1_YH!AB95</f>
        <v>1 = Published or Commercially available curriculum</v>
      </c>
      <c r="AS95" s="345" t="str">
        <f>IF(coder1_YH!AC95 = "", AS94,IF(coder1_YH!AC95="BAU","BAU",LEFT(coder1_YH!AC95)))</f>
        <v>BAU</v>
      </c>
      <c r="AT95" s="345" t="str">
        <f>IF(coder1_YH!AD95 = "", AT94,IF(coder1_YH!AD95="BAU","BAU",LEFT(coder1_YH!AD95)))</f>
        <v>BAU</v>
      </c>
      <c r="AU95" s="345" t="str">
        <f>IF(coder1_YH!AE95 = "", AU94,IF(coder1_YH!AE95="BAU","BAU",LEFT(coder1_YH!AE95)))</f>
        <v>BAU</v>
      </c>
      <c r="AV95" s="345" t="str">
        <f>IF(coder1_YH!AF95="",AV94,coder1_YH!AF95)</f>
        <v>BAU</v>
      </c>
      <c r="AW95" s="345" t="str">
        <f t="shared" si="37"/>
        <v>BAU</v>
      </c>
      <c r="AX95" s="345" t="str">
        <f>IF(coder1_YH!AG95="",AX94,coder1_YH!AG95)</f>
        <v>BAU</v>
      </c>
      <c r="AY95" s="345" t="str">
        <f>IF(coder1_YH!AH95="",AY94,coder1_YH!AH95)</f>
        <v>BAU</v>
      </c>
      <c r="AZ95" s="345" t="str">
        <f>IF(coder1_YH!AI95 = "", AZ94, IF(coder1_YH!AI95="BAU","BAU",LEFT(coder1_YH!AI95)))</f>
        <v>BAU</v>
      </c>
      <c r="BA95" s="384">
        <f>clean_data!Y95</f>
        <v>204</v>
      </c>
    </row>
    <row r="96" spans="1:53" x14ac:dyDescent="0.2">
      <c r="A96">
        <f>coder1_YH!B96</f>
        <v>0</v>
      </c>
      <c r="B96">
        <f>coder1_YH!C96</f>
        <v>96</v>
      </c>
      <c r="C96">
        <f>coder1_YH!D96</f>
        <v>0</v>
      </c>
      <c r="D96" t="str">
        <f>coder1_YH!E96</f>
        <v/>
      </c>
      <c r="E96" t="str">
        <f>coder1_YH!F96</f>
        <v/>
      </c>
      <c r="F96" s="321" t="str">
        <f>IF(coder1_YH!G96="", clean_mod!F95, coder1_YH!G96)</f>
        <v>Kim et al., 2021</v>
      </c>
      <c r="G96" s="321" t="str">
        <f t="shared" si="20"/>
        <v>120</v>
      </c>
      <c r="H96" s="321">
        <f>IF(coder1_YH!H96="", clean_mod!H95, coder1_YH!H96)</f>
        <v>120</v>
      </c>
      <c r="I96" s="404" t="str">
        <f t="shared" si="21"/>
        <v>2021</v>
      </c>
      <c r="J96" s="344" t="str">
        <f>IF(coder1_YH!I96="",J95,coder1_YH!I96)</f>
        <v>USA</v>
      </c>
      <c r="K96" s="345">
        <f t="shared" si="22"/>
        <v>0</v>
      </c>
      <c r="L96" s="344" t="str">
        <f>IF(coder1_YH!J96 = "",L95, coder1_YH!J96)</f>
        <v>English</v>
      </c>
      <c r="M96" s="345">
        <f t="shared" si="23"/>
        <v>0</v>
      </c>
      <c r="N96" s="345" t="str">
        <f>IF(coder1_YH!K96 = "", N95, LEFT(coder1_YH!K96,1))</f>
        <v>0</v>
      </c>
      <c r="O96" s="345" t="str">
        <f>IF(coder1_YH!L96 = "", O95, LEFT(coder1_YH!L96,1))</f>
        <v>0</v>
      </c>
      <c r="P96" s="345" t="str">
        <f>IF(coder1_YH!M96 = "", P95, LEFT(coder1_YH!M96,1))</f>
        <v>0</v>
      </c>
      <c r="Q96" s="321">
        <f>coder1_YH!P96</f>
        <v>0</v>
      </c>
      <c r="R96" s="321">
        <f>coder1_YH!Q96</f>
        <v>0</v>
      </c>
      <c r="S96" s="323" t="str">
        <f t="shared" si="24"/>
        <v/>
      </c>
      <c r="T96" s="323" t="str">
        <f t="shared" si="25"/>
        <v/>
      </c>
      <c r="U96" s="323" t="str">
        <f t="shared" si="26"/>
        <v/>
      </c>
      <c r="V96" s="323" t="str">
        <f t="shared" si="27"/>
        <v/>
      </c>
      <c r="W96" s="323">
        <f t="shared" si="28"/>
        <v>0</v>
      </c>
      <c r="X96" s="385" t="str">
        <f>IF(coder1_YH!N96 = "",X95,coder1_YH!N96)</f>
        <v>.</v>
      </c>
      <c r="Y96" s="385" t="str">
        <f>IF(coder1_YH!O96 = "",Y95,coder1_YH!O96)</f>
        <v>.</v>
      </c>
      <c r="Z96" s="385" t="str">
        <f t="shared" si="29"/>
        <v/>
      </c>
      <c r="AA96" s="385" t="str">
        <f t="shared" si="30"/>
        <v>BAU</v>
      </c>
      <c r="AB96" s="385" t="str">
        <f t="shared" si="31"/>
        <v>BAU</v>
      </c>
      <c r="AC96" s="323" t="str">
        <f t="shared" si="32"/>
        <v>..</v>
      </c>
      <c r="AD96" s="323" t="str">
        <f t="shared" si="33"/>
        <v>BAU</v>
      </c>
      <c r="AF96" s="369" t="str">
        <f t="shared" si="34"/>
        <v>120-..</v>
      </c>
      <c r="AG96" s="369" t="str">
        <f t="shared" si="35"/>
        <v>120-BAU</v>
      </c>
      <c r="AH96" s="344" t="str">
        <f>IF(coder1_YH!R96="",AH95,coder1_YH!R96)</f>
        <v>1</v>
      </c>
      <c r="AI96" s="344" t="str">
        <f t="shared" si="19"/>
        <v>1</v>
      </c>
      <c r="AJ96" s="345">
        <f t="shared" si="36"/>
        <v>1</v>
      </c>
      <c r="AK96" s="408">
        <f>IF(coder1_YH!S96="",AK95,coder1_YH!S96)</f>
        <v>6.5</v>
      </c>
      <c r="AL96" s="345" t="str">
        <f>IF(coder1_YH!T96="",AL95,IF(coder1_YH!T96="mixed",0.25,coder1_YH!T96))</f>
        <v>NA</v>
      </c>
      <c r="AM96" s="345">
        <f>IF(coder1_YH!U96 = "", AM95, IF(coder1_YH!U96="mixed","NA",coder1_YH!U96))</f>
        <v>5.9633027522935783E-2</v>
      </c>
      <c r="AN96" s="345" t="str">
        <f>IF(coder1_YH!V96="",AN95,coder1_YH!V96)</f>
        <v>NA</v>
      </c>
      <c r="AO96" s="345">
        <f>IF(coder1_YH!W96="",AO95,coder1_YH!W96)</f>
        <v>0.23853211009174313</v>
      </c>
      <c r="AP96" s="345">
        <f>IF(coder1_YH!X96="",AP95,coder1_YH!X96)</f>
        <v>0.45871559633027525</v>
      </c>
      <c r="AQ96" s="345">
        <f>IF(coder1_YH!Y96="",AQ95,coder1_YH!Y96)</f>
        <v>0.75688073394495414</v>
      </c>
      <c r="AR96">
        <f>coder1_YH!AB96</f>
        <v>0</v>
      </c>
      <c r="AS96" s="345" t="str">
        <f>IF(coder1_YH!AC96 = "", AS95,IF(coder1_YH!AC96="BAU","BAU",LEFT(coder1_YH!AC96)))</f>
        <v>BAU</v>
      </c>
      <c r="AT96" s="345" t="str">
        <f>IF(coder1_YH!AD96 = "", AT95,IF(coder1_YH!AD96="BAU","BAU",LEFT(coder1_YH!AD96)))</f>
        <v>BAU</v>
      </c>
      <c r="AU96" s="345" t="str">
        <f>IF(coder1_YH!AE96 = "", AU95,IF(coder1_YH!AE96="BAU","BAU",LEFT(coder1_YH!AE96)))</f>
        <v>BAU</v>
      </c>
      <c r="AV96" s="345" t="str">
        <f>IF(coder1_YH!AF96="",AV95,coder1_YH!AF96)</f>
        <v>BAU</v>
      </c>
      <c r="AW96" s="345" t="str">
        <f t="shared" si="37"/>
        <v>BAU</v>
      </c>
      <c r="AX96" s="345" t="str">
        <f>IF(coder1_YH!AG96="",AX95,coder1_YH!AG96)</f>
        <v>BAU</v>
      </c>
      <c r="AY96" s="345" t="str">
        <f>IF(coder1_YH!AH96="",AY95,coder1_YH!AH96)</f>
        <v>BAU</v>
      </c>
      <c r="AZ96" s="345" t="str">
        <f>IF(coder1_YH!AI96 = "", AZ95, IF(coder1_YH!AI96="BAU","BAU",LEFT(coder1_YH!AI96)))</f>
        <v>BAU</v>
      </c>
      <c r="BA96" s="384">
        <f>clean_data!Y96</f>
        <v>214</v>
      </c>
    </row>
    <row r="97" spans="1:53" x14ac:dyDescent="0.2">
      <c r="A97">
        <f>coder1_YH!B97</f>
        <v>0</v>
      </c>
      <c r="B97">
        <f>coder1_YH!C97</f>
        <v>97</v>
      </c>
      <c r="C97" t="b">
        <f>coder1_YH!D97</f>
        <v>1</v>
      </c>
      <c r="D97" t="b">
        <f>coder1_YH!E97</f>
        <v>1</v>
      </c>
      <c r="E97" t="b">
        <f>coder1_YH!F97</f>
        <v>1</v>
      </c>
      <c r="F97" s="321" t="str">
        <f>IF(coder1_YH!G97="", clean_mod!F96, coder1_YH!G97)</f>
        <v>Law, 2011</v>
      </c>
      <c r="G97" s="321" t="str">
        <f t="shared" si="20"/>
        <v>121</v>
      </c>
      <c r="H97" s="321">
        <f>IF(coder1_YH!H97="", clean_mod!H96, coder1_YH!H97)</f>
        <v>121</v>
      </c>
      <c r="I97" s="404" t="str">
        <f t="shared" si="21"/>
        <v>2011</v>
      </c>
      <c r="J97" s="344" t="str">
        <f>IF(coder1_YH!I97="",J96,coder1_YH!I97)</f>
        <v>China</v>
      </c>
      <c r="K97" s="345">
        <f t="shared" si="22"/>
        <v>1</v>
      </c>
      <c r="L97" s="344" t="str">
        <f>IF(coder1_YH!J97 = "",L96, coder1_YH!J97)</f>
        <v>Chinese</v>
      </c>
      <c r="M97" s="345">
        <f t="shared" si="23"/>
        <v>1</v>
      </c>
      <c r="N97" s="345" t="str">
        <f>IF(coder1_YH!K97 = "", N96, LEFT(coder1_YH!K97,1))</f>
        <v>0</v>
      </c>
      <c r="O97" s="345" t="str">
        <f>IF(coder1_YH!L97 = "", O96, LEFT(coder1_YH!L97,1))</f>
        <v>0</v>
      </c>
      <c r="P97" s="345" t="str">
        <f>IF(coder1_YH!M97 = "", P96, LEFT(coder1_YH!M97,1))</f>
        <v>1</v>
      </c>
      <c r="Q97" s="321">
        <f>coder1_YH!P97</f>
        <v>1</v>
      </c>
      <c r="R97" s="321" t="str">
        <f>coder1_YH!Q97</f>
        <v>Int1 –  jigsaw approach</v>
      </c>
      <c r="S97" s="323" t="str">
        <f t="shared" si="24"/>
        <v>N</v>
      </c>
      <c r="T97" s="323" t="str">
        <f t="shared" si="25"/>
        <v/>
      </c>
      <c r="U97" s="323" t="str">
        <f t="shared" si="26"/>
        <v>G</v>
      </c>
      <c r="V97" s="323" t="str">
        <f t="shared" si="27"/>
        <v/>
      </c>
      <c r="W97" s="323">
        <f t="shared" si="28"/>
        <v>2</v>
      </c>
      <c r="X97" s="385" t="str">
        <f>IF(coder1_YH!N97 = "",X96,coder1_YH!N97)</f>
        <v>NG</v>
      </c>
      <c r="Y97" s="385" t="str">
        <f>IF(coder1_YH!O97 = "",Y96,coder1_YH!O97)</f>
        <v xml:space="preserve">m </v>
      </c>
      <c r="Z97" s="385" t="str">
        <f t="shared" si="29"/>
        <v>M</v>
      </c>
      <c r="AA97" s="385" t="str">
        <f t="shared" si="30"/>
        <v>R</v>
      </c>
      <c r="AB97" s="385" t="str">
        <f t="shared" si="31"/>
        <v>MR</v>
      </c>
      <c r="AC97" s="323" t="str">
        <f t="shared" si="32"/>
        <v xml:space="preserve">NGm </v>
      </c>
      <c r="AD97" s="323" t="str">
        <f t="shared" si="33"/>
        <v>NG_R</v>
      </c>
      <c r="AE97" s="323">
        <f>IF(Y97="cm", 1,0)</f>
        <v>0</v>
      </c>
      <c r="AF97" s="369" t="str">
        <f t="shared" si="34"/>
        <v xml:space="preserve">121-NGm </v>
      </c>
      <c r="AG97" s="369" t="str">
        <f t="shared" si="35"/>
        <v>121-NG_R</v>
      </c>
      <c r="AH97" s="344" t="str">
        <f>IF(coder1_YH!R97="",AH96,coder1_YH!R97)</f>
        <v>5</v>
      </c>
      <c r="AI97" s="344" t="str">
        <f t="shared" si="19"/>
        <v>5</v>
      </c>
      <c r="AJ97" s="345">
        <f t="shared" si="36"/>
        <v>1</v>
      </c>
      <c r="AK97" s="408">
        <f>IF(coder1_YH!S97="",AK96,coder1_YH!S97)</f>
        <v>10.73</v>
      </c>
      <c r="AL97" s="345" t="str">
        <f>IF(coder1_YH!T97="",AL96,IF(coder1_YH!T97="mixed",0.25,coder1_YH!T97))</f>
        <v>NA</v>
      </c>
      <c r="AM97" s="345" t="str">
        <f>IF(coder1_YH!U97 = "", AM96, IF(coder1_YH!U97="mixed","NA",coder1_YH!U97))</f>
        <v>NA</v>
      </c>
      <c r="AN97" s="345">
        <f>IF(coder1_YH!V97="",AN96,coder1_YH!V97)</f>
        <v>0.75</v>
      </c>
      <c r="AO97" s="345">
        <f>IF(coder1_YH!W97="",AO96,coder1_YH!W97)</f>
        <v>0</v>
      </c>
      <c r="AP97" s="345">
        <f>IF(coder1_YH!X97="",AP96,coder1_YH!X97)</f>
        <v>0.46808510638297873</v>
      </c>
      <c r="AQ97" s="345">
        <f>IF(coder1_YH!Y97="",AQ96,coder1_YH!Y97)</f>
        <v>0</v>
      </c>
      <c r="AR97" t="str">
        <f>coder1_YH!AB97</f>
        <v>0 = Researcher-developed curriculum</v>
      </c>
      <c r="AS97" s="345" t="str">
        <f>IF(coder1_YH!AC97 = "", AS96,IF(coder1_YH!AC97="BAU","BAU",LEFT(coder1_YH!AC97)))</f>
        <v>0</v>
      </c>
      <c r="AT97" s="345" t="str">
        <f>IF(coder1_YH!AD97 = "", AT96,IF(coder1_YH!AD97="BAU","BAU",LEFT(coder1_YH!AD97)))</f>
        <v>1</v>
      </c>
      <c r="AU97" s="345" t="str">
        <f>IF(coder1_YH!AE97 = "", AU96,IF(coder1_YH!AE97="BAU","BAU",LEFT(coder1_YH!AE97)))</f>
        <v>1</v>
      </c>
      <c r="AV97" s="345">
        <f>IF(coder1_YH!AF97="",AV96,coder1_YH!AF97)</f>
        <v>300</v>
      </c>
      <c r="AW97" s="345">
        <f t="shared" si="37"/>
        <v>5</v>
      </c>
      <c r="AX97" s="345">
        <f>IF(coder1_YH!AG97="",AX96,coder1_YH!AG97)</f>
        <v>5</v>
      </c>
      <c r="AY97" s="345">
        <f>IF(coder1_YH!AH97="",AY96,coder1_YH!AH97)</f>
        <v>60</v>
      </c>
      <c r="AZ97" s="345" t="str">
        <f>IF(coder1_YH!AI97 = "", AZ96, IF(coder1_YH!AI97="BAU","BAU",LEFT(coder1_YH!AI97)))</f>
        <v>0</v>
      </c>
      <c r="BA97" s="384">
        <f>clean_data!Y97</f>
        <v>94</v>
      </c>
    </row>
    <row r="98" spans="1:53" x14ac:dyDescent="0.2">
      <c r="A98">
        <f>coder1_YH!B98</f>
        <v>0</v>
      </c>
      <c r="B98">
        <f>coder1_YH!C98</f>
        <v>98</v>
      </c>
      <c r="C98">
        <f>coder1_YH!D98</f>
        <v>0</v>
      </c>
      <c r="D98" t="str">
        <f>coder1_YH!E98</f>
        <v/>
      </c>
      <c r="E98" t="b">
        <f>coder1_YH!F98</f>
        <v>1</v>
      </c>
      <c r="F98" s="321" t="str">
        <f>IF(coder1_YH!G98="", clean_mod!F97, coder1_YH!G98)</f>
        <v>Law, 2011</v>
      </c>
      <c r="G98" s="321" t="str">
        <f t="shared" si="20"/>
        <v>121</v>
      </c>
      <c r="H98" s="321">
        <f>IF(coder1_YH!H98="", clean_mod!H97, coder1_YH!H98)</f>
        <v>121</v>
      </c>
      <c r="I98" s="404" t="str">
        <f t="shared" si="21"/>
        <v>2011</v>
      </c>
      <c r="J98" s="344" t="str">
        <f>IF(coder1_YH!I98="",J97,coder1_YH!I98)</f>
        <v>China</v>
      </c>
      <c r="K98" s="345">
        <f t="shared" si="22"/>
        <v>1</v>
      </c>
      <c r="L98" s="344" t="str">
        <f>IF(coder1_YH!J98 = "",L97, coder1_YH!J98)</f>
        <v>Chinese</v>
      </c>
      <c r="M98" s="345">
        <f t="shared" si="23"/>
        <v>1</v>
      </c>
      <c r="N98" s="345" t="str">
        <f>IF(coder1_YH!K98 = "", N97, LEFT(coder1_YH!K98,1))</f>
        <v>0</v>
      </c>
      <c r="O98" s="345" t="str">
        <f>IF(coder1_YH!L98 = "", O97, LEFT(coder1_YH!L98,1))</f>
        <v>0</v>
      </c>
      <c r="P98" s="345" t="str">
        <f>IF(coder1_YH!M98 = "", P97, LEFT(coder1_YH!M98,1))</f>
        <v>1</v>
      </c>
      <c r="Q98" s="321">
        <f>coder1_YH!P98</f>
        <v>2</v>
      </c>
      <c r="R98" s="321" t="str">
        <f>coder1_YH!Q98</f>
        <v>Int2 – drama approach</v>
      </c>
      <c r="S98" s="323" t="str">
        <f t="shared" si="24"/>
        <v>N</v>
      </c>
      <c r="T98" s="323" t="str">
        <f t="shared" si="25"/>
        <v/>
      </c>
      <c r="U98" s="323" t="str">
        <f t="shared" si="26"/>
        <v/>
      </c>
      <c r="V98" s="323" t="str">
        <f t="shared" si="27"/>
        <v/>
      </c>
      <c r="W98" s="323">
        <f t="shared" si="28"/>
        <v>1</v>
      </c>
      <c r="X98" s="385" t="str">
        <f>IF(coder1_YH!N98 = "",X97,coder1_YH!N98)</f>
        <v>N</v>
      </c>
      <c r="Y98" s="385" t="str">
        <f>IF(coder1_YH!O98 = "",Y97,coder1_YH!O98)</f>
        <v xml:space="preserve">m </v>
      </c>
      <c r="Z98" s="385" t="str">
        <f t="shared" si="29"/>
        <v>M</v>
      </c>
      <c r="AA98" s="385" t="str">
        <f t="shared" si="30"/>
        <v>R</v>
      </c>
      <c r="AB98" s="385" t="str">
        <f t="shared" si="31"/>
        <v>MR</v>
      </c>
      <c r="AC98" s="323" t="str">
        <f t="shared" si="32"/>
        <v xml:space="preserve">Nm </v>
      </c>
      <c r="AD98" s="323" t="str">
        <f t="shared" si="33"/>
        <v>N_R</v>
      </c>
      <c r="AF98" s="369" t="str">
        <f t="shared" si="34"/>
        <v xml:space="preserve">121-Nm </v>
      </c>
      <c r="AG98" s="369" t="str">
        <f t="shared" si="35"/>
        <v>121-N_R</v>
      </c>
      <c r="AH98" s="344" t="str">
        <f>IF(coder1_YH!R98="",AH97,coder1_YH!R98)</f>
        <v>5</v>
      </c>
      <c r="AI98" s="344" t="str">
        <f t="shared" si="19"/>
        <v>5</v>
      </c>
      <c r="AJ98" s="345">
        <f t="shared" si="36"/>
        <v>1</v>
      </c>
      <c r="AK98" s="408">
        <f>IF(coder1_YH!S98="",AK97,coder1_YH!S98)</f>
        <v>10.69</v>
      </c>
      <c r="AL98" s="345" t="str">
        <f>IF(coder1_YH!T98="",AL97,IF(coder1_YH!T98="mixed",0.25,coder1_YH!T98))</f>
        <v>NA</v>
      </c>
      <c r="AM98" s="345" t="str">
        <f>IF(coder1_YH!U98 = "", AM97, IF(coder1_YH!U98="mixed","NA",coder1_YH!U98))</f>
        <v>NA</v>
      </c>
      <c r="AN98" s="345">
        <f>IF(coder1_YH!V98="",AN97,coder1_YH!V98)</f>
        <v>0.75</v>
      </c>
      <c r="AO98" s="345">
        <f>IF(coder1_YH!W98="",AO97,coder1_YH!W98)</f>
        <v>0</v>
      </c>
      <c r="AP98" s="345">
        <f>IF(coder1_YH!X98="",AP97,coder1_YH!X98)</f>
        <v>0.54545454545454541</v>
      </c>
      <c r="AQ98" s="345">
        <f>IF(coder1_YH!Y98="",AQ97,coder1_YH!Y98)</f>
        <v>0</v>
      </c>
      <c r="AR98" t="str">
        <f>coder1_YH!AB98</f>
        <v>0 = Researcher-developed curriculum</v>
      </c>
      <c r="AS98" s="345" t="str">
        <f>IF(coder1_YH!AC98 = "", AS97,IF(coder1_YH!AC98="BAU","BAU",LEFT(coder1_YH!AC98)))</f>
        <v>0</v>
      </c>
      <c r="AT98" s="345" t="str">
        <f>IF(coder1_YH!AD98 = "", AT97,IF(coder1_YH!AD98="BAU","BAU",LEFT(coder1_YH!AD98)))</f>
        <v>1</v>
      </c>
      <c r="AU98" s="345" t="str">
        <f>IF(coder1_YH!AE98 = "", AU97,IF(coder1_YH!AE98="BAU","BAU",LEFT(coder1_YH!AE98)))</f>
        <v>1</v>
      </c>
      <c r="AV98" s="345">
        <f>IF(coder1_YH!AF98="",AV97,coder1_YH!AF98)</f>
        <v>300</v>
      </c>
      <c r="AW98" s="345">
        <f t="shared" si="37"/>
        <v>5</v>
      </c>
      <c r="AX98" s="345">
        <f>IF(coder1_YH!AG98="",AX97,coder1_YH!AG98)</f>
        <v>5</v>
      </c>
      <c r="AY98" s="345">
        <f>IF(coder1_YH!AH98="",AY97,coder1_YH!AH98)</f>
        <v>60</v>
      </c>
      <c r="AZ98" s="345" t="str">
        <f>IF(coder1_YH!AI98 = "", AZ97, IF(coder1_YH!AI98="BAU","BAU",LEFT(coder1_YH!AI98)))</f>
        <v>0</v>
      </c>
      <c r="BA98" s="384">
        <f>clean_data!Y98</f>
        <v>99</v>
      </c>
    </row>
    <row r="99" spans="1:53" x14ac:dyDescent="0.2">
      <c r="A99">
        <f>coder1_YH!B99</f>
        <v>0</v>
      </c>
      <c r="B99">
        <f>coder1_YH!C99</f>
        <v>99</v>
      </c>
      <c r="C99">
        <f>coder1_YH!D99</f>
        <v>0</v>
      </c>
      <c r="D99" t="str">
        <f>coder1_YH!E99</f>
        <v/>
      </c>
      <c r="E99" t="b">
        <f>coder1_YH!F99</f>
        <v>1</v>
      </c>
      <c r="F99" s="321" t="str">
        <f>IF(coder1_YH!G99="", clean_mod!F98, coder1_YH!G99)</f>
        <v>Law, 2011</v>
      </c>
      <c r="G99" s="321" t="str">
        <f t="shared" si="20"/>
        <v>121</v>
      </c>
      <c r="H99" s="321">
        <f>IF(coder1_YH!H99="", clean_mod!H98, coder1_YH!H99)</f>
        <v>121</v>
      </c>
      <c r="I99" s="404" t="str">
        <f t="shared" si="21"/>
        <v>2011</v>
      </c>
      <c r="J99" s="344" t="str">
        <f>IF(coder1_YH!I99="",J98,coder1_YH!I99)</f>
        <v>China</v>
      </c>
      <c r="K99" s="345">
        <f t="shared" si="22"/>
        <v>1</v>
      </c>
      <c r="L99" s="344" t="str">
        <f>IF(coder1_YH!J99 = "",L98, coder1_YH!J99)</f>
        <v>Chinese</v>
      </c>
      <c r="M99" s="345">
        <f t="shared" si="23"/>
        <v>1</v>
      </c>
      <c r="N99" s="345" t="str">
        <f>IF(coder1_YH!K99 = "", N98, LEFT(coder1_YH!K99,1))</f>
        <v>0</v>
      </c>
      <c r="O99" s="345" t="str">
        <f>IF(coder1_YH!L99 = "", O98, LEFT(coder1_YH!L99,1))</f>
        <v>0</v>
      </c>
      <c r="P99" s="345" t="str">
        <f>IF(coder1_YH!M99 = "", P98, LEFT(coder1_YH!M99,1))</f>
        <v>1</v>
      </c>
      <c r="Q99" s="321" t="str">
        <f>coder1_YH!P99</f>
        <v>ctl</v>
      </c>
      <c r="R99" s="321" t="str">
        <f>coder1_YH!Q99</f>
        <v>Control group – Direct instruction with teacher-led whole-class practices.</v>
      </c>
      <c r="S99" s="323" t="str">
        <f t="shared" si="24"/>
        <v/>
      </c>
      <c r="T99" s="323" t="str">
        <f t="shared" si="25"/>
        <v/>
      </c>
      <c r="U99" s="323" t="str">
        <f t="shared" si="26"/>
        <v/>
      </c>
      <c r="V99" s="323" t="str">
        <f t="shared" si="27"/>
        <v/>
      </c>
      <c r="W99" s="323">
        <f t="shared" si="28"/>
        <v>0</v>
      </c>
      <c r="X99" s="385" t="str">
        <f>IF(coder1_YH!N99 = "",X98,coder1_YH!N99)</f>
        <v>.</v>
      </c>
      <c r="Y99" s="385" t="str">
        <f>IF(coder1_YH!O99 = "",Y98,coder1_YH!O99)</f>
        <v>.</v>
      </c>
      <c r="Z99" s="385" t="str">
        <f t="shared" si="29"/>
        <v/>
      </c>
      <c r="AA99" s="385" t="str">
        <f t="shared" si="30"/>
        <v>BAU</v>
      </c>
      <c r="AB99" s="385" t="str">
        <f t="shared" si="31"/>
        <v>BAU</v>
      </c>
      <c r="AC99" s="323" t="str">
        <f t="shared" si="32"/>
        <v>..</v>
      </c>
      <c r="AD99" s="323" t="str">
        <f t="shared" si="33"/>
        <v>BAU</v>
      </c>
      <c r="AF99" s="369" t="str">
        <f t="shared" si="34"/>
        <v>121-..</v>
      </c>
      <c r="AG99" s="369" t="str">
        <f t="shared" si="35"/>
        <v>121-BAU</v>
      </c>
      <c r="AH99" s="344" t="str">
        <f>IF(coder1_YH!R99="",AH98,coder1_YH!R99)</f>
        <v>5</v>
      </c>
      <c r="AI99" s="344" t="str">
        <f t="shared" si="19"/>
        <v>5</v>
      </c>
      <c r="AJ99" s="345">
        <f t="shared" si="36"/>
        <v>1</v>
      </c>
      <c r="AK99" s="408">
        <f>IF(coder1_YH!S99="",AK98,coder1_YH!S99)</f>
        <v>10.69</v>
      </c>
      <c r="AL99" s="345" t="str">
        <f>IF(coder1_YH!T99="",AL98,IF(coder1_YH!T99="mixed",0.25,coder1_YH!T99))</f>
        <v>NA</v>
      </c>
      <c r="AM99" s="345" t="str">
        <f>IF(coder1_YH!U99 = "", AM98, IF(coder1_YH!U99="mixed","NA",coder1_YH!U99))</f>
        <v>NA</v>
      </c>
      <c r="AN99" s="345">
        <f>IF(coder1_YH!V99="",AN98,coder1_YH!V99)</f>
        <v>0.75</v>
      </c>
      <c r="AO99" s="345">
        <f>IF(coder1_YH!W99="",AO98,coder1_YH!W99)</f>
        <v>0</v>
      </c>
      <c r="AP99" s="345">
        <f>IF(coder1_YH!X99="",AP98,coder1_YH!X99)</f>
        <v>0.5</v>
      </c>
      <c r="AQ99" s="345">
        <f>IF(coder1_YH!Y99="",AQ98,coder1_YH!Y99)</f>
        <v>0</v>
      </c>
      <c r="AR99" t="str">
        <f>coder1_YH!AB99</f>
        <v>NA (for BAU/AC Condition)</v>
      </c>
      <c r="AS99" s="345" t="str">
        <f>IF(coder1_YH!AC99 = "", AS98,IF(coder1_YH!AC99="BAU","BAU",LEFT(coder1_YH!AC99)))</f>
        <v>BAU</v>
      </c>
      <c r="AT99" s="345" t="str">
        <f>IF(coder1_YH!AD99 = "", AT98,IF(coder1_YH!AD99="BAU","BAU",LEFT(coder1_YH!AD99)))</f>
        <v>BAU</v>
      </c>
      <c r="AU99" s="345" t="str">
        <f>IF(coder1_YH!AE99 = "", AU98,IF(coder1_YH!AE99="BAU","BAU",LEFT(coder1_YH!AE99)))</f>
        <v>BAU</v>
      </c>
      <c r="AV99" s="345" t="str">
        <f>IF(coder1_YH!AF99="",AV98,coder1_YH!AF99)</f>
        <v>BAU</v>
      </c>
      <c r="AW99" s="345" t="str">
        <f t="shared" si="37"/>
        <v>BAU</v>
      </c>
      <c r="AX99" s="345" t="str">
        <f>IF(coder1_YH!AG99="",AX98,coder1_YH!AG99)</f>
        <v>BAU</v>
      </c>
      <c r="AY99" s="345" t="str">
        <f>IF(coder1_YH!AH99="",AY98,coder1_YH!AH99)</f>
        <v>BAU</v>
      </c>
      <c r="AZ99" s="345" t="str">
        <f>IF(coder1_YH!AI99 = "", AZ98, IF(coder1_YH!AI99="BAU","BAU",LEFT(coder1_YH!AI99)))</f>
        <v>BAU</v>
      </c>
      <c r="BA99" s="384">
        <f>clean_data!Y99</f>
        <v>86</v>
      </c>
    </row>
    <row r="100" spans="1:53" x14ac:dyDescent="0.2">
      <c r="A100" t="str">
        <f>coder1_YH!B100</f>
        <v>EX</v>
      </c>
      <c r="B100">
        <f>coder1_YH!C100</f>
        <v>100</v>
      </c>
      <c r="C100" t="b">
        <f>coder1_YH!D100</f>
        <v>1</v>
      </c>
      <c r="D100" t="b">
        <f>coder1_YH!E100</f>
        <v>1</v>
      </c>
      <c r="E100" t="b">
        <f>coder1_YH!F100</f>
        <v>1</v>
      </c>
      <c r="F100" s="321" t="str">
        <f>IF(coder1_YH!G100="", clean_mod!F99, coder1_YH!G100)</f>
        <v>Lee, 2014</v>
      </c>
      <c r="G100" s="321" t="str">
        <f t="shared" si="20"/>
        <v xml:space="preserve">EX </v>
      </c>
      <c r="H100" s="321" t="str">
        <f>IF(coder1_YH!H100="", clean_mod!H99, coder1_YH!H100)</f>
        <v>EX 122</v>
      </c>
      <c r="I100" s="404" t="str">
        <f t="shared" si="21"/>
        <v>2014</v>
      </c>
      <c r="J100" s="344" t="str">
        <f>IF(coder1_YH!I100="",J99,coder1_YH!I100)</f>
        <v>Korea</v>
      </c>
      <c r="K100" s="345">
        <f t="shared" si="22"/>
        <v>1</v>
      </c>
      <c r="L100" s="344" t="str">
        <f>IF(coder1_YH!J100 = "",L99, coder1_YH!J100)</f>
        <v>Korean</v>
      </c>
      <c r="M100" s="345">
        <f t="shared" si="23"/>
        <v>1</v>
      </c>
      <c r="N100" s="345" t="str">
        <f>IF(coder1_YH!K100 = "", N99, LEFT(coder1_YH!K100,1))</f>
        <v>0</v>
      </c>
      <c r="O100" s="345" t="str">
        <f>IF(coder1_YH!L100 = "", O99, LEFT(coder1_YH!L100,1))</f>
        <v>0</v>
      </c>
      <c r="P100" s="345" t="str">
        <f>IF(coder1_YH!M100 = "", P99, LEFT(coder1_YH!M100,1))</f>
        <v>0</v>
      </c>
      <c r="Q100" s="321">
        <f>coder1_YH!P100</f>
        <v>1</v>
      </c>
      <c r="R100" s="321" t="str">
        <f>coder1_YH!Q100</f>
        <v>PALS - Peer reading group</v>
      </c>
      <c r="S100" s="323" t="str">
        <f t="shared" si="24"/>
        <v/>
      </c>
      <c r="T100" s="323" t="str">
        <f t="shared" si="25"/>
        <v/>
      </c>
      <c r="U100" s="323" t="str">
        <f t="shared" si="26"/>
        <v/>
      </c>
      <c r="V100" s="323" t="str">
        <f t="shared" si="27"/>
        <v/>
      </c>
      <c r="W100" s="323">
        <f t="shared" si="28"/>
        <v>0</v>
      </c>
      <c r="X100" s="385" t="str">
        <f>IF(coder1_YH!N100 = "",X99,coder1_YH!N100)</f>
        <v>.</v>
      </c>
      <c r="Y100" s="385" t="str">
        <f>IF(coder1_YH!O100 = "",Y99,coder1_YH!O100)</f>
        <v>.</v>
      </c>
      <c r="Z100" s="385" t="str">
        <f t="shared" si="29"/>
        <v/>
      </c>
      <c r="AA100" s="385" t="str">
        <f t="shared" si="30"/>
        <v>BAU</v>
      </c>
      <c r="AB100" s="385" t="str">
        <f t="shared" si="31"/>
        <v>BAU</v>
      </c>
      <c r="AC100" s="323" t="str">
        <f t="shared" si="32"/>
        <v>..</v>
      </c>
      <c r="AD100" s="323" t="str">
        <f t="shared" si="33"/>
        <v>BAU</v>
      </c>
      <c r="AF100" s="369" t="str">
        <f t="shared" si="34"/>
        <v>EX 122-..</v>
      </c>
      <c r="AG100" s="369" t="str">
        <f t="shared" si="35"/>
        <v>EX 122-BAU</v>
      </c>
      <c r="AH100" s="344" t="str">
        <f>IF(coder1_YH!R100="",AH99,coder1_YH!R100)</f>
        <v>3</v>
      </c>
      <c r="AI100" s="344" t="str">
        <f t="shared" si="19"/>
        <v>3</v>
      </c>
      <c r="AJ100" s="345">
        <f t="shared" si="36"/>
        <v>1</v>
      </c>
      <c r="AK100" s="408">
        <f>IF(coder1_YH!S100="",AK99,coder1_YH!S100)</f>
        <v>9.1999999999999993</v>
      </c>
      <c r="AL100" s="345" t="str">
        <f>IF(coder1_YH!T100="",AL99,IF(coder1_YH!T100="mixed",0.25,coder1_YH!T100))</f>
        <v>NA</v>
      </c>
      <c r="AM100" s="345" t="str">
        <f>IF(coder1_YH!U100 = "", AM99, IF(coder1_YH!U100="mixed","NA",coder1_YH!U100))</f>
        <v>NA</v>
      </c>
      <c r="AN100" s="345" t="str">
        <f>IF(coder1_YH!V100="",AN99,coder1_YH!V100)</f>
        <v>NA</v>
      </c>
      <c r="AO100" s="345">
        <f>IF(coder1_YH!W100="",AO99,coder1_YH!W100)</f>
        <v>0</v>
      </c>
      <c r="AP100" s="345">
        <f>IF(coder1_YH!X100="",AP99,coder1_YH!X100)</f>
        <v>0.44761904761904764</v>
      </c>
      <c r="AQ100" s="345">
        <f>IF(coder1_YH!Y100="",AQ99,coder1_YH!Y100)</f>
        <v>0</v>
      </c>
      <c r="AR100" t="str">
        <f>coder1_YH!AB100</f>
        <v>1 = Published or Commercially available curriculum</v>
      </c>
      <c r="AS100" s="345" t="str">
        <f>IF(coder1_YH!AC100 = "", AS99,IF(coder1_YH!AC100="BAU","BAU",LEFT(coder1_YH!AC100)))</f>
        <v>0</v>
      </c>
      <c r="AT100" s="345" t="str">
        <f>IF(coder1_YH!AD100 = "", AT99,IF(coder1_YH!AD100="BAU","BAU",LEFT(coder1_YH!AD100)))</f>
        <v>2</v>
      </c>
      <c r="AU100" s="345" t="str">
        <f>IF(coder1_YH!AE100 = "", AU99,IF(coder1_YH!AE100="BAU","BAU",LEFT(coder1_YH!AE100)))</f>
        <v>1</v>
      </c>
      <c r="AV100" s="345">
        <f>IF(coder1_YH!AF100="",AV99,coder1_YH!AF100)</f>
        <v>640</v>
      </c>
      <c r="AW100" s="345">
        <f t="shared" si="37"/>
        <v>10.666666666666666</v>
      </c>
      <c r="AX100" s="345">
        <f>IF(coder1_YH!AG100="",AX99,coder1_YH!AG100)</f>
        <v>32</v>
      </c>
      <c r="AY100" s="345">
        <f>IF(coder1_YH!AH100="",AY99,coder1_YH!AH100)</f>
        <v>20</v>
      </c>
      <c r="AZ100" s="345" t="str">
        <f>IF(coder1_YH!AI100 = "", AZ99, IF(coder1_YH!AI100="BAU","BAU",LEFT(coder1_YH!AI100)))</f>
        <v>1</v>
      </c>
      <c r="BA100" s="384">
        <f>clean_data!Y100</f>
        <v>53</v>
      </c>
    </row>
    <row r="101" spans="1:53" x14ac:dyDescent="0.2">
      <c r="A101" t="str">
        <f>coder1_YH!B101</f>
        <v>EX</v>
      </c>
      <c r="B101">
        <f>coder1_YH!C101</f>
        <v>101</v>
      </c>
      <c r="C101">
        <f>coder1_YH!D101</f>
        <v>0</v>
      </c>
      <c r="D101" t="str">
        <f>coder1_YH!E101</f>
        <v/>
      </c>
      <c r="E101" t="b">
        <f>coder1_YH!F101</f>
        <v>1</v>
      </c>
      <c r="F101" s="321" t="str">
        <f>IF(coder1_YH!G101="", clean_mod!F100, coder1_YH!G101)</f>
        <v>Lee, 2014</v>
      </c>
      <c r="G101" s="321" t="str">
        <f t="shared" si="20"/>
        <v xml:space="preserve">EX </v>
      </c>
      <c r="H101" s="321" t="str">
        <f>IF(coder1_YH!H101="", clean_mod!H100, coder1_YH!H101)</f>
        <v>EX 122</v>
      </c>
      <c r="I101" s="404" t="str">
        <f t="shared" si="21"/>
        <v>2014</v>
      </c>
      <c r="J101" s="344" t="str">
        <f>IF(coder1_YH!I101="",J100,coder1_YH!I101)</f>
        <v>Korea</v>
      </c>
      <c r="K101" s="345">
        <f t="shared" si="22"/>
        <v>1</v>
      </c>
      <c r="L101" s="344" t="str">
        <f>IF(coder1_YH!J101 = "",L100, coder1_YH!J101)</f>
        <v>Korean</v>
      </c>
      <c r="M101" s="345">
        <f t="shared" si="23"/>
        <v>1</v>
      </c>
      <c r="N101" s="345" t="str">
        <f>IF(coder1_YH!K101 = "", N100, LEFT(coder1_YH!K101,1))</f>
        <v>0</v>
      </c>
      <c r="O101" s="345" t="str">
        <f>IF(coder1_YH!L101 = "", O100, LEFT(coder1_YH!L101,1))</f>
        <v>0</v>
      </c>
      <c r="P101" s="345" t="str">
        <f>IF(coder1_YH!M101 = "", P100, LEFT(coder1_YH!M101,1))</f>
        <v>0</v>
      </c>
      <c r="Q101" s="321" t="str">
        <f>coder1_YH!P101</f>
        <v>ctl</v>
      </c>
      <c r="R101" s="321" t="str">
        <f>coder1_YH!Q101</f>
        <v>BAU - self-reading group</v>
      </c>
      <c r="S101" s="323" t="str">
        <f t="shared" si="24"/>
        <v/>
      </c>
      <c r="T101" s="323" t="str">
        <f t="shared" si="25"/>
        <v/>
      </c>
      <c r="U101" s="323" t="str">
        <f t="shared" si="26"/>
        <v/>
      </c>
      <c r="V101" s="323" t="str">
        <f t="shared" si="27"/>
        <v/>
      </c>
      <c r="W101" s="323">
        <f t="shared" si="28"/>
        <v>0</v>
      </c>
      <c r="X101" s="385" t="str">
        <f>IF(coder1_YH!N101 = "",X100,coder1_YH!N101)</f>
        <v>.</v>
      </c>
      <c r="Y101" s="385" t="str">
        <f>IF(coder1_YH!O101 = "",Y100,coder1_YH!O101)</f>
        <v>.</v>
      </c>
      <c r="Z101" s="385" t="str">
        <f t="shared" si="29"/>
        <v/>
      </c>
      <c r="AA101" s="385" t="str">
        <f t="shared" si="30"/>
        <v>BAU</v>
      </c>
      <c r="AB101" s="385" t="str">
        <f t="shared" si="31"/>
        <v>BAU</v>
      </c>
      <c r="AC101" s="323" t="str">
        <f t="shared" si="32"/>
        <v>..</v>
      </c>
      <c r="AD101" s="323" t="str">
        <f t="shared" si="33"/>
        <v>BAU</v>
      </c>
      <c r="AF101" s="369" t="str">
        <f t="shared" si="34"/>
        <v>EX 122-..</v>
      </c>
      <c r="AG101" s="369" t="str">
        <f t="shared" si="35"/>
        <v>EX 122-BAU</v>
      </c>
      <c r="AH101" s="344" t="str">
        <f>IF(coder1_YH!R101="",AH100,coder1_YH!R101)</f>
        <v>3</v>
      </c>
      <c r="AI101" s="344" t="str">
        <f t="shared" si="19"/>
        <v>3</v>
      </c>
      <c r="AJ101" s="345">
        <f t="shared" si="36"/>
        <v>1</v>
      </c>
      <c r="AK101" s="408">
        <f>IF(coder1_YH!S101="",AK100,coder1_YH!S101)</f>
        <v>9.1999999999999993</v>
      </c>
      <c r="AL101" s="345" t="str">
        <f>IF(coder1_YH!T101="",AL100,IF(coder1_YH!T101="mixed",0.25,coder1_YH!T101))</f>
        <v>NA</v>
      </c>
      <c r="AM101" s="345" t="str">
        <f>IF(coder1_YH!U101 = "", AM100, IF(coder1_YH!U101="mixed","NA",coder1_YH!U101))</f>
        <v>NA</v>
      </c>
      <c r="AN101" s="345" t="str">
        <f>IF(coder1_YH!V101="",AN100,coder1_YH!V101)</f>
        <v>NA</v>
      </c>
      <c r="AO101" s="345">
        <f>IF(coder1_YH!W101="",AO100,coder1_YH!W101)</f>
        <v>0</v>
      </c>
      <c r="AP101" s="345">
        <f>IF(coder1_YH!X101="",AP100,coder1_YH!X101)</f>
        <v>0.44761904761904764</v>
      </c>
      <c r="AQ101" s="345">
        <f>IF(coder1_YH!Y101="",AQ100,coder1_YH!Y101)</f>
        <v>0</v>
      </c>
      <c r="AR101" t="str">
        <f>coder1_YH!AB101</f>
        <v>1 = Published or Commercially available curriculum</v>
      </c>
      <c r="AS101" s="345" t="str">
        <f>IF(coder1_YH!AC101 = "", AS100,IF(coder1_YH!AC101="BAU","BAU",LEFT(coder1_YH!AC101)))</f>
        <v>BAU</v>
      </c>
      <c r="AT101" s="345" t="str">
        <f>IF(coder1_YH!AD101 = "", AT100,IF(coder1_YH!AD101="BAU","BAU",LEFT(coder1_YH!AD101)))</f>
        <v>BAU</v>
      </c>
      <c r="AU101" s="345" t="str">
        <f>IF(coder1_YH!AE101 = "", AU100,IF(coder1_YH!AE101="BAU","BAU",LEFT(coder1_YH!AE101)))</f>
        <v>BAU</v>
      </c>
      <c r="AV101" s="345" t="str">
        <f>IF(coder1_YH!AF101="",AV100,coder1_YH!AF101)</f>
        <v>BAU</v>
      </c>
      <c r="AW101" s="345" t="str">
        <f t="shared" si="37"/>
        <v>BAU</v>
      </c>
      <c r="AX101" s="345" t="str">
        <f>IF(coder1_YH!AG101="",AX100,coder1_YH!AG101)</f>
        <v>BAU</v>
      </c>
      <c r="AY101" s="345" t="str">
        <f>IF(coder1_YH!AH101="",AY100,coder1_YH!AH101)</f>
        <v>BAU</v>
      </c>
      <c r="AZ101" s="345" t="str">
        <f>IF(coder1_YH!AI101 = "", AZ100, IF(coder1_YH!AI101="BAU","BAU",LEFT(coder1_YH!AI101)))</f>
        <v>BAU</v>
      </c>
      <c r="BA101" s="384">
        <f>clean_data!Y101</f>
        <v>52</v>
      </c>
    </row>
    <row r="102" spans="1:53" x14ac:dyDescent="0.2">
      <c r="A102" t="str">
        <f>coder1_YH!B102</f>
        <v>EX</v>
      </c>
      <c r="B102">
        <f>coder1_YH!C102</f>
        <v>102</v>
      </c>
      <c r="C102" t="b">
        <f>coder1_YH!D102</f>
        <v>1</v>
      </c>
      <c r="D102" t="b">
        <f>coder1_YH!E102</f>
        <v>1</v>
      </c>
      <c r="E102" t="b">
        <f>coder1_YH!F102</f>
        <v>1</v>
      </c>
      <c r="F102" s="321" t="str">
        <f>IF(coder1_YH!G102="", clean_mod!F101, coder1_YH!G102)</f>
        <v>Taboada Barber et al., 2018</v>
      </c>
      <c r="G102" s="321" t="str">
        <f t="shared" si="20"/>
        <v>123</v>
      </c>
      <c r="H102" s="321" t="str">
        <f>IF(coder1_YH!H102="", clean_mod!H101, coder1_YH!H102)</f>
        <v>123*</v>
      </c>
      <c r="I102" s="404" t="str">
        <f t="shared" si="21"/>
        <v>2018</v>
      </c>
      <c r="J102" s="344" t="str">
        <f>IF(coder1_YH!I102="",J101,coder1_YH!I102)</f>
        <v>USA</v>
      </c>
      <c r="K102" s="345">
        <f t="shared" si="22"/>
        <v>0</v>
      </c>
      <c r="L102" s="344" t="str">
        <f>IF(coder1_YH!J102 = "",L101, coder1_YH!J102)</f>
        <v>English</v>
      </c>
      <c r="M102" s="345">
        <f t="shared" si="23"/>
        <v>0</v>
      </c>
      <c r="N102" s="345" t="str">
        <f>IF(coder1_YH!K102 = "", N101, LEFT(coder1_YH!K102,1))</f>
        <v>0</v>
      </c>
      <c r="O102" s="345" t="str">
        <f>IF(coder1_YH!L102 = "", O101, LEFT(coder1_YH!L102,1))</f>
        <v>0</v>
      </c>
      <c r="P102" s="345" t="str">
        <f>IF(coder1_YH!M102 = "", P101, LEFT(coder1_YH!M102,1))</f>
        <v>1</v>
      </c>
      <c r="Q102" s="321">
        <f>coder1_YH!P102</f>
        <v>1</v>
      </c>
      <c r="R102" s="321" t="str">
        <f>coder1_YH!Q102</f>
        <v>USHER (Sequence A)</v>
      </c>
      <c r="S102" s="323" t="str">
        <f t="shared" si="24"/>
        <v>N</v>
      </c>
      <c r="T102" s="323" t="str">
        <f t="shared" si="25"/>
        <v/>
      </c>
      <c r="U102" s="323" t="str">
        <f t="shared" si="26"/>
        <v/>
      </c>
      <c r="V102" s="323" t="str">
        <f t="shared" si="27"/>
        <v/>
      </c>
      <c r="W102" s="323">
        <f t="shared" si="28"/>
        <v>1</v>
      </c>
      <c r="X102" s="385" t="str">
        <f>IF(coder1_YH!N102 = "",X101,coder1_YH!N102)</f>
        <v>N</v>
      </c>
      <c r="Y102" s="385" t="str">
        <f>IF(coder1_YH!O102 = "",Y101,coder1_YH!O102)</f>
        <v xml:space="preserve">m </v>
      </c>
      <c r="Z102" s="385" t="str">
        <f t="shared" si="29"/>
        <v>M</v>
      </c>
      <c r="AA102" s="385" t="str">
        <f t="shared" si="30"/>
        <v>R</v>
      </c>
      <c r="AB102" s="385" t="str">
        <f t="shared" si="31"/>
        <v>MR</v>
      </c>
      <c r="AC102" s="323" t="str">
        <f t="shared" si="32"/>
        <v xml:space="preserve">Nm </v>
      </c>
      <c r="AD102" s="323" t="str">
        <f t="shared" si="33"/>
        <v>N_R</v>
      </c>
      <c r="AF102" s="369" t="str">
        <f t="shared" si="34"/>
        <v xml:space="preserve">123*-Nm </v>
      </c>
      <c r="AG102" s="369" t="str">
        <f t="shared" si="35"/>
        <v>123*-N_R</v>
      </c>
      <c r="AH102" s="344" t="str">
        <f>IF(coder1_YH!R102="",AH101,coder1_YH!R102)</f>
        <v>6</v>
      </c>
      <c r="AI102" s="344" t="str">
        <f t="shared" si="19"/>
        <v>6</v>
      </c>
      <c r="AJ102" s="345">
        <f t="shared" si="36"/>
        <v>1</v>
      </c>
      <c r="AK102" s="408">
        <f>IF(coder1_YH!S102="",AK101,coder1_YH!S102)</f>
        <v>11.5</v>
      </c>
      <c r="AL102" s="345" t="str">
        <f>IF(coder1_YH!T102="",AL101,IF(coder1_YH!T102="mixed",0.25,coder1_YH!T102))</f>
        <v>NA</v>
      </c>
      <c r="AM102" s="345" t="str">
        <f>IF(coder1_YH!U102 = "", AM101, IF(coder1_YH!U102="mixed","NA",coder1_YH!U102))</f>
        <v>NA</v>
      </c>
      <c r="AN102" s="345" t="str">
        <f>IF(coder1_YH!V102="",AN101,coder1_YH!V102)</f>
        <v>NA</v>
      </c>
      <c r="AO102" s="345">
        <f>IF(coder1_YH!W102="",AO101,coder1_YH!W102)</f>
        <v>0.37438423645320196</v>
      </c>
      <c r="AP102" s="345">
        <f>IF(coder1_YH!X102="",AP101,coder1_YH!X102)</f>
        <v>0.6</v>
      </c>
      <c r="AQ102" s="345">
        <f>IF(coder1_YH!Y102="",AQ101,coder1_YH!Y102)</f>
        <v>0.75</v>
      </c>
      <c r="AR102" t="str">
        <f>coder1_YH!AB102</f>
        <v>0 = Researcher-developed curriculum</v>
      </c>
      <c r="AS102" s="345" t="str">
        <f>IF(coder1_YH!AC102 = "", AS101,IF(coder1_YH!AC102="BAU","BAU",LEFT(coder1_YH!AC102)))</f>
        <v>0</v>
      </c>
      <c r="AT102" s="345" t="str">
        <f>IF(coder1_YH!AD102 = "", AT101,IF(coder1_YH!AD102="BAU","BAU",LEFT(coder1_YH!AD102)))</f>
        <v>0</v>
      </c>
      <c r="AU102" s="345" t="str">
        <f>IF(coder1_YH!AE102 = "", AU101,IF(coder1_YH!AE102="BAU","BAU",LEFT(coder1_YH!AE102)))</f>
        <v>1</v>
      </c>
      <c r="AV102" s="345">
        <f>IF(coder1_YH!AF102="",AV101,coder1_YH!AF102)</f>
        <v>1187.5</v>
      </c>
      <c r="AW102" s="345">
        <f t="shared" si="37"/>
        <v>19.791666666666668</v>
      </c>
      <c r="AX102" s="345">
        <f>IF(coder1_YH!AG102="",AX101,coder1_YH!AG102)</f>
        <v>25</v>
      </c>
      <c r="AY102" s="345">
        <f>IF(coder1_YH!AH102="",AY101,coder1_YH!AH102)</f>
        <v>47.5</v>
      </c>
      <c r="AZ102" s="345" t="str">
        <f>IF(coder1_YH!AI102 = "", AZ101, IF(coder1_YH!AI102="BAU","BAU",LEFT(coder1_YH!AI102)))</f>
        <v>1</v>
      </c>
      <c r="BA102" s="384">
        <f>clean_data!Y102</f>
        <v>103</v>
      </c>
    </row>
    <row r="103" spans="1:53" x14ac:dyDescent="0.2">
      <c r="A103" t="str">
        <f>coder1_YH!B103</f>
        <v>EX</v>
      </c>
      <c r="B103">
        <f>coder1_YH!C103</f>
        <v>103</v>
      </c>
      <c r="C103">
        <f>coder1_YH!D103</f>
        <v>0</v>
      </c>
      <c r="D103" t="str">
        <f>coder1_YH!E103</f>
        <v/>
      </c>
      <c r="E103" t="b">
        <f>coder1_YH!F103</f>
        <v>1</v>
      </c>
      <c r="F103" s="321" t="str">
        <f>IF(coder1_YH!G103="", clean_mod!F102, coder1_YH!G103)</f>
        <v>Taboada Barber et al., 2018</v>
      </c>
      <c r="G103" s="321" t="str">
        <f t="shared" si="20"/>
        <v>123</v>
      </c>
      <c r="H103" s="321" t="str">
        <f>IF(coder1_YH!H103="", clean_mod!H102, coder1_YH!H103)</f>
        <v>123*</v>
      </c>
      <c r="I103" s="404" t="str">
        <f t="shared" si="21"/>
        <v>2018</v>
      </c>
      <c r="J103" s="344" t="str">
        <f>IF(coder1_YH!I103="",J102,coder1_YH!I103)</f>
        <v>USA</v>
      </c>
      <c r="K103" s="345">
        <f t="shared" si="22"/>
        <v>0</v>
      </c>
      <c r="L103" s="344" t="str">
        <f>IF(coder1_YH!J103 = "",L102, coder1_YH!J103)</f>
        <v>English</v>
      </c>
      <c r="M103" s="345">
        <f t="shared" si="23"/>
        <v>0</v>
      </c>
      <c r="N103" s="345" t="str">
        <f>IF(coder1_YH!K103 = "", N102, LEFT(coder1_YH!K103,1))</f>
        <v>0</v>
      </c>
      <c r="O103" s="345" t="str">
        <f>IF(coder1_YH!L103 = "", O102, LEFT(coder1_YH!L103,1))</f>
        <v>0</v>
      </c>
      <c r="P103" s="345" t="str">
        <f>IF(coder1_YH!M103 = "", P102, LEFT(coder1_YH!M103,1))</f>
        <v>1</v>
      </c>
      <c r="Q103" s="321" t="str">
        <f>coder1_YH!P103</f>
        <v>ctl</v>
      </c>
      <c r="R103" s="321" t="str">
        <f>coder1_YH!Q103</f>
        <v>BAU</v>
      </c>
      <c r="S103" s="323" t="str">
        <f t="shared" si="24"/>
        <v/>
      </c>
      <c r="T103" s="323" t="str">
        <f t="shared" si="25"/>
        <v/>
      </c>
      <c r="U103" s="323" t="str">
        <f t="shared" si="26"/>
        <v/>
      </c>
      <c r="V103" s="323" t="str">
        <f t="shared" si="27"/>
        <v/>
      </c>
      <c r="W103" s="323">
        <f t="shared" si="28"/>
        <v>0</v>
      </c>
      <c r="X103" s="385" t="str">
        <f>IF(coder1_YH!N103 = "",X102,coder1_YH!N103)</f>
        <v>.</v>
      </c>
      <c r="Y103" s="385" t="str">
        <f>IF(coder1_YH!O103 = "",Y102,coder1_YH!O103)</f>
        <v>.</v>
      </c>
      <c r="Z103" s="385" t="str">
        <f t="shared" si="29"/>
        <v/>
      </c>
      <c r="AA103" s="385" t="str">
        <f t="shared" si="30"/>
        <v>BAU</v>
      </c>
      <c r="AB103" s="385" t="str">
        <f t="shared" si="31"/>
        <v>BAU</v>
      </c>
      <c r="AC103" s="323" t="str">
        <f t="shared" si="32"/>
        <v>..</v>
      </c>
      <c r="AD103" s="323" t="str">
        <f t="shared" si="33"/>
        <v>BAU</v>
      </c>
      <c r="AF103" s="369" t="str">
        <f t="shared" si="34"/>
        <v>123*-..</v>
      </c>
      <c r="AG103" s="369" t="str">
        <f t="shared" si="35"/>
        <v>123*-BAU</v>
      </c>
      <c r="AH103" s="344" t="str">
        <f>IF(coder1_YH!R103="",AH102,coder1_YH!R103)</f>
        <v>6</v>
      </c>
      <c r="AI103" s="344" t="str">
        <f t="shared" si="19"/>
        <v>6</v>
      </c>
      <c r="AJ103" s="345">
        <f t="shared" si="36"/>
        <v>1</v>
      </c>
      <c r="AK103" s="408">
        <f>IF(coder1_YH!S103="",AK102,coder1_YH!S103)</f>
        <v>11.5</v>
      </c>
      <c r="AL103" s="345" t="str">
        <f>IF(coder1_YH!T103="",AL102,IF(coder1_YH!T103="mixed",0.25,coder1_YH!T103))</f>
        <v>NA</v>
      </c>
      <c r="AM103" s="345" t="str">
        <f>IF(coder1_YH!U103 = "", AM102, IF(coder1_YH!U103="mixed","NA",coder1_YH!U103))</f>
        <v>NA</v>
      </c>
      <c r="AN103" s="345" t="str">
        <f>IF(coder1_YH!V103="",AN102,coder1_YH!V103)</f>
        <v>NA</v>
      </c>
      <c r="AO103" s="345">
        <f>IF(coder1_YH!W103="",AO102,coder1_YH!W103)</f>
        <v>0.37438423645320196</v>
      </c>
      <c r="AP103" s="345">
        <f>IF(coder1_YH!X103="",AP102,coder1_YH!X103)</f>
        <v>0.6</v>
      </c>
      <c r="AQ103" s="345">
        <f>IF(coder1_YH!Y103="",AQ102,coder1_YH!Y103)</f>
        <v>0.75</v>
      </c>
      <c r="AR103" t="str">
        <f>coder1_YH!AB103</f>
        <v>2 = District/State curriculum</v>
      </c>
      <c r="AS103" s="345" t="str">
        <f>IF(coder1_YH!AC103 = "", AS102,IF(coder1_YH!AC103="BAU","BAU",LEFT(coder1_YH!AC103)))</f>
        <v>BAU</v>
      </c>
      <c r="AT103" s="345" t="str">
        <f>IF(coder1_YH!AD103 = "", AT102,IF(coder1_YH!AD103="BAU","BAU",LEFT(coder1_YH!AD103)))</f>
        <v>BAU</v>
      </c>
      <c r="AU103" s="345" t="str">
        <f>IF(coder1_YH!AE103 = "", AU102,IF(coder1_YH!AE103="BAU","BAU",LEFT(coder1_YH!AE103)))</f>
        <v>BAU</v>
      </c>
      <c r="AV103" s="345" t="str">
        <f>IF(coder1_YH!AF103="",AV102,coder1_YH!AF103)</f>
        <v>BAU</v>
      </c>
      <c r="AW103" s="345" t="str">
        <f t="shared" si="37"/>
        <v>BAU</v>
      </c>
      <c r="AX103" s="345" t="str">
        <f>IF(coder1_YH!AG103="",AX102,coder1_YH!AG103)</f>
        <v>BAU</v>
      </c>
      <c r="AY103" s="345" t="str">
        <f>IF(coder1_YH!AH103="",AY102,coder1_YH!AH103)</f>
        <v>BAU</v>
      </c>
      <c r="AZ103" s="345" t="str">
        <f>IF(coder1_YH!AI103 = "", AZ102, IF(coder1_YH!AI103="BAU","BAU",LEFT(coder1_YH!AI103)))</f>
        <v>BAU</v>
      </c>
      <c r="BA103" s="384">
        <f>clean_data!Y103</f>
        <v>100</v>
      </c>
    </row>
    <row r="104" spans="1:53" x14ac:dyDescent="0.2">
      <c r="A104">
        <f>coder1_YH!B104</f>
        <v>0</v>
      </c>
      <c r="B104">
        <f>coder1_YH!C104</f>
        <v>104</v>
      </c>
      <c r="C104" t="b">
        <f>coder1_YH!D104</f>
        <v>1</v>
      </c>
      <c r="D104" t="b">
        <f>coder1_YH!E104</f>
        <v>1</v>
      </c>
      <c r="E104" t="b">
        <f>coder1_YH!F104</f>
        <v>1</v>
      </c>
      <c r="F104" s="321" t="str">
        <f>IF(coder1_YH!G104="", clean_mod!F103, coder1_YH!G104)</f>
        <v>Taboada Barber et al., 2018</v>
      </c>
      <c r="G104" s="321" t="str">
        <f t="shared" si="20"/>
        <v>123</v>
      </c>
      <c r="H104" s="321">
        <f>IF(coder1_YH!H104="", clean_mod!H103, coder1_YH!H104)</f>
        <v>123.1</v>
      </c>
      <c r="I104" s="404" t="str">
        <f t="shared" si="21"/>
        <v>2018</v>
      </c>
      <c r="J104" s="344" t="str">
        <f>IF(coder1_YH!I104="",J103,coder1_YH!I104)</f>
        <v>USA</v>
      </c>
      <c r="K104" s="345">
        <f t="shared" si="22"/>
        <v>0</v>
      </c>
      <c r="L104" s="344" t="str">
        <f>IF(coder1_YH!J104 = "",L103, coder1_YH!J104)</f>
        <v>English</v>
      </c>
      <c r="M104" s="345">
        <f t="shared" si="23"/>
        <v>0</v>
      </c>
      <c r="N104" s="345" t="str">
        <f>IF(coder1_YH!K104 = "", N103, LEFT(coder1_YH!K104,1))</f>
        <v>0</v>
      </c>
      <c r="O104" s="345" t="str">
        <f>IF(coder1_YH!L104 = "", O103, LEFT(coder1_YH!L104,1))</f>
        <v>0</v>
      </c>
      <c r="P104" s="345" t="str">
        <f>IF(coder1_YH!M104 = "", P103, LEFT(coder1_YH!M104,1))</f>
        <v>1</v>
      </c>
      <c r="Q104" s="321">
        <f>coder1_YH!P104</f>
        <v>1</v>
      </c>
      <c r="R104" s="321" t="str">
        <f>coder1_YH!Q104</f>
        <v>USHER - EL</v>
      </c>
      <c r="S104" s="323" t="str">
        <f t="shared" si="24"/>
        <v>N</v>
      </c>
      <c r="T104" s="323" t="str">
        <f t="shared" si="25"/>
        <v/>
      </c>
      <c r="U104" s="323" t="str">
        <f t="shared" si="26"/>
        <v/>
      </c>
      <c r="V104" s="323" t="str">
        <f t="shared" si="27"/>
        <v/>
      </c>
      <c r="W104" s="323">
        <f t="shared" si="28"/>
        <v>1</v>
      </c>
      <c r="X104" s="385" t="str">
        <f>IF(coder1_YH!N104 = "",X103,coder1_YH!N104)</f>
        <v>N</v>
      </c>
      <c r="Y104" s="385" t="str">
        <f>IF(coder1_YH!O104 = "",Y103,coder1_YH!O104)</f>
        <v xml:space="preserve">m </v>
      </c>
      <c r="Z104" s="385" t="str">
        <f t="shared" si="29"/>
        <v>M</v>
      </c>
      <c r="AA104" s="385" t="str">
        <f t="shared" si="30"/>
        <v>R</v>
      </c>
      <c r="AB104" s="385" t="str">
        <f t="shared" si="31"/>
        <v>MR</v>
      </c>
      <c r="AC104" s="323" t="str">
        <f t="shared" si="32"/>
        <v xml:space="preserve">Nm </v>
      </c>
      <c r="AD104" s="323" t="str">
        <f t="shared" si="33"/>
        <v>N_R</v>
      </c>
      <c r="AE104" s="323">
        <f>IF(Y104="cm", 1,0)</f>
        <v>0</v>
      </c>
      <c r="AF104" s="369" t="str">
        <f t="shared" si="34"/>
        <v xml:space="preserve">123.1-Nm </v>
      </c>
      <c r="AG104" s="369" t="str">
        <f t="shared" si="35"/>
        <v>123.1-N_R</v>
      </c>
      <c r="AH104" s="344" t="str">
        <f>IF(coder1_YH!R104="",AH103,coder1_YH!R104)</f>
        <v>6</v>
      </c>
      <c r="AI104" s="344" t="str">
        <f t="shared" si="19"/>
        <v>6</v>
      </c>
      <c r="AJ104" s="345">
        <f t="shared" si="36"/>
        <v>1</v>
      </c>
      <c r="AK104" s="408">
        <f>IF(coder1_YH!S104="",AK103,coder1_YH!S104)</f>
        <v>11.5</v>
      </c>
      <c r="AL104" s="345" t="str">
        <f>IF(coder1_YH!T104="",AL103,IF(coder1_YH!T104="mixed",0.25,coder1_YH!T104))</f>
        <v>NA</v>
      </c>
      <c r="AM104" s="345" t="str">
        <f>IF(coder1_YH!U104 = "", AM103, IF(coder1_YH!U104="mixed","NA",coder1_YH!U104))</f>
        <v>NA</v>
      </c>
      <c r="AN104" s="345" t="str">
        <f>IF(coder1_YH!V104="",AN103,coder1_YH!V104)</f>
        <v>NA</v>
      </c>
      <c r="AO104" s="345">
        <f>IF(coder1_YH!W104="",AO103,coder1_YH!W104)</f>
        <v>1</v>
      </c>
      <c r="AP104" s="345">
        <f>IF(coder1_YH!X104="",AP103,coder1_YH!X104)</f>
        <v>0.6</v>
      </c>
      <c r="AQ104" s="345">
        <f>IF(coder1_YH!Y104="",AQ103,coder1_YH!Y104)</f>
        <v>0.75</v>
      </c>
      <c r="AR104" t="str">
        <f>coder1_YH!AB104</f>
        <v>0 = Researcher-developed curriculum</v>
      </c>
      <c r="AS104" s="345" t="str">
        <f>IF(coder1_YH!AC104 = "", AS103,IF(coder1_YH!AC104="BAU","BAU",LEFT(coder1_YH!AC104)))</f>
        <v>0</v>
      </c>
      <c r="AT104" s="345" t="str">
        <f>IF(coder1_YH!AD104 = "", AT103,IF(coder1_YH!AD104="BAU","BAU",LEFT(coder1_YH!AD104)))</f>
        <v>0</v>
      </c>
      <c r="AU104" s="345" t="str">
        <f>IF(coder1_YH!AE104 = "", AU103,IF(coder1_YH!AE104="BAU","BAU",LEFT(coder1_YH!AE104)))</f>
        <v>1</v>
      </c>
      <c r="AV104" s="345">
        <f>IF(coder1_YH!AF104="",AV103,coder1_YH!AF104)</f>
        <v>1187.5</v>
      </c>
      <c r="AW104" s="345">
        <f t="shared" si="37"/>
        <v>19.791666666666668</v>
      </c>
      <c r="AX104" s="345">
        <f>IF(coder1_YH!AG104="",AX103,coder1_YH!AG104)</f>
        <v>25</v>
      </c>
      <c r="AY104" s="345">
        <f>IF(coder1_YH!AH104="",AY103,coder1_YH!AH104)</f>
        <v>47.5</v>
      </c>
      <c r="AZ104" s="345" t="str">
        <f>IF(coder1_YH!AI104 = "", AZ103, IF(coder1_YH!AI104="BAU","BAU",LEFT(coder1_YH!AI104)))</f>
        <v>1</v>
      </c>
      <c r="BA104" s="384">
        <f>clean_data!Y104</f>
        <v>38.11</v>
      </c>
    </row>
    <row r="105" spans="1:53" x14ac:dyDescent="0.2">
      <c r="A105">
        <f>coder1_YH!B105</f>
        <v>0</v>
      </c>
      <c r="B105">
        <f>coder1_YH!C105</f>
        <v>105</v>
      </c>
      <c r="C105">
        <f>coder1_YH!D105</f>
        <v>0</v>
      </c>
      <c r="D105" t="str">
        <f>coder1_YH!E105</f>
        <v/>
      </c>
      <c r="E105" t="b">
        <f>coder1_YH!F105</f>
        <v>1</v>
      </c>
      <c r="F105" s="321" t="str">
        <f>IF(coder1_YH!G105="", clean_mod!F104, coder1_YH!G105)</f>
        <v>Taboada Barber et al., 2018</v>
      </c>
      <c r="G105" s="321" t="str">
        <f t="shared" si="20"/>
        <v>123</v>
      </c>
      <c r="H105" s="321">
        <f>IF(coder1_YH!H105="", clean_mod!H104, coder1_YH!H105)</f>
        <v>123.1</v>
      </c>
      <c r="I105" s="404" t="str">
        <f t="shared" si="21"/>
        <v>2018</v>
      </c>
      <c r="J105" s="344" t="str">
        <f>IF(coder1_YH!I105="",J104,coder1_YH!I105)</f>
        <v>USA</v>
      </c>
      <c r="K105" s="345">
        <f t="shared" si="22"/>
        <v>0</v>
      </c>
      <c r="L105" s="344" t="str">
        <f>IF(coder1_YH!J105 = "",L104, coder1_YH!J105)</f>
        <v>English</v>
      </c>
      <c r="M105" s="345">
        <f t="shared" si="23"/>
        <v>0</v>
      </c>
      <c r="N105" s="345" t="str">
        <f>IF(coder1_YH!K105 = "", N104, LEFT(coder1_YH!K105,1))</f>
        <v>0</v>
      </c>
      <c r="O105" s="345" t="str">
        <f>IF(coder1_YH!L105 = "", O104, LEFT(coder1_YH!L105,1))</f>
        <v>0</v>
      </c>
      <c r="P105" s="345" t="str">
        <f>IF(coder1_YH!M105 = "", P104, LEFT(coder1_YH!M105,1))</f>
        <v>1</v>
      </c>
      <c r="Q105" s="321" t="str">
        <f>coder1_YH!P105</f>
        <v>ctl</v>
      </c>
      <c r="R105" s="321" t="str">
        <f>coder1_YH!Q105</f>
        <v>BAU - EL</v>
      </c>
      <c r="S105" s="323" t="str">
        <f t="shared" si="24"/>
        <v/>
      </c>
      <c r="T105" s="323" t="str">
        <f t="shared" si="25"/>
        <v/>
      </c>
      <c r="U105" s="323" t="str">
        <f t="shared" si="26"/>
        <v/>
      </c>
      <c r="V105" s="323" t="str">
        <f t="shared" si="27"/>
        <v/>
      </c>
      <c r="W105" s="323">
        <f t="shared" si="28"/>
        <v>0</v>
      </c>
      <c r="X105" s="385" t="str">
        <f>IF(coder1_YH!N105 = "",X104,coder1_YH!N105)</f>
        <v>.</v>
      </c>
      <c r="Y105" s="385" t="str">
        <f>IF(coder1_YH!O105 = "",Y104,coder1_YH!O105)</f>
        <v>.</v>
      </c>
      <c r="Z105" s="385" t="str">
        <f t="shared" si="29"/>
        <v/>
      </c>
      <c r="AA105" s="385" t="str">
        <f t="shared" si="30"/>
        <v>BAU</v>
      </c>
      <c r="AB105" s="385" t="str">
        <f t="shared" si="31"/>
        <v>BAU</v>
      </c>
      <c r="AC105" s="323" t="str">
        <f t="shared" si="32"/>
        <v>..</v>
      </c>
      <c r="AD105" s="323" t="str">
        <f t="shared" si="33"/>
        <v>BAU</v>
      </c>
      <c r="AF105" s="369" t="str">
        <f t="shared" si="34"/>
        <v>123.1-..</v>
      </c>
      <c r="AG105" s="369" t="str">
        <f t="shared" si="35"/>
        <v>123.1-BAU</v>
      </c>
      <c r="AH105" s="344" t="str">
        <f>IF(coder1_YH!R105="",AH104,coder1_YH!R105)</f>
        <v>6</v>
      </c>
      <c r="AI105" s="344" t="str">
        <f t="shared" si="19"/>
        <v>6</v>
      </c>
      <c r="AJ105" s="345">
        <f t="shared" si="36"/>
        <v>1</v>
      </c>
      <c r="AK105" s="408">
        <f>IF(coder1_YH!S105="",AK104,coder1_YH!S105)</f>
        <v>11.5</v>
      </c>
      <c r="AL105" s="345" t="str">
        <f>IF(coder1_YH!T105="",AL104,IF(coder1_YH!T105="mixed",0.25,coder1_YH!T105))</f>
        <v>NA</v>
      </c>
      <c r="AM105" s="345" t="str">
        <f>IF(coder1_YH!U105 = "", AM104, IF(coder1_YH!U105="mixed","NA",coder1_YH!U105))</f>
        <v>NA</v>
      </c>
      <c r="AN105" s="345" t="str">
        <f>IF(coder1_YH!V105="",AN104,coder1_YH!V105)</f>
        <v>NA</v>
      </c>
      <c r="AO105" s="345">
        <f>IF(coder1_YH!W105="",AO104,coder1_YH!W105)</f>
        <v>1</v>
      </c>
      <c r="AP105" s="345">
        <f>IF(coder1_YH!X105="",AP104,coder1_YH!X105)</f>
        <v>0.6</v>
      </c>
      <c r="AQ105" s="345">
        <f>IF(coder1_YH!Y105="",AQ104,coder1_YH!Y105)</f>
        <v>0.75</v>
      </c>
      <c r="AR105" t="str">
        <f>coder1_YH!AB105</f>
        <v>2 = District/State curriculum</v>
      </c>
      <c r="AS105" s="345" t="str">
        <f>IF(coder1_YH!AC105 = "", AS104,IF(coder1_YH!AC105="BAU","BAU",LEFT(coder1_YH!AC105)))</f>
        <v>BAU</v>
      </c>
      <c r="AT105" s="345" t="str">
        <f>IF(coder1_YH!AD105 = "", AT104,IF(coder1_YH!AD105="BAU","BAU",LEFT(coder1_YH!AD105)))</f>
        <v>BAU</v>
      </c>
      <c r="AU105" s="345" t="str">
        <f>IF(coder1_YH!AE105 = "", AU104,IF(coder1_YH!AE105="BAU","BAU",LEFT(coder1_YH!AE105)))</f>
        <v>BAU</v>
      </c>
      <c r="AV105" s="345" t="str">
        <f>IF(coder1_YH!AF105="",AV104,coder1_YH!AF105)</f>
        <v>BAU</v>
      </c>
      <c r="AW105" s="345" t="str">
        <f t="shared" si="37"/>
        <v>BAU</v>
      </c>
      <c r="AX105" s="345" t="str">
        <f>IF(coder1_YH!AG105="",AX104,coder1_YH!AG105)</f>
        <v>BAU</v>
      </c>
      <c r="AY105" s="345" t="str">
        <f>IF(coder1_YH!AH105="",AY104,coder1_YH!AH105)</f>
        <v>BAU</v>
      </c>
      <c r="AZ105" s="345" t="str">
        <f>IF(coder1_YH!AI105 = "", AZ104, IF(coder1_YH!AI105="BAU","BAU",LEFT(coder1_YH!AI105)))</f>
        <v>BAU</v>
      </c>
      <c r="BA105" s="384">
        <f>clean_data!Y105</f>
        <v>37</v>
      </c>
    </row>
    <row r="106" spans="1:53" x14ac:dyDescent="0.2">
      <c r="A106">
        <f>coder1_YH!B106</f>
        <v>0</v>
      </c>
      <c r="B106">
        <f>coder1_YH!C106</f>
        <v>106</v>
      </c>
      <c r="C106">
        <f>coder1_YH!D106</f>
        <v>0</v>
      </c>
      <c r="D106" t="b">
        <f>coder1_YH!E106</f>
        <v>1</v>
      </c>
      <c r="E106" t="b">
        <f>coder1_YH!F106</f>
        <v>1</v>
      </c>
      <c r="F106" s="321" t="str">
        <f>IF(coder1_YH!G106="", clean_mod!F105, coder1_YH!G106)</f>
        <v>Taboada Barber et al., 2018</v>
      </c>
      <c r="G106" s="321" t="str">
        <f t="shared" si="20"/>
        <v>123</v>
      </c>
      <c r="H106" s="321">
        <f>IF(coder1_YH!H106="", clean_mod!H105, coder1_YH!H106)</f>
        <v>123.2</v>
      </c>
      <c r="I106" s="404" t="str">
        <f t="shared" si="21"/>
        <v>2018</v>
      </c>
      <c r="J106" s="344" t="str">
        <f>IF(coder1_YH!I106="",J105,coder1_YH!I106)</f>
        <v>USA</v>
      </c>
      <c r="K106" s="345">
        <f t="shared" si="22"/>
        <v>0</v>
      </c>
      <c r="L106" s="344" t="str">
        <f>IF(coder1_YH!J106 = "",L105, coder1_YH!J106)</f>
        <v>English</v>
      </c>
      <c r="M106" s="345">
        <f t="shared" si="23"/>
        <v>0</v>
      </c>
      <c r="N106" s="345" t="str">
        <f>IF(coder1_YH!K106 = "", N105, LEFT(coder1_YH!K106,1))</f>
        <v>0</v>
      </c>
      <c r="O106" s="345" t="str">
        <f>IF(coder1_YH!L106 = "", O105, LEFT(coder1_YH!L106,1))</f>
        <v>0</v>
      </c>
      <c r="P106" s="345" t="str">
        <f>IF(coder1_YH!M106 = "", P105, LEFT(coder1_YH!M106,1))</f>
        <v>1</v>
      </c>
      <c r="Q106" s="321">
        <f>coder1_YH!P106</f>
        <v>1</v>
      </c>
      <c r="R106" s="321" t="str">
        <f>coder1_YH!Q106</f>
        <v>USHER - Non EL</v>
      </c>
      <c r="S106" s="323" t="str">
        <f t="shared" si="24"/>
        <v>N</v>
      </c>
      <c r="T106" s="323" t="str">
        <f t="shared" si="25"/>
        <v/>
      </c>
      <c r="U106" s="323" t="str">
        <f t="shared" si="26"/>
        <v/>
      </c>
      <c r="V106" s="323" t="str">
        <f t="shared" si="27"/>
        <v/>
      </c>
      <c r="W106" s="323">
        <f t="shared" si="28"/>
        <v>1</v>
      </c>
      <c r="X106" s="385" t="str">
        <f>IF(coder1_YH!N106 = "",X105,coder1_YH!N106)</f>
        <v>N</v>
      </c>
      <c r="Y106" s="385" t="str">
        <f>IF(coder1_YH!O106 = "",Y105,coder1_YH!O106)</f>
        <v xml:space="preserve">m </v>
      </c>
      <c r="Z106" s="385" t="str">
        <f t="shared" si="29"/>
        <v>M</v>
      </c>
      <c r="AA106" s="385" t="str">
        <f t="shared" si="30"/>
        <v>R</v>
      </c>
      <c r="AB106" s="385" t="str">
        <f t="shared" si="31"/>
        <v>MR</v>
      </c>
      <c r="AC106" s="323" t="str">
        <f t="shared" si="32"/>
        <v xml:space="preserve">Nm </v>
      </c>
      <c r="AD106" s="323" t="str">
        <f t="shared" si="33"/>
        <v>N_R</v>
      </c>
      <c r="AE106" s="323">
        <f>IF(Y106="cm", 1,0)</f>
        <v>0</v>
      </c>
      <c r="AF106" s="369" t="str">
        <f t="shared" si="34"/>
        <v xml:space="preserve">123.2-Nm </v>
      </c>
      <c r="AG106" s="369" t="str">
        <f t="shared" si="35"/>
        <v>123.2-N_R</v>
      </c>
      <c r="AH106" s="344" t="str">
        <f>IF(coder1_YH!R106="",AH105,coder1_YH!R106)</f>
        <v>6</v>
      </c>
      <c r="AI106" s="344" t="str">
        <f t="shared" si="19"/>
        <v>6</v>
      </c>
      <c r="AJ106" s="345">
        <f t="shared" si="36"/>
        <v>1</v>
      </c>
      <c r="AK106" s="408">
        <f>IF(coder1_YH!S106="",AK105,coder1_YH!S106)</f>
        <v>11.5</v>
      </c>
      <c r="AL106" s="345" t="str">
        <f>IF(coder1_YH!T106="",AL105,IF(coder1_YH!T106="mixed",0.25,coder1_YH!T106))</f>
        <v>NA</v>
      </c>
      <c r="AM106" s="345" t="str">
        <f>IF(coder1_YH!U106 = "", AM105, IF(coder1_YH!U106="mixed","NA",coder1_YH!U106))</f>
        <v>NA</v>
      </c>
      <c r="AN106" s="345" t="str">
        <f>IF(coder1_YH!V106="",AN105,coder1_YH!V106)</f>
        <v>NA</v>
      </c>
      <c r="AO106" s="345">
        <f>IF(coder1_YH!W106="",AO105,coder1_YH!W106)</f>
        <v>0</v>
      </c>
      <c r="AP106" s="345">
        <f>IF(coder1_YH!X106="",AP105,coder1_YH!X106)</f>
        <v>0.6</v>
      </c>
      <c r="AQ106" s="345">
        <f>IF(coder1_YH!Y106="",AQ105,coder1_YH!Y106)</f>
        <v>0.75</v>
      </c>
      <c r="AR106" t="str">
        <f>coder1_YH!AB106</f>
        <v>0 = Researcher-developed curriculum</v>
      </c>
      <c r="AS106" s="345" t="str">
        <f>IF(coder1_YH!AC106 = "", AS105,IF(coder1_YH!AC106="BAU","BAU",LEFT(coder1_YH!AC106)))</f>
        <v>0</v>
      </c>
      <c r="AT106" s="345" t="str">
        <f>IF(coder1_YH!AD106 = "", AT105,IF(coder1_YH!AD106="BAU","BAU",LEFT(coder1_YH!AD106)))</f>
        <v>0</v>
      </c>
      <c r="AU106" s="345" t="str">
        <f>IF(coder1_YH!AE106 = "", AU105,IF(coder1_YH!AE106="BAU","BAU",LEFT(coder1_YH!AE106)))</f>
        <v>1</v>
      </c>
      <c r="AV106" s="345">
        <f>IF(coder1_YH!AF106="",AV105,coder1_YH!AF106)</f>
        <v>1187.5</v>
      </c>
      <c r="AW106" s="345">
        <f t="shared" si="37"/>
        <v>19.791666666666668</v>
      </c>
      <c r="AX106" s="345">
        <f>IF(coder1_YH!AG106="",AX105,coder1_YH!AG106)</f>
        <v>25</v>
      </c>
      <c r="AY106" s="345">
        <f>IF(coder1_YH!AH106="",AY105,coder1_YH!AH106)</f>
        <v>47.5</v>
      </c>
      <c r="AZ106" s="345" t="str">
        <f>IF(coder1_YH!AI106 = "", AZ105, IF(coder1_YH!AI106="BAU","BAU",LEFT(coder1_YH!AI106)))</f>
        <v>1</v>
      </c>
      <c r="BA106" s="384">
        <f>clean_data!Y106</f>
        <v>64.89</v>
      </c>
    </row>
    <row r="107" spans="1:53" x14ac:dyDescent="0.2">
      <c r="A107">
        <f>coder1_YH!B107</f>
        <v>0</v>
      </c>
      <c r="B107">
        <f>coder1_YH!C107</f>
        <v>107</v>
      </c>
      <c r="C107">
        <f>coder1_YH!D107</f>
        <v>0</v>
      </c>
      <c r="D107" t="str">
        <f>coder1_YH!E107</f>
        <v/>
      </c>
      <c r="E107" t="b">
        <f>coder1_YH!F107</f>
        <v>1</v>
      </c>
      <c r="F107" s="321" t="str">
        <f>IF(coder1_YH!G107="", clean_mod!F106, coder1_YH!G107)</f>
        <v>Taboada Barber et al., 2018</v>
      </c>
      <c r="G107" s="321" t="str">
        <f t="shared" si="20"/>
        <v>123</v>
      </c>
      <c r="H107" s="321">
        <f>IF(coder1_YH!H107="", clean_mod!H106, coder1_YH!H107)</f>
        <v>123.2</v>
      </c>
      <c r="I107" s="404" t="str">
        <f t="shared" si="21"/>
        <v>2018</v>
      </c>
      <c r="J107" s="344" t="str">
        <f>IF(coder1_YH!I107="",J106,coder1_YH!I107)</f>
        <v>USA</v>
      </c>
      <c r="K107" s="345">
        <f t="shared" si="22"/>
        <v>0</v>
      </c>
      <c r="L107" s="344" t="str">
        <f>IF(coder1_YH!J107 = "",L106, coder1_YH!J107)</f>
        <v>English</v>
      </c>
      <c r="M107" s="345">
        <f t="shared" si="23"/>
        <v>0</v>
      </c>
      <c r="N107" s="345" t="str">
        <f>IF(coder1_YH!K107 = "", N106, LEFT(coder1_YH!K107,1))</f>
        <v>0</v>
      </c>
      <c r="O107" s="345" t="str">
        <f>IF(coder1_YH!L107 = "", O106, LEFT(coder1_YH!L107,1))</f>
        <v>0</v>
      </c>
      <c r="P107" s="345" t="str">
        <f>IF(coder1_YH!M107 = "", P106, LEFT(coder1_YH!M107,1))</f>
        <v>1</v>
      </c>
      <c r="Q107" s="321" t="str">
        <f>coder1_YH!P107</f>
        <v>ctl</v>
      </c>
      <c r="R107" s="321" t="str">
        <f>coder1_YH!Q107</f>
        <v>BAU - Non EL</v>
      </c>
      <c r="S107" s="323" t="str">
        <f t="shared" si="24"/>
        <v/>
      </c>
      <c r="T107" s="323" t="str">
        <f t="shared" si="25"/>
        <v/>
      </c>
      <c r="U107" s="323" t="str">
        <f t="shared" si="26"/>
        <v/>
      </c>
      <c r="V107" s="323" t="str">
        <f t="shared" si="27"/>
        <v/>
      </c>
      <c r="W107" s="323">
        <f t="shared" si="28"/>
        <v>0</v>
      </c>
      <c r="X107" s="385" t="str">
        <f>IF(coder1_YH!N107 = "",X106,coder1_YH!N107)</f>
        <v>.</v>
      </c>
      <c r="Y107" s="385" t="str">
        <f>IF(coder1_YH!O107 = "",Y106,coder1_YH!O107)</f>
        <v>.</v>
      </c>
      <c r="Z107" s="385" t="str">
        <f t="shared" si="29"/>
        <v/>
      </c>
      <c r="AA107" s="385" t="str">
        <f t="shared" si="30"/>
        <v>BAU</v>
      </c>
      <c r="AB107" s="385" t="str">
        <f t="shared" si="31"/>
        <v>BAU</v>
      </c>
      <c r="AC107" s="323" t="str">
        <f t="shared" si="32"/>
        <v>..</v>
      </c>
      <c r="AD107" s="323" t="str">
        <f t="shared" si="33"/>
        <v>BAU</v>
      </c>
      <c r="AF107" s="369" t="str">
        <f t="shared" si="34"/>
        <v>123.2-..</v>
      </c>
      <c r="AG107" s="369" t="str">
        <f t="shared" si="35"/>
        <v>123.2-BAU</v>
      </c>
      <c r="AH107" s="344" t="str">
        <f>IF(coder1_YH!R107="",AH106,coder1_YH!R107)</f>
        <v>6</v>
      </c>
      <c r="AI107" s="344" t="str">
        <f t="shared" si="19"/>
        <v>6</v>
      </c>
      <c r="AJ107" s="345">
        <f t="shared" si="36"/>
        <v>1</v>
      </c>
      <c r="AK107" s="408">
        <f>IF(coder1_YH!S107="",AK106,coder1_YH!S107)</f>
        <v>11.5</v>
      </c>
      <c r="AL107" s="345" t="str">
        <f>IF(coder1_YH!T107="",AL106,IF(coder1_YH!T107="mixed",0.25,coder1_YH!T107))</f>
        <v>NA</v>
      </c>
      <c r="AM107" s="345" t="str">
        <f>IF(coder1_YH!U107 = "", AM106, IF(coder1_YH!U107="mixed","NA",coder1_YH!U107))</f>
        <v>NA</v>
      </c>
      <c r="AN107" s="345" t="str">
        <f>IF(coder1_YH!V107="",AN106,coder1_YH!V107)</f>
        <v>NA</v>
      </c>
      <c r="AO107" s="345">
        <f>IF(coder1_YH!W107="",AO106,coder1_YH!W107)</f>
        <v>0</v>
      </c>
      <c r="AP107" s="345">
        <f>IF(coder1_YH!X107="",AP106,coder1_YH!X107)</f>
        <v>0.6</v>
      </c>
      <c r="AQ107" s="345">
        <f>IF(coder1_YH!Y107="",AQ106,coder1_YH!Y107)</f>
        <v>0.75</v>
      </c>
      <c r="AR107" t="str">
        <f>coder1_YH!AB107</f>
        <v>2 = District/State curriculum</v>
      </c>
      <c r="AS107" s="345" t="str">
        <f>IF(coder1_YH!AC107 = "", AS106,IF(coder1_YH!AC107="BAU","BAU",LEFT(coder1_YH!AC107)))</f>
        <v>BAU</v>
      </c>
      <c r="AT107" s="345" t="str">
        <f>IF(coder1_YH!AD107 = "", AT106,IF(coder1_YH!AD107="BAU","BAU",LEFT(coder1_YH!AD107)))</f>
        <v>BAU</v>
      </c>
      <c r="AU107" s="345" t="str">
        <f>IF(coder1_YH!AE107 = "", AU106,IF(coder1_YH!AE107="BAU","BAU",LEFT(coder1_YH!AE107)))</f>
        <v>BAU</v>
      </c>
      <c r="AV107" s="345" t="str">
        <f>IF(coder1_YH!AF107="",AV106,coder1_YH!AF107)</f>
        <v>BAU</v>
      </c>
      <c r="AW107" s="345" t="str">
        <f t="shared" si="37"/>
        <v>BAU</v>
      </c>
      <c r="AX107" s="345" t="str">
        <f>IF(coder1_YH!AG107="",AX106,coder1_YH!AG107)</f>
        <v>BAU</v>
      </c>
      <c r="AY107" s="345" t="str">
        <f>IF(coder1_YH!AH107="",AY106,coder1_YH!AH107)</f>
        <v>BAU</v>
      </c>
      <c r="AZ107" s="345" t="str">
        <f>IF(coder1_YH!AI107 = "", AZ106, IF(coder1_YH!AI107="BAU","BAU",LEFT(coder1_YH!AI107)))</f>
        <v>BAU</v>
      </c>
      <c r="BA107" s="384">
        <f>clean_data!Y107</f>
        <v>63</v>
      </c>
    </row>
    <row r="108" spans="1:53" x14ac:dyDescent="0.2">
      <c r="A108">
        <f>coder1_YH!B108</f>
        <v>0</v>
      </c>
      <c r="B108">
        <f>coder1_YH!C108</f>
        <v>108</v>
      </c>
      <c r="C108" t="b">
        <f>coder1_YH!D108</f>
        <v>1</v>
      </c>
      <c r="D108" t="b">
        <f>coder1_YH!E108</f>
        <v>1</v>
      </c>
      <c r="E108" t="b">
        <f>coder1_YH!F108</f>
        <v>1</v>
      </c>
      <c r="F108" s="321" t="str">
        <f>IF(coder1_YH!G108="", clean_mod!F107, coder1_YH!G108)</f>
        <v>Wu et al., 2021</v>
      </c>
      <c r="G108" s="321" t="str">
        <f t="shared" si="20"/>
        <v>124</v>
      </c>
      <c r="H108" s="321">
        <f>IF(coder1_YH!H108="", clean_mod!H107, coder1_YH!H108)</f>
        <v>124</v>
      </c>
      <c r="I108" s="404" t="str">
        <f t="shared" si="21"/>
        <v>2021</v>
      </c>
      <c r="J108" s="344" t="str">
        <f>IF(coder1_YH!I108="",J107,coder1_YH!I108)</f>
        <v>China</v>
      </c>
      <c r="K108" s="345">
        <f t="shared" si="22"/>
        <v>1</v>
      </c>
      <c r="L108" s="344" t="str">
        <f>IF(coder1_YH!J108 = "",L107, coder1_YH!J108)</f>
        <v>Chinese</v>
      </c>
      <c r="M108" s="345">
        <f t="shared" si="23"/>
        <v>1</v>
      </c>
      <c r="N108" s="345" t="str">
        <f>IF(coder1_YH!K108 = "", N107, LEFT(coder1_YH!K108,1))</f>
        <v>0</v>
      </c>
      <c r="O108" s="345" t="str">
        <f>IF(coder1_YH!L108 = "", O107, LEFT(coder1_YH!L108,1))</f>
        <v>0</v>
      </c>
      <c r="P108" s="345" t="str">
        <f>IF(coder1_YH!M108 = "", P107, LEFT(coder1_YH!M108,1))</f>
        <v>0</v>
      </c>
      <c r="Q108" s="321">
        <f>coder1_YH!P108</f>
        <v>1</v>
      </c>
      <c r="R108" s="321" t="str">
        <f>coder1_YH!Q108</f>
        <v>CG n = 168</v>
      </c>
      <c r="S108" s="323" t="str">
        <f t="shared" si="24"/>
        <v>N</v>
      </c>
      <c r="T108" s="323" t="str">
        <f t="shared" si="25"/>
        <v/>
      </c>
      <c r="U108" s="323" t="str">
        <f t="shared" si="26"/>
        <v/>
      </c>
      <c r="V108" s="323" t="str">
        <f t="shared" si="27"/>
        <v/>
      </c>
      <c r="W108" s="323">
        <f t="shared" si="28"/>
        <v>1</v>
      </c>
      <c r="X108" s="385" t="str">
        <f>IF(coder1_YH!N108 = "",X107,coder1_YH!N108)</f>
        <v>N</v>
      </c>
      <c r="Y108" s="385" t="str">
        <f>IF(coder1_YH!O108 = "",Y107,coder1_YH!O108)</f>
        <v xml:space="preserve">m </v>
      </c>
      <c r="Z108" s="385" t="str">
        <f t="shared" si="29"/>
        <v>M</v>
      </c>
      <c r="AA108" s="385" t="str">
        <f t="shared" si="30"/>
        <v>R</v>
      </c>
      <c r="AB108" s="385" t="str">
        <f t="shared" si="31"/>
        <v>MR</v>
      </c>
      <c r="AC108" s="323" t="str">
        <f t="shared" si="32"/>
        <v xml:space="preserve">Nm </v>
      </c>
      <c r="AD108" s="323" t="str">
        <f t="shared" si="33"/>
        <v>N_R</v>
      </c>
      <c r="AE108" s="323">
        <f>IF(Y108="cm", 1,0)</f>
        <v>0</v>
      </c>
      <c r="AF108" s="369" t="str">
        <f t="shared" si="34"/>
        <v xml:space="preserve">124-Nm </v>
      </c>
      <c r="AG108" s="369" t="str">
        <f t="shared" si="35"/>
        <v>124-N_R</v>
      </c>
      <c r="AH108" s="344" t="str">
        <f>IF(coder1_YH!R108="",AH107,coder1_YH!R108)</f>
        <v>7, 8</v>
      </c>
      <c r="AI108" s="344">
        <f t="shared" si="19"/>
        <v>7.5</v>
      </c>
      <c r="AJ108" s="345">
        <f t="shared" si="36"/>
        <v>1</v>
      </c>
      <c r="AK108" s="408">
        <f>IF(coder1_YH!S108="",AK107,coder1_YH!S108)</f>
        <v>14</v>
      </c>
      <c r="AL108" s="345">
        <f>IF(coder1_YH!T108="",AL107,IF(coder1_YH!T108="mixed",0.25,coder1_YH!T108))</f>
        <v>1</v>
      </c>
      <c r="AM108" s="345" t="str">
        <f>IF(coder1_YH!U108 = "", AM107, IF(coder1_YH!U108="mixed","NA",coder1_YH!U108))</f>
        <v>NA</v>
      </c>
      <c r="AN108" s="345" t="str">
        <f>IF(coder1_YH!V108="",AN107,coder1_YH!V108)</f>
        <v>NA</v>
      </c>
      <c r="AO108" s="345" t="str">
        <f>IF(coder1_YH!W108="",AO107,coder1_YH!W108)</f>
        <v>NA</v>
      </c>
      <c r="AP108" s="345">
        <f>IF(coder1_YH!X108="",AP107,coder1_YH!X108)</f>
        <v>0.52380952380952384</v>
      </c>
      <c r="AQ108" s="345" t="str">
        <f>IF(coder1_YH!Y108="",AQ107,coder1_YH!Y108)</f>
        <v>NA</v>
      </c>
      <c r="AR108" t="str">
        <f>coder1_YH!AB108</f>
        <v>0 = Researcher-developed/adapted curriculum</v>
      </c>
      <c r="AS108" s="345" t="str">
        <f>IF(coder1_YH!AC108 = "", AS107,IF(coder1_YH!AC108="BAU","BAU",LEFT(coder1_YH!AC108)))</f>
        <v>0</v>
      </c>
      <c r="AT108" s="345" t="str">
        <f>IF(coder1_YH!AD108 = "", AT107,IF(coder1_YH!AD108="BAU","BAU",LEFT(coder1_YH!AD108)))</f>
        <v>0</v>
      </c>
      <c r="AU108" s="345" t="str">
        <f>IF(coder1_YH!AE108 = "", AU107,IF(coder1_YH!AE108="BAU","BAU",LEFT(coder1_YH!AE108)))</f>
        <v>1</v>
      </c>
      <c r="AV108" s="345">
        <f>IF(coder1_YH!AF108="",AV107,coder1_YH!AF108)</f>
        <v>640</v>
      </c>
      <c r="AW108" s="345">
        <f t="shared" si="37"/>
        <v>10.666666666666666</v>
      </c>
      <c r="AX108" s="345">
        <f>IF(coder1_YH!AG108="",AX107,coder1_YH!AG108)</f>
        <v>16</v>
      </c>
      <c r="AY108" s="345">
        <f>IF(coder1_YH!AH108="",AY107,coder1_YH!AH108)</f>
        <v>40</v>
      </c>
      <c r="AZ108" s="345" t="str">
        <f>IF(coder1_YH!AI108 = "", AZ107, IF(coder1_YH!AI108="BAU","BAU",LEFT(coder1_YH!AI108)))</f>
        <v>1</v>
      </c>
      <c r="BA108" s="384">
        <f>clean_data!Y108</f>
        <v>168</v>
      </c>
    </row>
    <row r="109" spans="1:53" x14ac:dyDescent="0.2">
      <c r="A109">
        <f>coder1_YH!B109</f>
        <v>0</v>
      </c>
      <c r="B109">
        <f>coder1_YH!C109</f>
        <v>109</v>
      </c>
      <c r="C109">
        <f>coder1_YH!D109</f>
        <v>0</v>
      </c>
      <c r="D109" t="str">
        <f>coder1_YH!E109</f>
        <v/>
      </c>
      <c r="E109" t="b">
        <f>coder1_YH!F109</f>
        <v>1</v>
      </c>
      <c r="F109" s="321" t="str">
        <f>IF(coder1_YH!G109="", clean_mod!F108, coder1_YH!G109)</f>
        <v>Wu et al., 2021</v>
      </c>
      <c r="G109" s="321" t="str">
        <f t="shared" si="20"/>
        <v>124</v>
      </c>
      <c r="H109" s="321">
        <f>IF(coder1_YH!H109="", clean_mod!H108, coder1_YH!H109)</f>
        <v>124</v>
      </c>
      <c r="I109" s="404" t="str">
        <f t="shared" si="21"/>
        <v>2021</v>
      </c>
      <c r="J109" s="344" t="str">
        <f>IF(coder1_YH!I109="",J108,coder1_YH!I109)</f>
        <v>China</v>
      </c>
      <c r="K109" s="345">
        <f t="shared" si="22"/>
        <v>1</v>
      </c>
      <c r="L109" s="344" t="str">
        <f>IF(coder1_YH!J109 = "",L108, coder1_YH!J109)</f>
        <v>Chinese</v>
      </c>
      <c r="M109" s="345">
        <f t="shared" si="23"/>
        <v>1</v>
      </c>
      <c r="N109" s="345" t="str">
        <f>IF(coder1_YH!K109 = "", N108, LEFT(coder1_YH!K109,1))</f>
        <v>0</v>
      </c>
      <c r="O109" s="345" t="str">
        <f>IF(coder1_YH!L109 = "", O108, LEFT(coder1_YH!L109,1))</f>
        <v>0</v>
      </c>
      <c r="P109" s="345" t="str">
        <f>IF(coder1_YH!M109 = "", P108, LEFT(coder1_YH!M109,1))</f>
        <v>0</v>
      </c>
      <c r="Q109" s="321" t="str">
        <f>coder1_YH!P109</f>
        <v>ctl</v>
      </c>
      <c r="R109" s="321" t="str">
        <f>coder1_YH!Q109</f>
        <v>EG n = 174</v>
      </c>
      <c r="S109" s="323" t="str">
        <f t="shared" si="24"/>
        <v/>
      </c>
      <c r="T109" s="323" t="str">
        <f t="shared" si="25"/>
        <v/>
      </c>
      <c r="U109" s="323" t="str">
        <f t="shared" si="26"/>
        <v/>
      </c>
      <c r="V109" s="323" t="str">
        <f t="shared" si="27"/>
        <v/>
      </c>
      <c r="W109" s="323">
        <f t="shared" si="28"/>
        <v>0</v>
      </c>
      <c r="X109" s="385" t="str">
        <f>IF(coder1_YH!N109 = "",X108,coder1_YH!N109)</f>
        <v>.</v>
      </c>
      <c r="Y109" s="385" t="str">
        <f>IF(coder1_YH!O109 = "",Y108,coder1_YH!O109)</f>
        <v>.</v>
      </c>
      <c r="Z109" s="385" t="str">
        <f t="shared" si="29"/>
        <v/>
      </c>
      <c r="AA109" s="385" t="str">
        <f t="shared" si="30"/>
        <v>BAU</v>
      </c>
      <c r="AB109" s="385" t="str">
        <f t="shared" si="31"/>
        <v>BAU</v>
      </c>
      <c r="AC109" s="323" t="str">
        <f t="shared" si="32"/>
        <v>..</v>
      </c>
      <c r="AD109" s="323" t="str">
        <f t="shared" si="33"/>
        <v>BAU</v>
      </c>
      <c r="AF109" s="369" t="str">
        <f t="shared" si="34"/>
        <v>124-..</v>
      </c>
      <c r="AG109" s="369" t="str">
        <f t="shared" si="35"/>
        <v>124-BAU</v>
      </c>
      <c r="AH109" s="344" t="str">
        <f>IF(coder1_YH!R109="",AH108,coder1_YH!R109)</f>
        <v>7, 8</v>
      </c>
      <c r="AI109" s="344">
        <f t="shared" si="19"/>
        <v>7.5</v>
      </c>
      <c r="AJ109" s="345">
        <f t="shared" si="36"/>
        <v>1</v>
      </c>
      <c r="AK109" s="408">
        <f>IF(coder1_YH!S109="",AK108,coder1_YH!S109)</f>
        <v>14</v>
      </c>
      <c r="AL109" s="345">
        <f>IF(coder1_YH!T109="",AL108,IF(coder1_YH!T109="mixed",0.25,coder1_YH!T109))</f>
        <v>1</v>
      </c>
      <c r="AM109" s="345" t="str">
        <f>IF(coder1_YH!U109 = "", AM108, IF(coder1_YH!U109="mixed","NA",coder1_YH!U109))</f>
        <v>NA</v>
      </c>
      <c r="AN109" s="345" t="str">
        <f>IF(coder1_YH!V109="",AN108,coder1_YH!V109)</f>
        <v>NA</v>
      </c>
      <c r="AO109" s="345" t="str">
        <f>IF(coder1_YH!W109="",AO108,coder1_YH!W109)</f>
        <v>NA</v>
      </c>
      <c r="AP109" s="345">
        <f>IF(coder1_YH!X109="",AP108,coder1_YH!X109)</f>
        <v>0.58620689655172409</v>
      </c>
      <c r="AQ109" s="345" t="str">
        <f>IF(coder1_YH!Y109="",AQ108,coder1_YH!Y109)</f>
        <v>NA</v>
      </c>
      <c r="AR109" t="str">
        <f>coder1_YH!AB109</f>
        <v>2 = District/State curriculum</v>
      </c>
      <c r="AS109" s="345" t="str">
        <f>IF(coder1_YH!AC109 = "", AS108,IF(coder1_YH!AC109="BAU","BAU",LEFT(coder1_YH!AC109)))</f>
        <v>BAU</v>
      </c>
      <c r="AT109" s="345" t="str">
        <f>IF(coder1_YH!AD109 = "", AT108,IF(coder1_YH!AD109="BAU","BAU",LEFT(coder1_YH!AD109)))</f>
        <v>BAU</v>
      </c>
      <c r="AU109" s="345" t="str">
        <f>IF(coder1_YH!AE109 = "", AU108,IF(coder1_YH!AE109="BAU","BAU",LEFT(coder1_YH!AE109)))</f>
        <v>BAU</v>
      </c>
      <c r="AV109" s="345" t="str">
        <f>IF(coder1_YH!AF109="",AV108,coder1_YH!AF109)</f>
        <v>BAU</v>
      </c>
      <c r="AW109" s="345" t="str">
        <f t="shared" si="37"/>
        <v>BAU</v>
      </c>
      <c r="AX109" s="345" t="str">
        <f>IF(coder1_YH!AG109="",AX108,coder1_YH!AG109)</f>
        <v>BAU</v>
      </c>
      <c r="AY109" s="345" t="str">
        <f>IF(coder1_YH!AH109="",AY108,coder1_YH!AH109)</f>
        <v>BAU</v>
      </c>
      <c r="AZ109" s="345" t="str">
        <f>IF(coder1_YH!AI109 = "", AZ108, IF(coder1_YH!AI109="BAU","BAU",LEFT(coder1_YH!AI109)))</f>
        <v>BAU</v>
      </c>
      <c r="BA109" s="384">
        <f>clean_data!Y109</f>
        <v>174</v>
      </c>
    </row>
    <row r="110" spans="1:53" x14ac:dyDescent="0.2">
      <c r="A110">
        <f>coder1_YH!B110</f>
        <v>0</v>
      </c>
      <c r="B110">
        <f>coder1_YH!C110</f>
        <v>110</v>
      </c>
      <c r="C110" t="b">
        <f>coder1_YH!D110</f>
        <v>1</v>
      </c>
      <c r="D110" t="b">
        <f>coder1_YH!E110</f>
        <v>1</v>
      </c>
      <c r="E110" t="b">
        <f>coder1_YH!F110</f>
        <v>1</v>
      </c>
      <c r="F110" s="321" t="str">
        <f>IF(coder1_YH!G110="", clean_mod!F109, coder1_YH!G110)</f>
        <v>Guthrie et al. 1999</v>
      </c>
      <c r="G110" s="321" t="str">
        <f t="shared" si="20"/>
        <v>125</v>
      </c>
      <c r="H110" s="321">
        <f>IF(coder1_YH!H110="", clean_mod!H109, coder1_YH!H110)</f>
        <v>125.1</v>
      </c>
      <c r="I110" s="404" t="str">
        <f t="shared" si="21"/>
        <v>1999</v>
      </c>
      <c r="J110" s="344" t="str">
        <f>IF(coder1_YH!I110="",J109,coder1_YH!I110)</f>
        <v>USA</v>
      </c>
      <c r="K110" s="345">
        <f t="shared" si="22"/>
        <v>0</v>
      </c>
      <c r="L110" s="344" t="str">
        <f>IF(coder1_YH!J110 = "",L109, coder1_YH!J110)</f>
        <v>English</v>
      </c>
      <c r="M110" s="345">
        <f t="shared" si="23"/>
        <v>0</v>
      </c>
      <c r="N110" s="345" t="str">
        <f>IF(coder1_YH!K110 = "", N109, LEFT(coder1_YH!K110,1))</f>
        <v>0</v>
      </c>
      <c r="O110" s="345" t="str">
        <f>IF(coder1_YH!L110 = "", O109, LEFT(coder1_YH!L110,1))</f>
        <v>0</v>
      </c>
      <c r="P110" s="345" t="str">
        <f>IF(coder1_YH!M110 = "", P109, LEFT(coder1_YH!M110,1))</f>
        <v>1</v>
      </c>
      <c r="Q110" s="321">
        <f>coder1_YH!P110</f>
        <v>1</v>
      </c>
      <c r="R110" s="321" t="str">
        <f>coder1_YH!Q110</f>
        <v>CORI,Grade 3,Pond</v>
      </c>
      <c r="S110" s="323" t="str">
        <f t="shared" si="24"/>
        <v>N</v>
      </c>
      <c r="T110" s="323" t="str">
        <f t="shared" si="25"/>
        <v/>
      </c>
      <c r="U110" s="323" t="str">
        <f t="shared" si="26"/>
        <v/>
      </c>
      <c r="V110" s="323" t="str">
        <f t="shared" si="27"/>
        <v/>
      </c>
      <c r="W110" s="323">
        <f t="shared" si="28"/>
        <v>1</v>
      </c>
      <c r="X110" s="385" t="str">
        <f>IF(coder1_YH!N110 = "",X109,coder1_YH!N110)</f>
        <v>N</v>
      </c>
      <c r="Y110" s="385" t="str">
        <f>IF(coder1_YH!O110 = "",Y109,coder1_YH!O110)</f>
        <v xml:space="preserve">m </v>
      </c>
      <c r="Z110" s="385" t="str">
        <f t="shared" si="29"/>
        <v>M</v>
      </c>
      <c r="AA110" s="385" t="str">
        <f t="shared" si="30"/>
        <v>R</v>
      </c>
      <c r="AB110" s="385" t="str">
        <f t="shared" si="31"/>
        <v>MR</v>
      </c>
      <c r="AC110" s="323" t="str">
        <f t="shared" si="32"/>
        <v xml:space="preserve">Nm </v>
      </c>
      <c r="AD110" s="323" t="str">
        <f t="shared" si="33"/>
        <v>N_R</v>
      </c>
      <c r="AE110" s="323">
        <f>IF(Y110="cm", 1,0)</f>
        <v>0</v>
      </c>
      <c r="AF110" s="369" t="str">
        <f t="shared" si="34"/>
        <v xml:space="preserve">125.1-Nm </v>
      </c>
      <c r="AG110" s="369" t="str">
        <f t="shared" si="35"/>
        <v>125.1-N_R</v>
      </c>
      <c r="AH110" s="344">
        <f>IF(coder1_YH!R110="",AH109,coder1_YH!R110)</f>
        <v>3</v>
      </c>
      <c r="AI110" s="344">
        <f t="shared" si="19"/>
        <v>3</v>
      </c>
      <c r="AJ110" s="345">
        <f t="shared" si="36"/>
        <v>0</v>
      </c>
      <c r="AK110" s="408">
        <f>IF(coder1_YH!S110="",AK109,coder1_YH!S110)</f>
        <v>8.5</v>
      </c>
      <c r="AL110" s="345">
        <f>IF(coder1_YH!T110="",AL109,IF(coder1_YH!T110="mixed",0.25,coder1_YH!T110))</f>
        <v>0.25</v>
      </c>
      <c r="AM110" s="345" t="str">
        <f>IF(coder1_YH!U110 = "", AM109, IF(coder1_YH!U110="mixed","NA",coder1_YH!U110))</f>
        <v>NA</v>
      </c>
      <c r="AN110" s="345" t="str">
        <f>IF(coder1_YH!V110="",AN109,coder1_YH!V110)</f>
        <v>NA</v>
      </c>
      <c r="AO110" s="345" t="str">
        <f>IF(coder1_YH!W110="",AO109,coder1_YH!W110)</f>
        <v>NA</v>
      </c>
      <c r="AP110" s="345">
        <f>IF(coder1_YH!X110="",AP109,coder1_YH!X110)</f>
        <v>0.53731343283582089</v>
      </c>
      <c r="AQ110" s="345" t="str">
        <f>IF(coder1_YH!Y110="",AQ109,coder1_YH!Y110)</f>
        <v>NA</v>
      </c>
      <c r="AR110" t="str">
        <f>coder1_YH!AB110</f>
        <v>0 = Researcher-developed/adapted curriculum</v>
      </c>
      <c r="AS110" s="345" t="str">
        <f>IF(coder1_YH!AC110 = "", AS109,IF(coder1_YH!AC110="BAU","BAU",LEFT(coder1_YH!AC110)))</f>
        <v>0</v>
      </c>
      <c r="AT110" s="345" t="str">
        <f>IF(coder1_YH!AD110 = "", AT109,IF(coder1_YH!AD110="BAU","BAU",LEFT(coder1_YH!AD110)))</f>
        <v>0</v>
      </c>
      <c r="AU110" s="345" t="str">
        <f>IF(coder1_YH!AE110 = "", AU109,IF(coder1_YH!AE110="BAU","BAU",LEFT(coder1_YH!AE110)))</f>
        <v>1</v>
      </c>
      <c r="AV110" s="345" t="str">
        <f>IF(coder1_YH!AF110="",AV109,coder1_YH!AF110)</f>
        <v>NA</v>
      </c>
      <c r="AW110" s="345" t="str">
        <f t="shared" si="37"/>
        <v>NA</v>
      </c>
      <c r="AX110" s="345" t="str">
        <f>IF(coder1_YH!AG110="",AX109,coder1_YH!AG110)</f>
        <v>one academic year</v>
      </c>
      <c r="AY110" s="345" t="str">
        <f>IF(coder1_YH!AH110="",AY109,coder1_YH!AH110)</f>
        <v>NA</v>
      </c>
      <c r="AZ110" s="345" t="str">
        <f>IF(coder1_YH!AI110 = "", AZ109, IF(coder1_YH!AI110="BAU","BAU",LEFT(coder1_YH!AI110)))</f>
        <v>1</v>
      </c>
      <c r="BA110" s="384">
        <f>clean_data!Y110</f>
        <v>32</v>
      </c>
    </row>
    <row r="111" spans="1:53" x14ac:dyDescent="0.2">
      <c r="A111">
        <f>coder1_YH!B111</f>
        <v>0</v>
      </c>
      <c r="B111">
        <f>coder1_YH!C111</f>
        <v>111</v>
      </c>
      <c r="C111">
        <f>coder1_YH!D111</f>
        <v>0</v>
      </c>
      <c r="D111" t="str">
        <f>coder1_YH!E111</f>
        <v/>
      </c>
      <c r="E111" t="str">
        <f>coder1_YH!F111</f>
        <v/>
      </c>
      <c r="F111" s="321" t="str">
        <f>IF(coder1_YH!G111="", clean_mod!F110, coder1_YH!G111)</f>
        <v>Guthrie et al. 1999</v>
      </c>
      <c r="G111" s="321" t="str">
        <f t="shared" si="20"/>
        <v>125</v>
      </c>
      <c r="H111" s="321">
        <f>IF(coder1_YH!H111="", clean_mod!H110, coder1_YH!H111)</f>
        <v>125.1</v>
      </c>
      <c r="I111" s="404" t="str">
        <f t="shared" si="21"/>
        <v>1999</v>
      </c>
      <c r="J111" s="344" t="str">
        <f>IF(coder1_YH!I111="",J110,coder1_YH!I111)</f>
        <v>USA</v>
      </c>
      <c r="K111" s="345">
        <f t="shared" si="22"/>
        <v>0</v>
      </c>
      <c r="L111" s="344" t="str">
        <f>IF(coder1_YH!J111 = "",L110, coder1_YH!J111)</f>
        <v>English</v>
      </c>
      <c r="M111" s="345">
        <f t="shared" si="23"/>
        <v>0</v>
      </c>
      <c r="N111" s="345" t="str">
        <f>IF(coder1_YH!K111 = "", N110, LEFT(coder1_YH!K111,1))</f>
        <v>0</v>
      </c>
      <c r="O111" s="345" t="str">
        <f>IF(coder1_YH!L111 = "", O110, LEFT(coder1_YH!L111,1))</f>
        <v>0</v>
      </c>
      <c r="P111" s="345" t="str">
        <f>IF(coder1_YH!M111 = "", P110, LEFT(coder1_YH!M111,1))</f>
        <v>1</v>
      </c>
      <c r="Q111" s="321">
        <f>coder1_YH!P111</f>
        <v>0</v>
      </c>
      <c r="R111" s="321">
        <f>coder1_YH!Q111</f>
        <v>0</v>
      </c>
      <c r="S111" s="323" t="str">
        <f t="shared" si="24"/>
        <v>N</v>
      </c>
      <c r="T111" s="323" t="str">
        <f t="shared" si="25"/>
        <v/>
      </c>
      <c r="U111" s="323" t="str">
        <f t="shared" si="26"/>
        <v/>
      </c>
      <c r="V111" s="323" t="str">
        <f t="shared" si="27"/>
        <v/>
      </c>
      <c r="W111" s="323">
        <f t="shared" si="28"/>
        <v>1</v>
      </c>
      <c r="X111" s="385" t="str">
        <f>IF(coder1_YH!N111 = "",X110,coder1_YH!N111)</f>
        <v>N</v>
      </c>
      <c r="Y111" s="385" t="str">
        <f>IF(coder1_YH!O111 = "",Y110,coder1_YH!O111)</f>
        <v xml:space="preserve">m </v>
      </c>
      <c r="Z111" s="385" t="str">
        <f t="shared" si="29"/>
        <v>M</v>
      </c>
      <c r="AA111" s="385" t="str">
        <f t="shared" si="30"/>
        <v>R</v>
      </c>
      <c r="AB111" s="385" t="str">
        <f t="shared" si="31"/>
        <v>MR</v>
      </c>
      <c r="AC111" s="323" t="str">
        <f t="shared" si="32"/>
        <v xml:space="preserve">Nm </v>
      </c>
      <c r="AD111" s="323" t="str">
        <f t="shared" si="33"/>
        <v>N_R</v>
      </c>
      <c r="AF111" s="369" t="str">
        <f t="shared" si="34"/>
        <v xml:space="preserve">125.1-Nm </v>
      </c>
      <c r="AG111" s="369" t="str">
        <f t="shared" si="35"/>
        <v>125.1-N_R</v>
      </c>
      <c r="AH111" s="344">
        <f>IF(coder1_YH!R111="",AH110,coder1_YH!R111)</f>
        <v>3</v>
      </c>
      <c r="AI111" s="344">
        <f t="shared" si="19"/>
        <v>3</v>
      </c>
      <c r="AJ111" s="345">
        <f t="shared" si="36"/>
        <v>0</v>
      </c>
      <c r="AK111" s="408">
        <f>IF(coder1_YH!S111="",AK110,coder1_YH!S111)</f>
        <v>8.5</v>
      </c>
      <c r="AL111" s="345">
        <f>IF(coder1_YH!T111="",AL110,IF(coder1_YH!T111="mixed",0.25,coder1_YH!T111))</f>
        <v>0.25</v>
      </c>
      <c r="AM111" s="345" t="str">
        <f>IF(coder1_YH!U111 = "", AM110, IF(coder1_YH!U111="mixed","NA",coder1_YH!U111))</f>
        <v>NA</v>
      </c>
      <c r="AN111" s="345" t="str">
        <f>IF(coder1_YH!V111="",AN110,coder1_YH!V111)</f>
        <v>NA</v>
      </c>
      <c r="AO111" s="345" t="str">
        <f>IF(coder1_YH!W111="",AO110,coder1_YH!W111)</f>
        <v>NA</v>
      </c>
      <c r="AP111" s="345">
        <f>IF(coder1_YH!X111="",AP110,coder1_YH!X111)</f>
        <v>0.53731343283582089</v>
      </c>
      <c r="AQ111" s="345" t="str">
        <f>IF(coder1_YH!Y111="",AQ110,coder1_YH!Y111)</f>
        <v>NA</v>
      </c>
      <c r="AR111">
        <f>coder1_YH!AB111</f>
        <v>0</v>
      </c>
      <c r="AS111" s="345" t="str">
        <f>IF(coder1_YH!AC111 = "", AS110,IF(coder1_YH!AC111="BAU","BAU",LEFT(coder1_YH!AC111)))</f>
        <v>0</v>
      </c>
      <c r="AT111" s="345" t="str">
        <f>IF(coder1_YH!AD111 = "", AT110,IF(coder1_YH!AD111="BAU","BAU",LEFT(coder1_YH!AD111)))</f>
        <v>0</v>
      </c>
      <c r="AU111" s="345" t="str">
        <f>IF(coder1_YH!AE111 = "", AU110,IF(coder1_YH!AE111="BAU","BAU",LEFT(coder1_YH!AE111)))</f>
        <v>1</v>
      </c>
      <c r="AV111" s="345" t="str">
        <f>IF(coder1_YH!AF111="",AV110,coder1_YH!AF111)</f>
        <v>NA</v>
      </c>
      <c r="AW111" s="345" t="str">
        <f t="shared" si="37"/>
        <v>NA</v>
      </c>
      <c r="AX111" s="345" t="str">
        <f>IF(coder1_YH!AG111="",AX110,coder1_YH!AG111)</f>
        <v>one academic year</v>
      </c>
      <c r="AY111" s="345" t="str">
        <f>IF(coder1_YH!AH111="",AY110,coder1_YH!AH111)</f>
        <v>NA</v>
      </c>
      <c r="AZ111" s="345" t="str">
        <f>IF(coder1_YH!AI111 = "", AZ110, IF(coder1_YH!AI111="BAU","BAU",LEFT(coder1_YH!AI111)))</f>
        <v>1</v>
      </c>
      <c r="BA111" s="384">
        <f>clean_data!Y111</f>
        <v>32</v>
      </c>
    </row>
    <row r="112" spans="1:53" x14ac:dyDescent="0.2">
      <c r="A112">
        <f>coder1_YH!B112</f>
        <v>0</v>
      </c>
      <c r="B112">
        <f>coder1_YH!C112</f>
        <v>112</v>
      </c>
      <c r="C112">
        <f>coder1_YH!D112</f>
        <v>0</v>
      </c>
      <c r="D112" t="str">
        <f>coder1_YH!E112</f>
        <v/>
      </c>
      <c r="E112" t="str">
        <f>coder1_YH!F112</f>
        <v/>
      </c>
      <c r="F112" s="321" t="str">
        <f>IF(coder1_YH!G112="", clean_mod!F111, coder1_YH!G112)</f>
        <v>Guthrie et al. 1999</v>
      </c>
      <c r="G112" s="321" t="str">
        <f t="shared" si="20"/>
        <v>125</v>
      </c>
      <c r="H112" s="321">
        <f>IF(coder1_YH!H112="", clean_mod!H111, coder1_YH!H112)</f>
        <v>125.1</v>
      </c>
      <c r="I112" s="404" t="str">
        <f t="shared" si="21"/>
        <v>1999</v>
      </c>
      <c r="J112" s="344" t="str">
        <f>IF(coder1_YH!I112="",J111,coder1_YH!I112)</f>
        <v>USA</v>
      </c>
      <c r="K112" s="345">
        <f t="shared" si="22"/>
        <v>0</v>
      </c>
      <c r="L112" s="344" t="str">
        <f>IF(coder1_YH!J112 = "",L111, coder1_YH!J112)</f>
        <v>English</v>
      </c>
      <c r="M112" s="345">
        <f t="shared" si="23"/>
        <v>0</v>
      </c>
      <c r="N112" s="345" t="str">
        <f>IF(coder1_YH!K112 = "", N111, LEFT(coder1_YH!K112,1))</f>
        <v>0</v>
      </c>
      <c r="O112" s="345" t="str">
        <f>IF(coder1_YH!L112 = "", O111, LEFT(coder1_YH!L112,1))</f>
        <v>0</v>
      </c>
      <c r="P112" s="345" t="str">
        <f>IF(coder1_YH!M112 = "", P111, LEFT(coder1_YH!M112,1))</f>
        <v>1</v>
      </c>
      <c r="Q112" s="321">
        <f>coder1_YH!P112</f>
        <v>0</v>
      </c>
      <c r="R112" s="321">
        <f>coder1_YH!Q112</f>
        <v>0</v>
      </c>
      <c r="S112" s="323" t="str">
        <f t="shared" si="24"/>
        <v>N</v>
      </c>
      <c r="T112" s="323" t="str">
        <f t="shared" si="25"/>
        <v/>
      </c>
      <c r="U112" s="323" t="str">
        <f t="shared" si="26"/>
        <v/>
      </c>
      <c r="V112" s="323" t="str">
        <f t="shared" si="27"/>
        <v/>
      </c>
      <c r="W112" s="323">
        <f t="shared" si="28"/>
        <v>1</v>
      </c>
      <c r="X112" s="385" t="str">
        <f>IF(coder1_YH!N112 = "",X111,coder1_YH!N112)</f>
        <v>N</v>
      </c>
      <c r="Y112" s="385" t="str">
        <f>IF(coder1_YH!O112 = "",Y111,coder1_YH!O112)</f>
        <v xml:space="preserve">m </v>
      </c>
      <c r="Z112" s="385" t="str">
        <f t="shared" si="29"/>
        <v>M</v>
      </c>
      <c r="AA112" s="385" t="str">
        <f t="shared" si="30"/>
        <v>R</v>
      </c>
      <c r="AB112" s="385" t="str">
        <f t="shared" si="31"/>
        <v>MR</v>
      </c>
      <c r="AC112" s="323" t="str">
        <f t="shared" si="32"/>
        <v xml:space="preserve">Nm </v>
      </c>
      <c r="AD112" s="323" t="str">
        <f t="shared" si="33"/>
        <v>N_R</v>
      </c>
      <c r="AF112" s="369" t="str">
        <f t="shared" si="34"/>
        <v xml:space="preserve">125.1-Nm </v>
      </c>
      <c r="AG112" s="369" t="str">
        <f t="shared" si="35"/>
        <v>125.1-N_R</v>
      </c>
      <c r="AH112" s="344">
        <f>IF(coder1_YH!R112="",AH111,coder1_YH!R112)</f>
        <v>3</v>
      </c>
      <c r="AI112" s="344">
        <f t="shared" si="19"/>
        <v>3</v>
      </c>
      <c r="AJ112" s="345">
        <f t="shared" si="36"/>
        <v>0</v>
      </c>
      <c r="AK112" s="408">
        <f>IF(coder1_YH!S112="",AK111,coder1_YH!S112)</f>
        <v>8.5</v>
      </c>
      <c r="AL112" s="345">
        <f>IF(coder1_YH!T112="",AL111,IF(coder1_YH!T112="mixed",0.25,coder1_YH!T112))</f>
        <v>0.25</v>
      </c>
      <c r="AM112" s="345" t="str">
        <f>IF(coder1_YH!U112 = "", AM111, IF(coder1_YH!U112="mixed","NA",coder1_YH!U112))</f>
        <v>NA</v>
      </c>
      <c r="AN112" s="345" t="str">
        <f>IF(coder1_YH!V112="",AN111,coder1_YH!V112)</f>
        <v>NA</v>
      </c>
      <c r="AO112" s="345" t="str">
        <f>IF(coder1_YH!W112="",AO111,coder1_YH!W112)</f>
        <v>NA</v>
      </c>
      <c r="AP112" s="345">
        <f>IF(coder1_YH!X112="",AP111,coder1_YH!X112)</f>
        <v>0.53731343283582089</v>
      </c>
      <c r="AQ112" s="345" t="str">
        <f>IF(coder1_YH!Y112="",AQ111,coder1_YH!Y112)</f>
        <v>NA</v>
      </c>
      <c r="AR112">
        <f>coder1_YH!AB112</f>
        <v>0</v>
      </c>
      <c r="AS112" s="345" t="str">
        <f>IF(coder1_YH!AC112 = "", AS111,IF(coder1_YH!AC112="BAU","BAU",LEFT(coder1_YH!AC112)))</f>
        <v>0</v>
      </c>
      <c r="AT112" s="345" t="str">
        <f>IF(coder1_YH!AD112 = "", AT111,IF(coder1_YH!AD112="BAU","BAU",LEFT(coder1_YH!AD112)))</f>
        <v>0</v>
      </c>
      <c r="AU112" s="345" t="str">
        <f>IF(coder1_YH!AE112 = "", AU111,IF(coder1_YH!AE112="BAU","BAU",LEFT(coder1_YH!AE112)))</f>
        <v>1</v>
      </c>
      <c r="AV112" s="345" t="str">
        <f>IF(coder1_YH!AF112="",AV111,coder1_YH!AF112)</f>
        <v>NA</v>
      </c>
      <c r="AW112" s="345" t="str">
        <f t="shared" si="37"/>
        <v>NA</v>
      </c>
      <c r="AX112" s="345" t="str">
        <f>IF(coder1_YH!AG112="",AX111,coder1_YH!AG112)</f>
        <v>one academic year</v>
      </c>
      <c r="AY112" s="345" t="str">
        <f>IF(coder1_YH!AH112="",AY111,coder1_YH!AH112)</f>
        <v>NA</v>
      </c>
      <c r="AZ112" s="345" t="str">
        <f>IF(coder1_YH!AI112 = "", AZ111, IF(coder1_YH!AI112="BAU","BAU",LEFT(coder1_YH!AI112)))</f>
        <v>1</v>
      </c>
      <c r="BA112" s="384" t="str">
        <f>clean_data!Y112</f>
        <v>NA</v>
      </c>
    </row>
    <row r="113" spans="1:53" x14ac:dyDescent="0.2">
      <c r="A113">
        <f>coder1_YH!B113</f>
        <v>0</v>
      </c>
      <c r="B113">
        <f>coder1_YH!C113</f>
        <v>113</v>
      </c>
      <c r="C113">
        <f>coder1_YH!D113</f>
        <v>0</v>
      </c>
      <c r="D113" t="str">
        <f>coder1_YH!E113</f>
        <v/>
      </c>
      <c r="E113" t="b">
        <f>coder1_YH!F113</f>
        <v>1</v>
      </c>
      <c r="F113" s="321" t="str">
        <f>IF(coder1_YH!G113="", clean_mod!F112, coder1_YH!G113)</f>
        <v>Guthrie et al. 1999</v>
      </c>
      <c r="G113" s="321" t="str">
        <f t="shared" si="20"/>
        <v>125</v>
      </c>
      <c r="H113" s="321">
        <f>IF(coder1_YH!H113="", clean_mod!H112, coder1_YH!H113)</f>
        <v>125.1</v>
      </c>
      <c r="I113" s="404" t="str">
        <f t="shared" si="21"/>
        <v>1999</v>
      </c>
      <c r="J113" s="344" t="str">
        <f>IF(coder1_YH!I113="",J112,coder1_YH!I113)</f>
        <v>USA</v>
      </c>
      <c r="K113" s="345">
        <f t="shared" si="22"/>
        <v>0</v>
      </c>
      <c r="L113" s="344" t="str">
        <f>IF(coder1_YH!J113 = "",L112, coder1_YH!J113)</f>
        <v>English</v>
      </c>
      <c r="M113" s="345">
        <f t="shared" si="23"/>
        <v>0</v>
      </c>
      <c r="N113" s="345" t="str">
        <f>IF(coder1_YH!K113 = "", N112, LEFT(coder1_YH!K113,1))</f>
        <v>0</v>
      </c>
      <c r="O113" s="345" t="str">
        <f>IF(coder1_YH!L113 = "", O112, LEFT(coder1_YH!L113,1))</f>
        <v>0</v>
      </c>
      <c r="P113" s="345" t="str">
        <f>IF(coder1_YH!M113 = "", P112, LEFT(coder1_YH!M113,1))</f>
        <v>1</v>
      </c>
      <c r="Q113" s="321" t="str">
        <f>coder1_YH!P113</f>
        <v>ctl</v>
      </c>
      <c r="R113" s="321" t="str">
        <f>coder1_YH!Q113</f>
        <v>TI,Grade 3,Pond</v>
      </c>
      <c r="S113" s="323" t="str">
        <f t="shared" si="24"/>
        <v/>
      </c>
      <c r="T113" s="323" t="str">
        <f t="shared" si="25"/>
        <v/>
      </c>
      <c r="U113" s="323" t="str">
        <f t="shared" si="26"/>
        <v/>
      </c>
      <c r="V113" s="323" t="str">
        <f t="shared" si="27"/>
        <v/>
      </c>
      <c r="W113" s="323">
        <f t="shared" si="28"/>
        <v>0</v>
      </c>
      <c r="X113" s="385" t="str">
        <f>IF(coder1_YH!N113 = "",X112,coder1_YH!N113)</f>
        <v>.</v>
      </c>
      <c r="Y113" s="385" t="str">
        <f>IF(coder1_YH!O113 = "",Y112,coder1_YH!O113)</f>
        <v xml:space="preserve">m </v>
      </c>
      <c r="Z113" s="385" t="str">
        <f t="shared" si="29"/>
        <v/>
      </c>
      <c r="AA113" s="385" t="str">
        <f t="shared" si="30"/>
        <v>R</v>
      </c>
      <c r="AB113" s="385" t="str">
        <f t="shared" si="31"/>
        <v>R</v>
      </c>
      <c r="AC113" s="323" t="str">
        <f t="shared" si="32"/>
        <v xml:space="preserve">.m </v>
      </c>
      <c r="AD113" s="323" t="str">
        <f t="shared" si="33"/>
        <v>R</v>
      </c>
      <c r="AF113" s="369" t="str">
        <f t="shared" si="34"/>
        <v xml:space="preserve">125.1-.m </v>
      </c>
      <c r="AG113" s="369" t="str">
        <f t="shared" si="35"/>
        <v>125.1-R</v>
      </c>
      <c r="AH113" s="344">
        <f>IF(coder1_YH!R113="",AH112,coder1_YH!R113)</f>
        <v>3</v>
      </c>
      <c r="AI113" s="344">
        <f t="shared" si="19"/>
        <v>3</v>
      </c>
      <c r="AJ113" s="345">
        <f t="shared" si="36"/>
        <v>0</v>
      </c>
      <c r="AK113" s="408">
        <f>IF(coder1_YH!S113="",AK112,coder1_YH!S113)</f>
        <v>8.5</v>
      </c>
      <c r="AL113" s="345">
        <f>IF(coder1_YH!T113="",AL112,IF(coder1_YH!T113="mixed",0.25,coder1_YH!T113))</f>
        <v>0.25</v>
      </c>
      <c r="AM113" s="345" t="str">
        <f>IF(coder1_YH!U113 = "", AM112, IF(coder1_YH!U113="mixed","NA",coder1_YH!U113))</f>
        <v>NA</v>
      </c>
      <c r="AN113" s="345" t="str">
        <f>IF(coder1_YH!V113="",AN112,coder1_YH!V113)</f>
        <v>NA</v>
      </c>
      <c r="AO113" s="345" t="str">
        <f>IF(coder1_YH!W113="",AO112,coder1_YH!W113)</f>
        <v>NA</v>
      </c>
      <c r="AP113" s="345">
        <f>IF(coder1_YH!X113="",AP112,coder1_YH!X113)</f>
        <v>0.5757575757575758</v>
      </c>
      <c r="AQ113" s="345" t="str">
        <f>IF(coder1_YH!Y113="",AQ112,coder1_YH!Y113)</f>
        <v>NA</v>
      </c>
      <c r="AR113" t="str">
        <f>coder1_YH!AB113</f>
        <v>1 = Published/Commercially available curriculum</v>
      </c>
      <c r="AS113" s="345" t="str">
        <f>IF(coder1_YH!AC113 = "", AS112,IF(coder1_YH!AC113="BAU","BAU",LEFT(coder1_YH!AC113)))</f>
        <v>0</v>
      </c>
      <c r="AT113" s="345" t="str">
        <f>IF(coder1_YH!AD113 = "", AT112,IF(coder1_YH!AD113="BAU","BAU",LEFT(coder1_YH!AD113)))</f>
        <v>0</v>
      </c>
      <c r="AU113" s="345" t="str">
        <f>IF(coder1_YH!AE113 = "", AU112,IF(coder1_YH!AE113="BAU","BAU",LEFT(coder1_YH!AE113)))</f>
        <v>1</v>
      </c>
      <c r="AV113" s="345" t="str">
        <f>IF(coder1_YH!AF113="",AV112,coder1_YH!AF113)</f>
        <v>BAU</v>
      </c>
      <c r="AW113" s="345" t="str">
        <f t="shared" si="37"/>
        <v>BAU</v>
      </c>
      <c r="AX113" s="345" t="str">
        <f>IF(coder1_YH!AG113="",AX112,coder1_YH!AG113)</f>
        <v>BAU</v>
      </c>
      <c r="AY113" s="345" t="str">
        <f>IF(coder1_YH!AH113="",AY112,coder1_YH!AH113)</f>
        <v>BAU</v>
      </c>
      <c r="AZ113" s="345" t="str">
        <f>IF(coder1_YH!AI113 = "", AZ112, IF(coder1_YH!AI113="BAU","BAU",LEFT(coder1_YH!AI113)))</f>
        <v>BAU</v>
      </c>
      <c r="BA113" s="384">
        <f>clean_data!Y113</f>
        <v>28</v>
      </c>
    </row>
    <row r="114" spans="1:53" x14ac:dyDescent="0.2">
      <c r="A114">
        <f>coder1_YH!B114</f>
        <v>0</v>
      </c>
      <c r="B114">
        <f>coder1_YH!C114</f>
        <v>114</v>
      </c>
      <c r="C114">
        <f>coder1_YH!D114</f>
        <v>0</v>
      </c>
      <c r="D114" t="str">
        <f>coder1_YH!E114</f>
        <v/>
      </c>
      <c r="E114" t="str">
        <f>coder1_YH!F114</f>
        <v/>
      </c>
      <c r="F114" s="321" t="str">
        <f>IF(coder1_YH!G114="", clean_mod!F113, coder1_YH!G114)</f>
        <v>Guthrie et al. 1999</v>
      </c>
      <c r="G114" s="321" t="str">
        <f t="shared" si="20"/>
        <v>125</v>
      </c>
      <c r="H114" s="321">
        <f>IF(coder1_YH!H114="", clean_mod!H113, coder1_YH!H114)</f>
        <v>125.1</v>
      </c>
      <c r="I114" s="404" t="str">
        <f t="shared" si="21"/>
        <v>1999</v>
      </c>
      <c r="J114" s="344" t="str">
        <f>IF(coder1_YH!I114="",J113,coder1_YH!I114)</f>
        <v>USA</v>
      </c>
      <c r="K114" s="345">
        <f t="shared" si="22"/>
        <v>0</v>
      </c>
      <c r="L114" s="344" t="str">
        <f>IF(coder1_YH!J114 = "",L113, coder1_YH!J114)</f>
        <v>English</v>
      </c>
      <c r="M114" s="345">
        <f t="shared" si="23"/>
        <v>0</v>
      </c>
      <c r="N114" s="345" t="str">
        <f>IF(coder1_YH!K114 = "", N113, LEFT(coder1_YH!K114,1))</f>
        <v>0</v>
      </c>
      <c r="O114" s="345" t="str">
        <f>IF(coder1_YH!L114 = "", O113, LEFT(coder1_YH!L114,1))</f>
        <v>0</v>
      </c>
      <c r="P114" s="345" t="str">
        <f>IF(coder1_YH!M114 = "", P113, LEFT(coder1_YH!M114,1))</f>
        <v>1</v>
      </c>
      <c r="Q114" s="321">
        <f>coder1_YH!P114</f>
        <v>0</v>
      </c>
      <c r="R114" s="321">
        <f>coder1_YH!Q114</f>
        <v>0</v>
      </c>
      <c r="S114" s="323" t="str">
        <f t="shared" si="24"/>
        <v/>
      </c>
      <c r="T114" s="323" t="str">
        <f t="shared" si="25"/>
        <v/>
      </c>
      <c r="U114" s="323" t="str">
        <f t="shared" si="26"/>
        <v/>
      </c>
      <c r="V114" s="323" t="str">
        <f t="shared" si="27"/>
        <v/>
      </c>
      <c r="W114" s="323">
        <f t="shared" si="28"/>
        <v>0</v>
      </c>
      <c r="X114" s="385" t="str">
        <f>IF(coder1_YH!N114 = "",X113,coder1_YH!N114)</f>
        <v>.</v>
      </c>
      <c r="Y114" s="385" t="str">
        <f>IF(coder1_YH!O114 = "",Y113,coder1_YH!O114)</f>
        <v xml:space="preserve">m </v>
      </c>
      <c r="Z114" s="385" t="str">
        <f t="shared" si="29"/>
        <v/>
      </c>
      <c r="AA114" s="385" t="str">
        <f t="shared" si="30"/>
        <v>R</v>
      </c>
      <c r="AB114" s="385" t="str">
        <f t="shared" si="31"/>
        <v>R</v>
      </c>
      <c r="AC114" s="323" t="str">
        <f t="shared" si="32"/>
        <v xml:space="preserve">.m </v>
      </c>
      <c r="AD114" s="323" t="str">
        <f t="shared" si="33"/>
        <v>R</v>
      </c>
      <c r="AF114" s="369" t="str">
        <f t="shared" si="34"/>
        <v xml:space="preserve">125.1-.m </v>
      </c>
      <c r="AG114" s="369" t="str">
        <f t="shared" si="35"/>
        <v>125.1-R</v>
      </c>
      <c r="AH114" s="344">
        <f>IF(coder1_YH!R114="",AH113,coder1_YH!R114)</f>
        <v>3</v>
      </c>
      <c r="AI114" s="344">
        <f t="shared" si="19"/>
        <v>3</v>
      </c>
      <c r="AJ114" s="345">
        <f t="shared" si="36"/>
        <v>0</v>
      </c>
      <c r="AK114" s="408">
        <f>IF(coder1_YH!S114="",AK113,coder1_YH!S114)</f>
        <v>8.5</v>
      </c>
      <c r="AL114" s="345">
        <f>IF(coder1_YH!T114="",AL113,IF(coder1_YH!T114="mixed",0.25,coder1_YH!T114))</f>
        <v>0.25</v>
      </c>
      <c r="AM114" s="345" t="str">
        <f>IF(coder1_YH!U114 = "", AM113, IF(coder1_YH!U114="mixed","NA",coder1_YH!U114))</f>
        <v>NA</v>
      </c>
      <c r="AN114" s="345" t="str">
        <f>IF(coder1_YH!V114="",AN113,coder1_YH!V114)</f>
        <v>NA</v>
      </c>
      <c r="AO114" s="345" t="str">
        <f>IF(coder1_YH!W114="",AO113,coder1_YH!W114)</f>
        <v>NA</v>
      </c>
      <c r="AP114" s="345">
        <f>IF(coder1_YH!X114="",AP113,coder1_YH!X114)</f>
        <v>0.5757575757575758</v>
      </c>
      <c r="AQ114" s="345" t="str">
        <f>IF(coder1_YH!Y114="",AQ113,coder1_YH!Y114)</f>
        <v>NA</v>
      </c>
      <c r="AR114">
        <f>coder1_YH!AB114</f>
        <v>0</v>
      </c>
      <c r="AS114" s="345" t="str">
        <f>IF(coder1_YH!AC114 = "", AS113,IF(coder1_YH!AC114="BAU","BAU",LEFT(coder1_YH!AC114)))</f>
        <v>0</v>
      </c>
      <c r="AT114" s="345" t="str">
        <f>IF(coder1_YH!AD114 = "", AT113,IF(coder1_YH!AD114="BAU","BAU",LEFT(coder1_YH!AD114)))</f>
        <v>0</v>
      </c>
      <c r="AU114" s="345" t="str">
        <f>IF(coder1_YH!AE114 = "", AU113,IF(coder1_YH!AE114="BAU","BAU",LEFT(coder1_YH!AE114)))</f>
        <v>1</v>
      </c>
      <c r="AV114" s="345" t="str">
        <f>IF(coder1_YH!AF114="",AV113,coder1_YH!AF114)</f>
        <v>BAU</v>
      </c>
      <c r="AW114" s="345" t="str">
        <f t="shared" si="37"/>
        <v>BAU</v>
      </c>
      <c r="AX114" s="345" t="str">
        <f>IF(coder1_YH!AG114="",AX113,coder1_YH!AG114)</f>
        <v>BAU</v>
      </c>
      <c r="AY114" s="345" t="str">
        <f>IF(coder1_YH!AH114="",AY113,coder1_YH!AH114)</f>
        <v>BAU</v>
      </c>
      <c r="AZ114" s="345" t="str">
        <f>IF(coder1_YH!AI114 = "", AZ113, IF(coder1_YH!AI114="BAU","BAU",LEFT(coder1_YH!AI114)))</f>
        <v>BAU</v>
      </c>
      <c r="BA114" s="384">
        <f>clean_data!Y114</f>
        <v>28</v>
      </c>
    </row>
    <row r="115" spans="1:53" x14ac:dyDescent="0.2">
      <c r="A115">
        <f>coder1_YH!B115</f>
        <v>0</v>
      </c>
      <c r="B115">
        <f>coder1_YH!C115</f>
        <v>115</v>
      </c>
      <c r="C115">
        <f>coder1_YH!D115</f>
        <v>0</v>
      </c>
      <c r="D115" t="str">
        <f>coder1_YH!E115</f>
        <v/>
      </c>
      <c r="E115" t="str">
        <f>coder1_YH!F115</f>
        <v/>
      </c>
      <c r="F115" s="321" t="str">
        <f>IF(coder1_YH!G115="", clean_mod!F114, coder1_YH!G115)</f>
        <v>Guthrie et al. 1999</v>
      </c>
      <c r="G115" s="321" t="str">
        <f t="shared" si="20"/>
        <v>125</v>
      </c>
      <c r="H115" s="321">
        <f>IF(coder1_YH!H115="", clean_mod!H114, coder1_YH!H115)</f>
        <v>125.1</v>
      </c>
      <c r="I115" s="404" t="str">
        <f t="shared" si="21"/>
        <v>1999</v>
      </c>
      <c r="J115" s="344" t="str">
        <f>IF(coder1_YH!I115="",J114,coder1_YH!I115)</f>
        <v>USA</v>
      </c>
      <c r="K115" s="345">
        <f t="shared" si="22"/>
        <v>0</v>
      </c>
      <c r="L115" s="344" t="str">
        <f>IF(coder1_YH!J115 = "",L114, coder1_YH!J115)</f>
        <v>English</v>
      </c>
      <c r="M115" s="345">
        <f t="shared" si="23"/>
        <v>0</v>
      </c>
      <c r="N115" s="345" t="str">
        <f>IF(coder1_YH!K115 = "", N114, LEFT(coder1_YH!K115,1))</f>
        <v>0</v>
      </c>
      <c r="O115" s="345" t="str">
        <f>IF(coder1_YH!L115 = "", O114, LEFT(coder1_YH!L115,1))</f>
        <v>0</v>
      </c>
      <c r="P115" s="345" t="str">
        <f>IF(coder1_YH!M115 = "", P114, LEFT(coder1_YH!M115,1))</f>
        <v>1</v>
      </c>
      <c r="Q115" s="321">
        <f>coder1_YH!P115</f>
        <v>0</v>
      </c>
      <c r="R115" s="321">
        <f>coder1_YH!Q115</f>
        <v>0</v>
      </c>
      <c r="S115" s="323" t="str">
        <f t="shared" si="24"/>
        <v/>
      </c>
      <c r="T115" s="323" t="str">
        <f t="shared" si="25"/>
        <v/>
      </c>
      <c r="U115" s="323" t="str">
        <f t="shared" si="26"/>
        <v/>
      </c>
      <c r="V115" s="323" t="str">
        <f t="shared" si="27"/>
        <v/>
      </c>
      <c r="W115" s="323">
        <f t="shared" si="28"/>
        <v>0</v>
      </c>
      <c r="X115" s="385" t="str">
        <f>IF(coder1_YH!N115 = "",X114,coder1_YH!N115)</f>
        <v>.</v>
      </c>
      <c r="Y115" s="385" t="str">
        <f>IF(coder1_YH!O115 = "",Y114,coder1_YH!O115)</f>
        <v xml:space="preserve">m </v>
      </c>
      <c r="Z115" s="385" t="str">
        <f t="shared" si="29"/>
        <v/>
      </c>
      <c r="AA115" s="385" t="str">
        <f t="shared" si="30"/>
        <v>R</v>
      </c>
      <c r="AB115" s="385" t="str">
        <f t="shared" si="31"/>
        <v>R</v>
      </c>
      <c r="AC115" s="323" t="str">
        <f t="shared" si="32"/>
        <v xml:space="preserve">.m </v>
      </c>
      <c r="AD115" s="323" t="str">
        <f t="shared" si="33"/>
        <v>R</v>
      </c>
      <c r="AF115" s="369" t="str">
        <f t="shared" si="34"/>
        <v xml:space="preserve">125.1-.m </v>
      </c>
      <c r="AG115" s="369" t="str">
        <f t="shared" si="35"/>
        <v>125.1-R</v>
      </c>
      <c r="AH115" s="344">
        <f>IF(coder1_YH!R115="",AH114,coder1_YH!R115)</f>
        <v>3</v>
      </c>
      <c r="AI115" s="344">
        <f t="shared" si="19"/>
        <v>3</v>
      </c>
      <c r="AJ115" s="345">
        <f t="shared" si="36"/>
        <v>0</v>
      </c>
      <c r="AK115" s="408">
        <f>IF(coder1_YH!S115="",AK114,coder1_YH!S115)</f>
        <v>8.5</v>
      </c>
      <c r="AL115" s="345">
        <f>IF(coder1_YH!T115="",AL114,IF(coder1_YH!T115="mixed",0.25,coder1_YH!T115))</f>
        <v>0.25</v>
      </c>
      <c r="AM115" s="345" t="str">
        <f>IF(coder1_YH!U115 = "", AM114, IF(coder1_YH!U115="mixed","NA",coder1_YH!U115))</f>
        <v>NA</v>
      </c>
      <c r="AN115" s="345" t="str">
        <f>IF(coder1_YH!V115="",AN114,coder1_YH!V115)</f>
        <v>NA</v>
      </c>
      <c r="AO115" s="345" t="str">
        <f>IF(coder1_YH!W115="",AO114,coder1_YH!W115)</f>
        <v>NA</v>
      </c>
      <c r="AP115" s="345">
        <f>IF(coder1_YH!X115="",AP114,coder1_YH!X115)</f>
        <v>0.5757575757575758</v>
      </c>
      <c r="AQ115" s="345" t="str">
        <f>IF(coder1_YH!Y115="",AQ114,coder1_YH!Y115)</f>
        <v>NA</v>
      </c>
      <c r="AR115">
        <f>coder1_YH!AB115</f>
        <v>0</v>
      </c>
      <c r="AS115" s="345" t="str">
        <f>IF(coder1_YH!AC115 = "", AS114,IF(coder1_YH!AC115="BAU","BAU",LEFT(coder1_YH!AC115)))</f>
        <v>0</v>
      </c>
      <c r="AT115" s="345" t="str">
        <f>IF(coder1_YH!AD115 = "", AT114,IF(coder1_YH!AD115="BAU","BAU",LEFT(coder1_YH!AD115)))</f>
        <v>0</v>
      </c>
      <c r="AU115" s="345" t="str">
        <f>IF(coder1_YH!AE115 = "", AU114,IF(coder1_YH!AE115="BAU","BAU",LEFT(coder1_YH!AE115)))</f>
        <v>1</v>
      </c>
      <c r="AV115" s="345" t="str">
        <f>IF(coder1_YH!AF115="",AV114,coder1_YH!AF115)</f>
        <v>BAU</v>
      </c>
      <c r="AW115" s="345" t="str">
        <f t="shared" si="37"/>
        <v>BAU</v>
      </c>
      <c r="AX115" s="345" t="str">
        <f>IF(coder1_YH!AG115="",AX114,coder1_YH!AG115)</f>
        <v>BAU</v>
      </c>
      <c r="AY115" s="345" t="str">
        <f>IF(coder1_YH!AH115="",AY114,coder1_YH!AH115)</f>
        <v>BAU</v>
      </c>
      <c r="AZ115" s="345" t="str">
        <f>IF(coder1_YH!AI115 = "", AZ114, IF(coder1_YH!AI115="BAU","BAU",LEFT(coder1_YH!AI115)))</f>
        <v>BAU</v>
      </c>
      <c r="BA115" s="384" t="str">
        <f>clean_data!Y115</f>
        <v>NA</v>
      </c>
    </row>
    <row r="116" spans="1:53" x14ac:dyDescent="0.2">
      <c r="A116">
        <f>coder1_YH!B116</f>
        <v>0</v>
      </c>
      <c r="B116">
        <f>coder1_YH!C116</f>
        <v>116</v>
      </c>
      <c r="C116">
        <f>coder1_YH!D116</f>
        <v>0</v>
      </c>
      <c r="D116" t="b">
        <f>coder1_YH!E116</f>
        <v>1</v>
      </c>
      <c r="E116" t="b">
        <f>coder1_YH!F116</f>
        <v>1</v>
      </c>
      <c r="F116" s="321" t="str">
        <f>IF(coder1_YH!G116="", clean_mod!F115, coder1_YH!G116)</f>
        <v>Guthrie et al. 1999</v>
      </c>
      <c r="G116" s="321" t="str">
        <f t="shared" si="20"/>
        <v>125</v>
      </c>
      <c r="H116" s="321">
        <f>IF(coder1_YH!H116="", clean_mod!H115, coder1_YH!H116)</f>
        <v>125.19999999999999</v>
      </c>
      <c r="I116" s="404" t="str">
        <f t="shared" si="21"/>
        <v>1999</v>
      </c>
      <c r="J116" s="344" t="str">
        <f>IF(coder1_YH!I116="",J115,coder1_YH!I116)</f>
        <v>USA</v>
      </c>
      <c r="K116" s="345">
        <f t="shared" si="22"/>
        <v>0</v>
      </c>
      <c r="L116" s="344" t="str">
        <f>IF(coder1_YH!J116 = "",L115, coder1_YH!J116)</f>
        <v>English</v>
      </c>
      <c r="M116" s="345">
        <f t="shared" si="23"/>
        <v>0</v>
      </c>
      <c r="N116" s="345" t="str">
        <f>IF(coder1_YH!K116 = "", N115, LEFT(coder1_YH!K116,1))</f>
        <v>0</v>
      </c>
      <c r="O116" s="345" t="str">
        <f>IF(coder1_YH!L116 = "", O115, LEFT(coder1_YH!L116,1))</f>
        <v>0</v>
      </c>
      <c r="P116" s="345" t="str">
        <f>IF(coder1_YH!M116 = "", P115, LEFT(coder1_YH!M116,1))</f>
        <v>1</v>
      </c>
      <c r="Q116" s="321">
        <f>coder1_YH!P116</f>
        <v>1</v>
      </c>
      <c r="R116" s="321" t="str">
        <f>coder1_YH!Q116</f>
        <v>CORI,Grade 3,Volcano</v>
      </c>
      <c r="S116" s="323" t="str">
        <f t="shared" si="24"/>
        <v>N</v>
      </c>
      <c r="T116" s="323" t="str">
        <f t="shared" si="25"/>
        <v/>
      </c>
      <c r="U116" s="323" t="str">
        <f t="shared" si="26"/>
        <v/>
      </c>
      <c r="V116" s="323" t="str">
        <f t="shared" si="27"/>
        <v/>
      </c>
      <c r="W116" s="323">
        <f t="shared" si="28"/>
        <v>1</v>
      </c>
      <c r="X116" s="385" t="str">
        <f>IF(coder1_YH!N116 = "",X115,coder1_YH!N116)</f>
        <v>N</v>
      </c>
      <c r="Y116" s="385" t="str">
        <f>IF(coder1_YH!O116 = "",Y115,coder1_YH!O116)</f>
        <v xml:space="preserve">m </v>
      </c>
      <c r="Z116" s="385" t="str">
        <f t="shared" si="29"/>
        <v>M</v>
      </c>
      <c r="AA116" s="385" t="str">
        <f t="shared" si="30"/>
        <v>R</v>
      </c>
      <c r="AB116" s="385" t="str">
        <f t="shared" si="31"/>
        <v>MR</v>
      </c>
      <c r="AC116" s="323" t="str">
        <f t="shared" si="32"/>
        <v xml:space="preserve">Nm </v>
      </c>
      <c r="AD116" s="323" t="str">
        <f t="shared" si="33"/>
        <v>N_R</v>
      </c>
      <c r="AE116" s="323">
        <f>IF(Y116="cm", 1,0)</f>
        <v>0</v>
      </c>
      <c r="AF116" s="369" t="str">
        <f t="shared" si="34"/>
        <v xml:space="preserve">125.2-Nm </v>
      </c>
      <c r="AG116" s="369" t="str">
        <f t="shared" si="35"/>
        <v>125.2-N_R</v>
      </c>
      <c r="AH116" s="344">
        <f>IF(coder1_YH!R116="",AH115,coder1_YH!R116)</f>
        <v>3</v>
      </c>
      <c r="AI116" s="344">
        <f t="shared" si="19"/>
        <v>3</v>
      </c>
      <c r="AJ116" s="345">
        <f t="shared" si="36"/>
        <v>0</v>
      </c>
      <c r="AK116" s="408">
        <f>IF(coder1_YH!S116="",AK115,coder1_YH!S116)</f>
        <v>8.5</v>
      </c>
      <c r="AL116" s="345">
        <f>IF(coder1_YH!T116="",AL115,IF(coder1_YH!T116="mixed",0.25,coder1_YH!T116))</f>
        <v>0.25</v>
      </c>
      <c r="AM116" s="345" t="str">
        <f>IF(coder1_YH!U116 = "", AM115, IF(coder1_YH!U116="mixed","NA",coder1_YH!U116))</f>
        <v>NA</v>
      </c>
      <c r="AN116" s="345" t="str">
        <f>IF(coder1_YH!V116="",AN115,coder1_YH!V116)</f>
        <v>NA</v>
      </c>
      <c r="AO116" s="345" t="str">
        <f>IF(coder1_YH!W116="",AO115,coder1_YH!W116)</f>
        <v>NA</v>
      </c>
      <c r="AP116" s="345">
        <f>IF(coder1_YH!X116="",AP115,coder1_YH!X116)</f>
        <v>0.53731343283582089</v>
      </c>
      <c r="AQ116" s="345" t="str">
        <f>IF(coder1_YH!Y116="",AQ115,coder1_YH!Y116)</f>
        <v>NA</v>
      </c>
      <c r="AR116" t="str">
        <f>coder1_YH!AB116</f>
        <v>0 = Researcher-developed/adapted curriculum</v>
      </c>
      <c r="AS116" s="345" t="str">
        <f>IF(coder1_YH!AC116 = "", AS115,IF(coder1_YH!AC116="BAU","BAU",LEFT(coder1_YH!AC116)))</f>
        <v>0</v>
      </c>
      <c r="AT116" s="345" t="str">
        <f>IF(coder1_YH!AD116 = "", AT115,IF(coder1_YH!AD116="BAU","BAU",LEFT(coder1_YH!AD116)))</f>
        <v>0</v>
      </c>
      <c r="AU116" s="345" t="str">
        <f>IF(coder1_YH!AE116 = "", AU115,IF(coder1_YH!AE116="BAU","BAU",LEFT(coder1_YH!AE116)))</f>
        <v>1</v>
      </c>
      <c r="AV116" s="345" t="str">
        <f>IF(coder1_YH!AF116="",AV115,coder1_YH!AF116)</f>
        <v>NA</v>
      </c>
      <c r="AW116" s="345" t="str">
        <f t="shared" si="37"/>
        <v>NA</v>
      </c>
      <c r="AX116" s="345" t="str">
        <f>IF(coder1_YH!AG116="",AX115,coder1_YH!AG116)</f>
        <v>one academic year</v>
      </c>
      <c r="AY116" s="345" t="str">
        <f>IF(coder1_YH!AH116="",AY115,coder1_YH!AH116)</f>
        <v>NA</v>
      </c>
      <c r="AZ116" s="345" t="str">
        <f>IF(coder1_YH!AI116 = "", AZ115, IF(coder1_YH!AI116="BAU","BAU",LEFT(coder1_YH!AI116)))</f>
        <v>1</v>
      </c>
      <c r="BA116" s="384">
        <f>clean_data!Y116</f>
        <v>33</v>
      </c>
    </row>
    <row r="117" spans="1:53" x14ac:dyDescent="0.2">
      <c r="A117">
        <f>coder1_YH!B117</f>
        <v>0</v>
      </c>
      <c r="B117">
        <f>coder1_YH!C117</f>
        <v>117</v>
      </c>
      <c r="C117">
        <f>coder1_YH!D117</f>
        <v>0</v>
      </c>
      <c r="D117" t="str">
        <f>coder1_YH!E117</f>
        <v/>
      </c>
      <c r="E117" t="str">
        <f>coder1_YH!F117</f>
        <v/>
      </c>
      <c r="F117" s="321" t="str">
        <f>IF(coder1_YH!G117="", clean_mod!F116, coder1_YH!G117)</f>
        <v>Guthrie et al. 1999</v>
      </c>
      <c r="G117" s="321" t="str">
        <f t="shared" si="20"/>
        <v>125</v>
      </c>
      <c r="H117" s="321">
        <f>IF(coder1_YH!H117="", clean_mod!H116, coder1_YH!H117)</f>
        <v>125.19999999999999</v>
      </c>
      <c r="I117" s="404" t="str">
        <f t="shared" si="21"/>
        <v>1999</v>
      </c>
      <c r="J117" s="344" t="str">
        <f>IF(coder1_YH!I117="",J116,coder1_YH!I117)</f>
        <v>USA</v>
      </c>
      <c r="K117" s="345">
        <f t="shared" si="22"/>
        <v>0</v>
      </c>
      <c r="L117" s="344" t="str">
        <f>IF(coder1_YH!J117 = "",L116, coder1_YH!J117)</f>
        <v>English</v>
      </c>
      <c r="M117" s="345">
        <f t="shared" si="23"/>
        <v>0</v>
      </c>
      <c r="N117" s="345" t="str">
        <f>IF(coder1_YH!K117 = "", N116, LEFT(coder1_YH!K117,1))</f>
        <v>0</v>
      </c>
      <c r="O117" s="345" t="str">
        <f>IF(coder1_YH!L117 = "", O116, LEFT(coder1_YH!L117,1))</f>
        <v>0</v>
      </c>
      <c r="P117" s="345" t="str">
        <f>IF(coder1_YH!M117 = "", P116, LEFT(coder1_YH!M117,1))</f>
        <v>1</v>
      </c>
      <c r="Q117" s="321">
        <f>coder1_YH!P117</f>
        <v>0</v>
      </c>
      <c r="R117" s="321">
        <f>coder1_YH!Q117</f>
        <v>0</v>
      </c>
      <c r="S117" s="323" t="str">
        <f t="shared" si="24"/>
        <v>N</v>
      </c>
      <c r="T117" s="323" t="str">
        <f t="shared" si="25"/>
        <v/>
      </c>
      <c r="U117" s="323" t="str">
        <f t="shared" si="26"/>
        <v/>
      </c>
      <c r="V117" s="323" t="str">
        <f t="shared" si="27"/>
        <v/>
      </c>
      <c r="W117" s="323">
        <f t="shared" si="28"/>
        <v>1</v>
      </c>
      <c r="X117" s="385" t="str">
        <f>IF(coder1_YH!N117 = "",X116,coder1_YH!N117)</f>
        <v>N</v>
      </c>
      <c r="Y117" s="385" t="str">
        <f>IF(coder1_YH!O117 = "",Y116,coder1_YH!O117)</f>
        <v xml:space="preserve">m </v>
      </c>
      <c r="Z117" s="385" t="str">
        <f t="shared" si="29"/>
        <v>M</v>
      </c>
      <c r="AA117" s="385" t="str">
        <f t="shared" si="30"/>
        <v>R</v>
      </c>
      <c r="AB117" s="385" t="str">
        <f t="shared" si="31"/>
        <v>MR</v>
      </c>
      <c r="AC117" s="323" t="str">
        <f t="shared" si="32"/>
        <v xml:space="preserve">Nm </v>
      </c>
      <c r="AD117" s="323" t="str">
        <f t="shared" si="33"/>
        <v>N_R</v>
      </c>
      <c r="AF117" s="369" t="str">
        <f t="shared" si="34"/>
        <v xml:space="preserve">125.2-Nm </v>
      </c>
      <c r="AG117" s="369" t="str">
        <f t="shared" si="35"/>
        <v>125.2-N_R</v>
      </c>
      <c r="AH117" s="344">
        <f>IF(coder1_YH!R117="",AH116,coder1_YH!R117)</f>
        <v>3</v>
      </c>
      <c r="AI117" s="344">
        <f t="shared" si="19"/>
        <v>3</v>
      </c>
      <c r="AJ117" s="345">
        <f t="shared" si="36"/>
        <v>0</v>
      </c>
      <c r="AK117" s="408">
        <f>IF(coder1_YH!S117="",AK116,coder1_YH!S117)</f>
        <v>8.5</v>
      </c>
      <c r="AL117" s="345">
        <f>IF(coder1_YH!T117="",AL116,IF(coder1_YH!T117="mixed",0.25,coder1_YH!T117))</f>
        <v>0.25</v>
      </c>
      <c r="AM117" s="345" t="str">
        <f>IF(coder1_YH!U117 = "", AM116, IF(coder1_YH!U117="mixed","NA",coder1_YH!U117))</f>
        <v>NA</v>
      </c>
      <c r="AN117" s="345" t="str">
        <f>IF(coder1_YH!V117="",AN116,coder1_YH!V117)</f>
        <v>NA</v>
      </c>
      <c r="AO117" s="345" t="str">
        <f>IF(coder1_YH!W117="",AO116,coder1_YH!W117)</f>
        <v>NA</v>
      </c>
      <c r="AP117" s="345">
        <f>IF(coder1_YH!X117="",AP116,coder1_YH!X117)</f>
        <v>0.53731343283582089</v>
      </c>
      <c r="AQ117" s="345" t="str">
        <f>IF(coder1_YH!Y117="",AQ116,coder1_YH!Y117)</f>
        <v>NA</v>
      </c>
      <c r="AR117">
        <f>coder1_YH!AB117</f>
        <v>0</v>
      </c>
      <c r="AS117" s="345" t="str">
        <f>IF(coder1_YH!AC117 = "", AS116,IF(coder1_YH!AC117="BAU","BAU",LEFT(coder1_YH!AC117)))</f>
        <v>0</v>
      </c>
      <c r="AT117" s="345" t="str">
        <f>IF(coder1_YH!AD117 = "", AT116,IF(coder1_YH!AD117="BAU","BAU",LEFT(coder1_YH!AD117)))</f>
        <v>0</v>
      </c>
      <c r="AU117" s="345" t="str">
        <f>IF(coder1_YH!AE117 = "", AU116,IF(coder1_YH!AE117="BAU","BAU",LEFT(coder1_YH!AE117)))</f>
        <v>1</v>
      </c>
      <c r="AV117" s="345" t="str">
        <f>IF(coder1_YH!AF117="",AV116,coder1_YH!AF117)</f>
        <v>NA</v>
      </c>
      <c r="AW117" s="345" t="str">
        <f t="shared" si="37"/>
        <v>NA</v>
      </c>
      <c r="AX117" s="345" t="str">
        <f>IF(coder1_YH!AG117="",AX116,coder1_YH!AG117)</f>
        <v>one academic year</v>
      </c>
      <c r="AY117" s="345" t="str">
        <f>IF(coder1_YH!AH117="",AY116,coder1_YH!AH117)</f>
        <v>NA</v>
      </c>
      <c r="AZ117" s="345" t="str">
        <f>IF(coder1_YH!AI117 = "", AZ116, IF(coder1_YH!AI117="BAU","BAU",LEFT(coder1_YH!AI117)))</f>
        <v>1</v>
      </c>
      <c r="BA117" s="384">
        <f>clean_data!Y117</f>
        <v>33</v>
      </c>
    </row>
    <row r="118" spans="1:53" x14ac:dyDescent="0.2">
      <c r="A118">
        <f>coder1_YH!B118</f>
        <v>0</v>
      </c>
      <c r="B118">
        <f>coder1_YH!C118</f>
        <v>118</v>
      </c>
      <c r="C118">
        <f>coder1_YH!D118</f>
        <v>0</v>
      </c>
      <c r="D118" t="str">
        <f>coder1_YH!E118</f>
        <v/>
      </c>
      <c r="E118" t="str">
        <f>coder1_YH!F118</f>
        <v/>
      </c>
      <c r="F118" s="321" t="str">
        <f>IF(coder1_YH!G118="", clean_mod!F117, coder1_YH!G118)</f>
        <v>Guthrie et al. 1999</v>
      </c>
      <c r="G118" s="321" t="str">
        <f t="shared" si="20"/>
        <v>125</v>
      </c>
      <c r="H118" s="321">
        <f>IF(coder1_YH!H118="", clean_mod!H117, coder1_YH!H118)</f>
        <v>125.19999999999999</v>
      </c>
      <c r="I118" s="404" t="str">
        <f t="shared" si="21"/>
        <v>1999</v>
      </c>
      <c r="J118" s="344" t="str">
        <f>IF(coder1_YH!I118="",J117,coder1_YH!I118)</f>
        <v>USA</v>
      </c>
      <c r="K118" s="345">
        <f t="shared" si="22"/>
        <v>0</v>
      </c>
      <c r="L118" s="344" t="str">
        <f>IF(coder1_YH!J118 = "",L117, coder1_YH!J118)</f>
        <v>English</v>
      </c>
      <c r="M118" s="345">
        <f t="shared" si="23"/>
        <v>0</v>
      </c>
      <c r="N118" s="345" t="str">
        <f>IF(coder1_YH!K118 = "", N117, LEFT(coder1_YH!K118,1))</f>
        <v>0</v>
      </c>
      <c r="O118" s="345" t="str">
        <f>IF(coder1_YH!L118 = "", O117, LEFT(coder1_YH!L118,1))</f>
        <v>0</v>
      </c>
      <c r="P118" s="345" t="str">
        <f>IF(coder1_YH!M118 = "", P117, LEFT(coder1_YH!M118,1))</f>
        <v>1</v>
      </c>
      <c r="Q118" s="321">
        <f>coder1_YH!P118</f>
        <v>0</v>
      </c>
      <c r="R118" s="321">
        <f>coder1_YH!Q118</f>
        <v>0</v>
      </c>
      <c r="S118" s="323" t="str">
        <f t="shared" si="24"/>
        <v>N</v>
      </c>
      <c r="T118" s="323" t="str">
        <f t="shared" si="25"/>
        <v/>
      </c>
      <c r="U118" s="323" t="str">
        <f t="shared" si="26"/>
        <v/>
      </c>
      <c r="V118" s="323" t="str">
        <f t="shared" si="27"/>
        <v/>
      </c>
      <c r="W118" s="323">
        <f t="shared" si="28"/>
        <v>1</v>
      </c>
      <c r="X118" s="385" t="str">
        <f>IF(coder1_YH!N118 = "",X117,coder1_YH!N118)</f>
        <v>N</v>
      </c>
      <c r="Y118" s="385" t="str">
        <f>IF(coder1_YH!O118 = "",Y117,coder1_YH!O118)</f>
        <v xml:space="preserve">m </v>
      </c>
      <c r="Z118" s="385" t="str">
        <f t="shared" si="29"/>
        <v>M</v>
      </c>
      <c r="AA118" s="385" t="str">
        <f t="shared" si="30"/>
        <v>R</v>
      </c>
      <c r="AB118" s="385" t="str">
        <f t="shared" si="31"/>
        <v>MR</v>
      </c>
      <c r="AC118" s="323" t="str">
        <f t="shared" si="32"/>
        <v xml:space="preserve">Nm </v>
      </c>
      <c r="AD118" s="323" t="str">
        <f t="shared" si="33"/>
        <v>N_R</v>
      </c>
      <c r="AF118" s="369" t="str">
        <f t="shared" si="34"/>
        <v xml:space="preserve">125.2-Nm </v>
      </c>
      <c r="AG118" s="369" t="str">
        <f t="shared" si="35"/>
        <v>125.2-N_R</v>
      </c>
      <c r="AH118" s="344">
        <f>IF(coder1_YH!R118="",AH117,coder1_YH!R118)</f>
        <v>3</v>
      </c>
      <c r="AI118" s="344">
        <f t="shared" si="19"/>
        <v>3</v>
      </c>
      <c r="AJ118" s="345">
        <f t="shared" si="36"/>
        <v>0</v>
      </c>
      <c r="AK118" s="408">
        <f>IF(coder1_YH!S118="",AK117,coder1_YH!S118)</f>
        <v>8.5</v>
      </c>
      <c r="AL118" s="345">
        <f>IF(coder1_YH!T118="",AL117,IF(coder1_YH!T118="mixed",0.25,coder1_YH!T118))</f>
        <v>0.25</v>
      </c>
      <c r="AM118" s="345" t="str">
        <f>IF(coder1_YH!U118 = "", AM117, IF(coder1_YH!U118="mixed","NA",coder1_YH!U118))</f>
        <v>NA</v>
      </c>
      <c r="AN118" s="345" t="str">
        <f>IF(coder1_YH!V118="",AN117,coder1_YH!V118)</f>
        <v>NA</v>
      </c>
      <c r="AO118" s="345" t="str">
        <f>IF(coder1_YH!W118="",AO117,coder1_YH!W118)</f>
        <v>NA</v>
      </c>
      <c r="AP118" s="345">
        <f>IF(coder1_YH!X118="",AP117,coder1_YH!X118)</f>
        <v>0.53731343283582089</v>
      </c>
      <c r="AQ118" s="345" t="str">
        <f>IF(coder1_YH!Y118="",AQ117,coder1_YH!Y118)</f>
        <v>NA</v>
      </c>
      <c r="AR118">
        <f>coder1_YH!AB118</f>
        <v>0</v>
      </c>
      <c r="AS118" s="345" t="str">
        <f>IF(coder1_YH!AC118 = "", AS117,IF(coder1_YH!AC118="BAU","BAU",LEFT(coder1_YH!AC118)))</f>
        <v>0</v>
      </c>
      <c r="AT118" s="345" t="str">
        <f>IF(coder1_YH!AD118 = "", AT117,IF(coder1_YH!AD118="BAU","BAU",LEFT(coder1_YH!AD118)))</f>
        <v>0</v>
      </c>
      <c r="AU118" s="345" t="str">
        <f>IF(coder1_YH!AE118 = "", AU117,IF(coder1_YH!AE118="BAU","BAU",LEFT(coder1_YH!AE118)))</f>
        <v>1</v>
      </c>
      <c r="AV118" s="345" t="str">
        <f>IF(coder1_YH!AF118="",AV117,coder1_YH!AF118)</f>
        <v>NA</v>
      </c>
      <c r="AW118" s="345" t="str">
        <f t="shared" si="37"/>
        <v>NA</v>
      </c>
      <c r="AX118" s="345" t="str">
        <f>IF(coder1_YH!AG118="",AX117,coder1_YH!AG118)</f>
        <v>one academic year</v>
      </c>
      <c r="AY118" s="345" t="str">
        <f>IF(coder1_YH!AH118="",AY117,coder1_YH!AH118)</f>
        <v>NA</v>
      </c>
      <c r="AZ118" s="345" t="str">
        <f>IF(coder1_YH!AI118 = "", AZ117, IF(coder1_YH!AI118="BAU","BAU",LEFT(coder1_YH!AI118)))</f>
        <v>1</v>
      </c>
      <c r="BA118" s="384" t="str">
        <f>clean_data!Y118</f>
        <v>NA</v>
      </c>
    </row>
    <row r="119" spans="1:53" x14ac:dyDescent="0.2">
      <c r="A119">
        <f>coder1_YH!B119</f>
        <v>0</v>
      </c>
      <c r="B119">
        <f>coder1_YH!C119</f>
        <v>119</v>
      </c>
      <c r="C119">
        <f>coder1_YH!D119</f>
        <v>0</v>
      </c>
      <c r="D119" t="str">
        <f>coder1_YH!E119</f>
        <v/>
      </c>
      <c r="E119" t="b">
        <f>coder1_YH!F119</f>
        <v>1</v>
      </c>
      <c r="F119" s="321" t="str">
        <f>IF(coder1_YH!G119="", clean_mod!F118, coder1_YH!G119)</f>
        <v>Guthrie et al. 1999</v>
      </c>
      <c r="G119" s="321" t="str">
        <f t="shared" si="20"/>
        <v>125</v>
      </c>
      <c r="H119" s="321">
        <f>IF(coder1_YH!H119="", clean_mod!H118, coder1_YH!H119)</f>
        <v>125.19999999999999</v>
      </c>
      <c r="I119" s="404" t="str">
        <f t="shared" si="21"/>
        <v>1999</v>
      </c>
      <c r="J119" s="344" t="str">
        <f>IF(coder1_YH!I119="",J118,coder1_YH!I119)</f>
        <v>USA</v>
      </c>
      <c r="K119" s="345">
        <f t="shared" si="22"/>
        <v>0</v>
      </c>
      <c r="L119" s="344" t="str">
        <f>IF(coder1_YH!J119 = "",L118, coder1_YH!J119)</f>
        <v>English</v>
      </c>
      <c r="M119" s="345">
        <f t="shared" si="23"/>
        <v>0</v>
      </c>
      <c r="N119" s="345" t="str">
        <f>IF(coder1_YH!K119 = "", N118, LEFT(coder1_YH!K119,1))</f>
        <v>0</v>
      </c>
      <c r="O119" s="345" t="str">
        <f>IF(coder1_YH!L119 = "", O118, LEFT(coder1_YH!L119,1))</f>
        <v>0</v>
      </c>
      <c r="P119" s="345" t="str">
        <f>IF(coder1_YH!M119 = "", P118, LEFT(coder1_YH!M119,1))</f>
        <v>1</v>
      </c>
      <c r="Q119" s="321" t="str">
        <f>coder1_YH!P119</f>
        <v>ctl</v>
      </c>
      <c r="R119" s="321" t="str">
        <f>coder1_YH!Q119</f>
        <v>TI,Grade 3,Volcano</v>
      </c>
      <c r="S119" s="323" t="str">
        <f t="shared" si="24"/>
        <v/>
      </c>
      <c r="T119" s="323" t="str">
        <f t="shared" si="25"/>
        <v/>
      </c>
      <c r="U119" s="323" t="str">
        <f t="shared" si="26"/>
        <v/>
      </c>
      <c r="V119" s="323" t="str">
        <f t="shared" si="27"/>
        <v/>
      </c>
      <c r="W119" s="323">
        <f t="shared" si="28"/>
        <v>0</v>
      </c>
      <c r="X119" s="385" t="str">
        <f>IF(coder1_YH!N119 = "",X118,coder1_YH!N119)</f>
        <v>.</v>
      </c>
      <c r="Y119" s="385" t="str">
        <f>IF(coder1_YH!O119 = "",Y118,coder1_YH!O119)</f>
        <v xml:space="preserve">m </v>
      </c>
      <c r="Z119" s="385" t="str">
        <f t="shared" si="29"/>
        <v/>
      </c>
      <c r="AA119" s="385" t="str">
        <f t="shared" si="30"/>
        <v>R</v>
      </c>
      <c r="AB119" s="385" t="str">
        <f t="shared" si="31"/>
        <v>R</v>
      </c>
      <c r="AC119" s="323" t="str">
        <f t="shared" si="32"/>
        <v xml:space="preserve">.m </v>
      </c>
      <c r="AD119" s="323" t="str">
        <f t="shared" si="33"/>
        <v>R</v>
      </c>
      <c r="AF119" s="369" t="str">
        <f t="shared" si="34"/>
        <v xml:space="preserve">125.2-.m </v>
      </c>
      <c r="AG119" s="369" t="str">
        <f t="shared" si="35"/>
        <v>125.2-R</v>
      </c>
      <c r="AH119" s="344">
        <f>IF(coder1_YH!R119="",AH118,coder1_YH!R119)</f>
        <v>3</v>
      </c>
      <c r="AI119" s="344">
        <f t="shared" si="19"/>
        <v>3</v>
      </c>
      <c r="AJ119" s="345">
        <f t="shared" si="36"/>
        <v>0</v>
      </c>
      <c r="AK119" s="408">
        <f>IF(coder1_YH!S119="",AK118,coder1_YH!S119)</f>
        <v>8.5</v>
      </c>
      <c r="AL119" s="345">
        <f>IF(coder1_YH!T119="",AL118,IF(coder1_YH!T119="mixed",0.25,coder1_YH!T119))</f>
        <v>0.25</v>
      </c>
      <c r="AM119" s="345" t="str">
        <f>IF(coder1_YH!U119 = "", AM118, IF(coder1_YH!U119="mixed","NA",coder1_YH!U119))</f>
        <v>NA</v>
      </c>
      <c r="AN119" s="345" t="str">
        <f>IF(coder1_YH!V119="",AN118,coder1_YH!V119)</f>
        <v>NA</v>
      </c>
      <c r="AO119" s="345" t="str">
        <f>IF(coder1_YH!W119="",AO118,coder1_YH!W119)</f>
        <v>NA</v>
      </c>
      <c r="AP119" s="345">
        <f>IF(coder1_YH!X119="",AP118,coder1_YH!X119)</f>
        <v>0.5757575757575758</v>
      </c>
      <c r="AQ119" s="345" t="str">
        <f>IF(coder1_YH!Y119="",AQ118,coder1_YH!Y119)</f>
        <v>NA</v>
      </c>
      <c r="AR119" t="str">
        <f>coder1_YH!AB119</f>
        <v>1 = Published/Commercially available curriculum</v>
      </c>
      <c r="AS119" s="345" t="str">
        <f>IF(coder1_YH!AC119 = "", AS118,IF(coder1_YH!AC119="BAU","BAU",LEFT(coder1_YH!AC119)))</f>
        <v>0</v>
      </c>
      <c r="AT119" s="345" t="str">
        <f>IF(coder1_YH!AD119 = "", AT118,IF(coder1_YH!AD119="BAU","BAU",LEFT(coder1_YH!AD119)))</f>
        <v>0</v>
      </c>
      <c r="AU119" s="345" t="str">
        <f>IF(coder1_YH!AE119 = "", AU118,IF(coder1_YH!AE119="BAU","BAU",LEFT(coder1_YH!AE119)))</f>
        <v>1</v>
      </c>
      <c r="AV119" s="345" t="str">
        <f>IF(coder1_YH!AF119="",AV118,coder1_YH!AF119)</f>
        <v>BAU</v>
      </c>
      <c r="AW119" s="345" t="str">
        <f t="shared" si="37"/>
        <v>BAU</v>
      </c>
      <c r="AX119" s="345" t="str">
        <f>IF(coder1_YH!AG119="",AX118,coder1_YH!AG119)</f>
        <v>BAU</v>
      </c>
      <c r="AY119" s="345" t="str">
        <f>IF(coder1_YH!AH119="",AY118,coder1_YH!AH119)</f>
        <v>BAU</v>
      </c>
      <c r="AZ119" s="345" t="str">
        <f>IF(coder1_YH!AI119 = "", AZ118, IF(coder1_YH!AI119="BAU","BAU",LEFT(coder1_YH!AI119)))</f>
        <v>BAU</v>
      </c>
      <c r="BA119" s="384">
        <f>clean_data!Y119</f>
        <v>27</v>
      </c>
    </row>
    <row r="120" spans="1:53" x14ac:dyDescent="0.2">
      <c r="A120">
        <f>coder1_YH!B120</f>
        <v>0</v>
      </c>
      <c r="B120">
        <f>coder1_YH!C120</f>
        <v>120</v>
      </c>
      <c r="C120">
        <f>coder1_YH!D120</f>
        <v>0</v>
      </c>
      <c r="D120" t="str">
        <f>coder1_YH!E120</f>
        <v/>
      </c>
      <c r="E120" t="str">
        <f>coder1_YH!F120</f>
        <v/>
      </c>
      <c r="F120" s="321" t="str">
        <f>IF(coder1_YH!G120="", clean_mod!F119, coder1_YH!G120)</f>
        <v>Guthrie et al. 1999</v>
      </c>
      <c r="G120" s="321" t="str">
        <f t="shared" si="20"/>
        <v>125</v>
      </c>
      <c r="H120" s="321">
        <f>IF(coder1_YH!H120="", clean_mod!H119, coder1_YH!H120)</f>
        <v>125.19999999999999</v>
      </c>
      <c r="I120" s="404" t="str">
        <f t="shared" si="21"/>
        <v>1999</v>
      </c>
      <c r="J120" s="344" t="str">
        <f>IF(coder1_YH!I120="",J119,coder1_YH!I120)</f>
        <v>USA</v>
      </c>
      <c r="K120" s="345">
        <f t="shared" si="22"/>
        <v>0</v>
      </c>
      <c r="L120" s="344" t="str">
        <f>IF(coder1_YH!J120 = "",L119, coder1_YH!J120)</f>
        <v>English</v>
      </c>
      <c r="M120" s="345">
        <f t="shared" si="23"/>
        <v>0</v>
      </c>
      <c r="N120" s="345" t="str">
        <f>IF(coder1_YH!K120 = "", N119, LEFT(coder1_YH!K120,1))</f>
        <v>0</v>
      </c>
      <c r="O120" s="345" t="str">
        <f>IF(coder1_YH!L120 = "", O119, LEFT(coder1_YH!L120,1))</f>
        <v>0</v>
      </c>
      <c r="P120" s="345" t="str">
        <f>IF(coder1_YH!M120 = "", P119, LEFT(coder1_YH!M120,1))</f>
        <v>1</v>
      </c>
      <c r="Q120" s="321">
        <f>coder1_YH!P120</f>
        <v>0</v>
      </c>
      <c r="R120" s="321">
        <f>coder1_YH!Q120</f>
        <v>0</v>
      </c>
      <c r="S120" s="323" t="str">
        <f t="shared" si="24"/>
        <v/>
      </c>
      <c r="T120" s="323" t="str">
        <f t="shared" si="25"/>
        <v/>
      </c>
      <c r="U120" s="323" t="str">
        <f t="shared" si="26"/>
        <v/>
      </c>
      <c r="V120" s="323" t="str">
        <f t="shared" si="27"/>
        <v/>
      </c>
      <c r="W120" s="323">
        <f t="shared" si="28"/>
        <v>0</v>
      </c>
      <c r="X120" s="385" t="str">
        <f>IF(coder1_YH!N120 = "",X119,coder1_YH!N120)</f>
        <v>.</v>
      </c>
      <c r="Y120" s="385" t="str">
        <f>IF(coder1_YH!O120 = "",Y119,coder1_YH!O120)</f>
        <v xml:space="preserve">m </v>
      </c>
      <c r="Z120" s="385" t="str">
        <f t="shared" si="29"/>
        <v/>
      </c>
      <c r="AA120" s="385" t="str">
        <f t="shared" si="30"/>
        <v>R</v>
      </c>
      <c r="AB120" s="385" t="str">
        <f t="shared" si="31"/>
        <v>R</v>
      </c>
      <c r="AC120" s="323" t="str">
        <f t="shared" si="32"/>
        <v xml:space="preserve">.m </v>
      </c>
      <c r="AD120" s="323" t="str">
        <f t="shared" si="33"/>
        <v>R</v>
      </c>
      <c r="AF120" s="369" t="str">
        <f t="shared" si="34"/>
        <v xml:space="preserve">125.2-.m </v>
      </c>
      <c r="AG120" s="369" t="str">
        <f t="shared" si="35"/>
        <v>125.2-R</v>
      </c>
      <c r="AH120" s="344">
        <f>IF(coder1_YH!R120="",AH119,coder1_YH!R120)</f>
        <v>3</v>
      </c>
      <c r="AI120" s="344">
        <f t="shared" si="19"/>
        <v>3</v>
      </c>
      <c r="AJ120" s="345">
        <f t="shared" si="36"/>
        <v>0</v>
      </c>
      <c r="AK120" s="408">
        <f>IF(coder1_YH!S120="",AK119,coder1_YH!S120)</f>
        <v>8.5</v>
      </c>
      <c r="AL120" s="345">
        <f>IF(coder1_YH!T120="",AL119,IF(coder1_YH!T120="mixed",0.25,coder1_YH!T120))</f>
        <v>0.25</v>
      </c>
      <c r="AM120" s="345" t="str">
        <f>IF(coder1_YH!U120 = "", AM119, IF(coder1_YH!U120="mixed","NA",coder1_YH!U120))</f>
        <v>NA</v>
      </c>
      <c r="AN120" s="345" t="str">
        <f>IF(coder1_YH!V120="",AN119,coder1_YH!V120)</f>
        <v>NA</v>
      </c>
      <c r="AO120" s="345" t="str">
        <f>IF(coder1_YH!W120="",AO119,coder1_YH!W120)</f>
        <v>NA</v>
      </c>
      <c r="AP120" s="345">
        <f>IF(coder1_YH!X120="",AP119,coder1_YH!X120)</f>
        <v>0.5757575757575758</v>
      </c>
      <c r="AQ120" s="345" t="str">
        <f>IF(coder1_YH!Y120="",AQ119,coder1_YH!Y120)</f>
        <v>NA</v>
      </c>
      <c r="AR120">
        <f>coder1_YH!AB120</f>
        <v>0</v>
      </c>
      <c r="AS120" s="345" t="str">
        <f>IF(coder1_YH!AC120 = "", AS119,IF(coder1_YH!AC120="BAU","BAU",LEFT(coder1_YH!AC120)))</f>
        <v>0</v>
      </c>
      <c r="AT120" s="345" t="str">
        <f>IF(coder1_YH!AD120 = "", AT119,IF(coder1_YH!AD120="BAU","BAU",LEFT(coder1_YH!AD120)))</f>
        <v>0</v>
      </c>
      <c r="AU120" s="345" t="str">
        <f>IF(coder1_YH!AE120 = "", AU119,IF(coder1_YH!AE120="BAU","BAU",LEFT(coder1_YH!AE120)))</f>
        <v>1</v>
      </c>
      <c r="AV120" s="345" t="str">
        <f>IF(coder1_YH!AF120="",AV119,coder1_YH!AF120)</f>
        <v>BAU</v>
      </c>
      <c r="AW120" s="345" t="str">
        <f t="shared" si="37"/>
        <v>BAU</v>
      </c>
      <c r="AX120" s="345" t="str">
        <f>IF(coder1_YH!AG120="",AX119,coder1_YH!AG120)</f>
        <v>BAU</v>
      </c>
      <c r="AY120" s="345" t="str">
        <f>IF(coder1_YH!AH120="",AY119,coder1_YH!AH120)</f>
        <v>BAU</v>
      </c>
      <c r="AZ120" s="345" t="str">
        <f>IF(coder1_YH!AI120 = "", AZ119, IF(coder1_YH!AI120="BAU","BAU",LEFT(coder1_YH!AI120)))</f>
        <v>BAU</v>
      </c>
      <c r="BA120" s="384">
        <f>clean_data!Y120</f>
        <v>27</v>
      </c>
    </row>
    <row r="121" spans="1:53" x14ac:dyDescent="0.2">
      <c r="A121">
        <f>coder1_YH!B121</f>
        <v>0</v>
      </c>
      <c r="B121">
        <f>coder1_YH!C121</f>
        <v>121</v>
      </c>
      <c r="C121">
        <f>coder1_YH!D121</f>
        <v>0</v>
      </c>
      <c r="D121" t="str">
        <f>coder1_YH!E121</f>
        <v/>
      </c>
      <c r="E121" t="str">
        <f>coder1_YH!F121</f>
        <v/>
      </c>
      <c r="F121" s="321" t="str">
        <f>IF(coder1_YH!G121="", clean_mod!F120, coder1_YH!G121)</f>
        <v>Guthrie et al. 1999</v>
      </c>
      <c r="G121" s="321" t="str">
        <f t="shared" si="20"/>
        <v>125</v>
      </c>
      <c r="H121" s="321">
        <f>IF(coder1_YH!H121="", clean_mod!H120, coder1_YH!H121)</f>
        <v>125.19999999999999</v>
      </c>
      <c r="I121" s="404" t="str">
        <f t="shared" si="21"/>
        <v>1999</v>
      </c>
      <c r="J121" s="344" t="str">
        <f>IF(coder1_YH!I121="",J120,coder1_YH!I121)</f>
        <v>USA</v>
      </c>
      <c r="K121" s="345">
        <f t="shared" si="22"/>
        <v>0</v>
      </c>
      <c r="L121" s="344" t="str">
        <f>IF(coder1_YH!J121 = "",L120, coder1_YH!J121)</f>
        <v>English</v>
      </c>
      <c r="M121" s="345">
        <f t="shared" si="23"/>
        <v>0</v>
      </c>
      <c r="N121" s="345" t="str">
        <f>IF(coder1_YH!K121 = "", N120, LEFT(coder1_YH!K121,1))</f>
        <v>0</v>
      </c>
      <c r="O121" s="345" t="str">
        <f>IF(coder1_YH!L121 = "", O120, LEFT(coder1_YH!L121,1))</f>
        <v>0</v>
      </c>
      <c r="P121" s="345" t="str">
        <f>IF(coder1_YH!M121 = "", P120, LEFT(coder1_YH!M121,1))</f>
        <v>1</v>
      </c>
      <c r="Q121" s="321">
        <f>coder1_YH!P121</f>
        <v>0</v>
      </c>
      <c r="R121" s="321">
        <f>coder1_YH!Q121</f>
        <v>0</v>
      </c>
      <c r="S121" s="323" t="str">
        <f t="shared" si="24"/>
        <v/>
      </c>
      <c r="T121" s="323" t="str">
        <f t="shared" si="25"/>
        <v/>
      </c>
      <c r="U121" s="323" t="str">
        <f t="shared" si="26"/>
        <v/>
      </c>
      <c r="V121" s="323" t="str">
        <f t="shared" si="27"/>
        <v/>
      </c>
      <c r="W121" s="323">
        <f t="shared" si="28"/>
        <v>0</v>
      </c>
      <c r="X121" s="385" t="str">
        <f>IF(coder1_YH!N121 = "",X120,coder1_YH!N121)</f>
        <v>.</v>
      </c>
      <c r="Y121" s="385" t="str">
        <f>IF(coder1_YH!O121 = "",Y120,coder1_YH!O121)</f>
        <v xml:space="preserve">m </v>
      </c>
      <c r="Z121" s="385" t="str">
        <f t="shared" si="29"/>
        <v/>
      </c>
      <c r="AA121" s="385" t="str">
        <f t="shared" si="30"/>
        <v>R</v>
      </c>
      <c r="AB121" s="385" t="str">
        <f t="shared" si="31"/>
        <v>R</v>
      </c>
      <c r="AC121" s="323" t="str">
        <f t="shared" si="32"/>
        <v xml:space="preserve">.m </v>
      </c>
      <c r="AD121" s="323" t="str">
        <f t="shared" si="33"/>
        <v>R</v>
      </c>
      <c r="AF121" s="369" t="str">
        <f t="shared" si="34"/>
        <v xml:space="preserve">125.2-.m </v>
      </c>
      <c r="AG121" s="369" t="str">
        <f t="shared" si="35"/>
        <v>125.2-R</v>
      </c>
      <c r="AH121" s="344">
        <f>IF(coder1_YH!R121="",AH120,coder1_YH!R121)</f>
        <v>3</v>
      </c>
      <c r="AI121" s="344">
        <f t="shared" si="19"/>
        <v>3</v>
      </c>
      <c r="AJ121" s="345">
        <f t="shared" si="36"/>
        <v>0</v>
      </c>
      <c r="AK121" s="408">
        <f>IF(coder1_YH!S121="",AK120,coder1_YH!S121)</f>
        <v>8.5</v>
      </c>
      <c r="AL121" s="345">
        <f>IF(coder1_YH!T121="",AL120,IF(coder1_YH!T121="mixed",0.25,coder1_YH!T121))</f>
        <v>0.25</v>
      </c>
      <c r="AM121" s="345" t="str">
        <f>IF(coder1_YH!U121 = "", AM120, IF(coder1_YH!U121="mixed","NA",coder1_YH!U121))</f>
        <v>NA</v>
      </c>
      <c r="AN121" s="345" t="str">
        <f>IF(coder1_YH!V121="",AN120,coder1_YH!V121)</f>
        <v>NA</v>
      </c>
      <c r="AO121" s="345" t="str">
        <f>IF(coder1_YH!W121="",AO120,coder1_YH!W121)</f>
        <v>NA</v>
      </c>
      <c r="AP121" s="345">
        <f>IF(coder1_YH!X121="",AP120,coder1_YH!X121)</f>
        <v>0.5757575757575758</v>
      </c>
      <c r="AQ121" s="345" t="str">
        <f>IF(coder1_YH!Y121="",AQ120,coder1_YH!Y121)</f>
        <v>NA</v>
      </c>
      <c r="AR121">
        <f>coder1_YH!AB121</f>
        <v>0</v>
      </c>
      <c r="AS121" s="345" t="str">
        <f>IF(coder1_YH!AC121 = "", AS120,IF(coder1_YH!AC121="BAU","BAU",LEFT(coder1_YH!AC121)))</f>
        <v>0</v>
      </c>
      <c r="AT121" s="345" t="str">
        <f>IF(coder1_YH!AD121 = "", AT120,IF(coder1_YH!AD121="BAU","BAU",LEFT(coder1_YH!AD121)))</f>
        <v>0</v>
      </c>
      <c r="AU121" s="345" t="str">
        <f>IF(coder1_YH!AE121 = "", AU120,IF(coder1_YH!AE121="BAU","BAU",LEFT(coder1_YH!AE121)))</f>
        <v>1</v>
      </c>
      <c r="AV121" s="345" t="str">
        <f>IF(coder1_YH!AF121="",AV120,coder1_YH!AF121)</f>
        <v>BAU</v>
      </c>
      <c r="AW121" s="345" t="str">
        <f t="shared" si="37"/>
        <v>BAU</v>
      </c>
      <c r="AX121" s="345" t="str">
        <f>IF(coder1_YH!AG121="",AX120,coder1_YH!AG121)</f>
        <v>BAU</v>
      </c>
      <c r="AY121" s="345" t="str">
        <f>IF(coder1_YH!AH121="",AY120,coder1_YH!AH121)</f>
        <v>BAU</v>
      </c>
      <c r="AZ121" s="345" t="str">
        <f>IF(coder1_YH!AI121 = "", AZ120, IF(coder1_YH!AI121="BAU","BAU",LEFT(coder1_YH!AI121)))</f>
        <v>BAU</v>
      </c>
      <c r="BA121" s="384" t="str">
        <f>clean_data!Y121</f>
        <v>NA</v>
      </c>
    </row>
    <row r="122" spans="1:53" x14ac:dyDescent="0.2">
      <c r="A122">
        <f>coder1_YH!B122</f>
        <v>0</v>
      </c>
      <c r="B122">
        <f>coder1_YH!C122</f>
        <v>122</v>
      </c>
      <c r="C122">
        <f>coder1_YH!D122</f>
        <v>0</v>
      </c>
      <c r="D122" t="b">
        <f>coder1_YH!E122</f>
        <v>1</v>
      </c>
      <c r="E122" t="b">
        <f>coder1_YH!F122</f>
        <v>1</v>
      </c>
      <c r="F122" s="321" t="str">
        <f>IF(coder1_YH!G122="", clean_mod!F121, coder1_YH!G122)</f>
        <v>Guthrie et al. 1999</v>
      </c>
      <c r="G122" s="321" t="str">
        <f t="shared" si="20"/>
        <v>125</v>
      </c>
      <c r="H122" s="321">
        <f>IF(coder1_YH!H122="", clean_mod!H121, coder1_YH!H122)</f>
        <v>125.29999999999998</v>
      </c>
      <c r="I122" s="404" t="str">
        <f t="shared" si="21"/>
        <v>1999</v>
      </c>
      <c r="J122" s="344" t="str">
        <f>IF(coder1_YH!I122="",J121,coder1_YH!I122)</f>
        <v>USA</v>
      </c>
      <c r="K122" s="345">
        <f t="shared" si="22"/>
        <v>0</v>
      </c>
      <c r="L122" s="344" t="str">
        <f>IF(coder1_YH!J122 = "",L121, coder1_YH!J122)</f>
        <v>English</v>
      </c>
      <c r="M122" s="345">
        <f t="shared" si="23"/>
        <v>0</v>
      </c>
      <c r="N122" s="345" t="str">
        <f>IF(coder1_YH!K122 = "", N121, LEFT(coder1_YH!K122,1))</f>
        <v>0</v>
      </c>
      <c r="O122" s="345" t="str">
        <f>IF(coder1_YH!L122 = "", O121, LEFT(coder1_YH!L122,1))</f>
        <v>0</v>
      </c>
      <c r="P122" s="345" t="str">
        <f>IF(coder1_YH!M122 = "", P121, LEFT(coder1_YH!M122,1))</f>
        <v>1</v>
      </c>
      <c r="Q122" s="321">
        <f>coder1_YH!P122</f>
        <v>1</v>
      </c>
      <c r="R122" s="321" t="str">
        <f>coder1_YH!Q122</f>
        <v>CORI,Grade 5,Pond</v>
      </c>
      <c r="S122" s="323" t="str">
        <f t="shared" si="24"/>
        <v>N</v>
      </c>
      <c r="T122" s="323" t="str">
        <f t="shared" si="25"/>
        <v/>
      </c>
      <c r="U122" s="323" t="str">
        <f t="shared" si="26"/>
        <v/>
      </c>
      <c r="V122" s="323" t="str">
        <f t="shared" si="27"/>
        <v/>
      </c>
      <c r="W122" s="323">
        <f t="shared" si="28"/>
        <v>1</v>
      </c>
      <c r="X122" s="385" t="str">
        <f>IF(coder1_YH!N122 = "",X121,coder1_YH!N122)</f>
        <v>N</v>
      </c>
      <c r="Y122" s="385" t="str">
        <f>IF(coder1_YH!O122 = "",Y121,coder1_YH!O122)</f>
        <v xml:space="preserve">m </v>
      </c>
      <c r="Z122" s="385" t="str">
        <f t="shared" si="29"/>
        <v>M</v>
      </c>
      <c r="AA122" s="385" t="str">
        <f t="shared" si="30"/>
        <v>R</v>
      </c>
      <c r="AB122" s="385" t="str">
        <f t="shared" si="31"/>
        <v>MR</v>
      </c>
      <c r="AC122" s="323" t="str">
        <f t="shared" si="32"/>
        <v xml:space="preserve">Nm </v>
      </c>
      <c r="AD122" s="323" t="str">
        <f t="shared" si="33"/>
        <v>N_R</v>
      </c>
      <c r="AE122" s="323">
        <f>IF(Y122="cm", 1,0)</f>
        <v>0</v>
      </c>
      <c r="AF122" s="369" t="str">
        <f t="shared" si="34"/>
        <v xml:space="preserve">125.3-Nm </v>
      </c>
      <c r="AG122" s="369" t="str">
        <f t="shared" si="35"/>
        <v>125.3-N_R</v>
      </c>
      <c r="AH122" s="344">
        <f>IF(coder1_YH!R122="",AH121,coder1_YH!R122)</f>
        <v>5</v>
      </c>
      <c r="AI122" s="344">
        <f t="shared" si="19"/>
        <v>5</v>
      </c>
      <c r="AJ122" s="345">
        <f t="shared" si="36"/>
        <v>0</v>
      </c>
      <c r="AK122" s="408">
        <f>IF(coder1_YH!S122="",AK121,coder1_YH!S122)</f>
        <v>10.5</v>
      </c>
      <c r="AL122" s="345">
        <f>IF(coder1_YH!T122="",AL121,IF(coder1_YH!T122="mixed",0.25,coder1_YH!T122))</f>
        <v>0.25</v>
      </c>
      <c r="AM122" s="345" t="str">
        <f>IF(coder1_YH!U122 = "", AM121, IF(coder1_YH!U122="mixed","NA",coder1_YH!U122))</f>
        <v>NA</v>
      </c>
      <c r="AN122" s="345" t="str">
        <f>IF(coder1_YH!V122="",AN121,coder1_YH!V122)</f>
        <v>NA</v>
      </c>
      <c r="AO122" s="345" t="str">
        <f>IF(coder1_YH!W122="",AO121,coder1_YH!W122)</f>
        <v>NA</v>
      </c>
      <c r="AP122" s="345">
        <f>IF(coder1_YH!X122="",AP121,coder1_YH!X122)</f>
        <v>0.58490566037735847</v>
      </c>
      <c r="AQ122" s="345" t="str">
        <f>IF(coder1_YH!Y122="",AQ121,coder1_YH!Y122)</f>
        <v>NA</v>
      </c>
      <c r="AR122" t="str">
        <f>coder1_YH!AB122</f>
        <v>0 = Researcher-developed/adapted curriculum</v>
      </c>
      <c r="AS122" s="345" t="str">
        <f>IF(coder1_YH!AC122 = "", AS121,IF(coder1_YH!AC122="BAU","BAU",LEFT(coder1_YH!AC122)))</f>
        <v>0</v>
      </c>
      <c r="AT122" s="345" t="str">
        <f>IF(coder1_YH!AD122 = "", AT121,IF(coder1_YH!AD122="BAU","BAU",LEFT(coder1_YH!AD122)))</f>
        <v>0</v>
      </c>
      <c r="AU122" s="345" t="str">
        <f>IF(coder1_YH!AE122 = "", AU121,IF(coder1_YH!AE122="BAU","BAU",LEFT(coder1_YH!AE122)))</f>
        <v>1</v>
      </c>
      <c r="AV122" s="345" t="str">
        <f>IF(coder1_YH!AF122="",AV121,coder1_YH!AF122)</f>
        <v>NA</v>
      </c>
      <c r="AW122" s="345" t="str">
        <f t="shared" si="37"/>
        <v>NA</v>
      </c>
      <c r="AX122" s="345" t="str">
        <f>IF(coder1_YH!AG122="",AX121,coder1_YH!AG122)</f>
        <v>one academic year</v>
      </c>
      <c r="AY122" s="345" t="str">
        <f>IF(coder1_YH!AH122="",AY121,coder1_YH!AH122)</f>
        <v>NA</v>
      </c>
      <c r="AZ122" s="345" t="str">
        <f>IF(coder1_YH!AI122 = "", AZ121, IF(coder1_YH!AI122="BAU","BAU",LEFT(coder1_YH!AI122)))</f>
        <v>1</v>
      </c>
      <c r="BA122" s="384">
        <f>clean_data!Y122</f>
        <v>23</v>
      </c>
    </row>
    <row r="123" spans="1:53" x14ac:dyDescent="0.2">
      <c r="A123">
        <f>coder1_YH!B123</f>
        <v>0</v>
      </c>
      <c r="B123">
        <f>coder1_YH!C123</f>
        <v>123</v>
      </c>
      <c r="C123">
        <f>coder1_YH!D123</f>
        <v>0</v>
      </c>
      <c r="D123" t="str">
        <f>coder1_YH!E123</f>
        <v/>
      </c>
      <c r="E123" t="str">
        <f>coder1_YH!F123</f>
        <v/>
      </c>
      <c r="F123" s="321" t="str">
        <f>IF(coder1_YH!G123="", clean_mod!F122, coder1_YH!G123)</f>
        <v>Guthrie et al. 1999</v>
      </c>
      <c r="G123" s="321" t="str">
        <f t="shared" si="20"/>
        <v>125</v>
      </c>
      <c r="H123" s="321">
        <f>IF(coder1_YH!H123="", clean_mod!H122, coder1_YH!H123)</f>
        <v>125.29999999999998</v>
      </c>
      <c r="I123" s="404" t="str">
        <f t="shared" si="21"/>
        <v>1999</v>
      </c>
      <c r="J123" s="344" t="str">
        <f>IF(coder1_YH!I123="",J122,coder1_YH!I123)</f>
        <v>USA</v>
      </c>
      <c r="K123" s="345">
        <f t="shared" si="22"/>
        <v>0</v>
      </c>
      <c r="L123" s="344" t="str">
        <f>IF(coder1_YH!J123 = "",L122, coder1_YH!J123)</f>
        <v>English</v>
      </c>
      <c r="M123" s="345">
        <f t="shared" si="23"/>
        <v>0</v>
      </c>
      <c r="N123" s="345" t="str">
        <f>IF(coder1_YH!K123 = "", N122, LEFT(coder1_YH!K123,1))</f>
        <v>0</v>
      </c>
      <c r="O123" s="345" t="str">
        <f>IF(coder1_YH!L123 = "", O122, LEFT(coder1_YH!L123,1))</f>
        <v>0</v>
      </c>
      <c r="P123" s="345" t="str">
        <f>IF(coder1_YH!M123 = "", P122, LEFT(coder1_YH!M123,1))</f>
        <v>1</v>
      </c>
      <c r="Q123" s="321">
        <f>coder1_YH!P123</f>
        <v>0</v>
      </c>
      <c r="R123" s="321">
        <f>coder1_YH!Q123</f>
        <v>0</v>
      </c>
      <c r="S123" s="323" t="str">
        <f t="shared" si="24"/>
        <v>N</v>
      </c>
      <c r="T123" s="323" t="str">
        <f t="shared" si="25"/>
        <v/>
      </c>
      <c r="U123" s="323" t="str">
        <f t="shared" si="26"/>
        <v/>
      </c>
      <c r="V123" s="323" t="str">
        <f t="shared" si="27"/>
        <v/>
      </c>
      <c r="W123" s="323">
        <f t="shared" si="28"/>
        <v>1</v>
      </c>
      <c r="X123" s="385" t="str">
        <f>IF(coder1_YH!N123 = "",X122,coder1_YH!N123)</f>
        <v>N</v>
      </c>
      <c r="Y123" s="385" t="str">
        <f>IF(coder1_YH!O123 = "",Y122,coder1_YH!O123)</f>
        <v xml:space="preserve">m </v>
      </c>
      <c r="Z123" s="385" t="str">
        <f t="shared" si="29"/>
        <v>M</v>
      </c>
      <c r="AA123" s="385" t="str">
        <f t="shared" si="30"/>
        <v>R</v>
      </c>
      <c r="AB123" s="385" t="str">
        <f t="shared" si="31"/>
        <v>MR</v>
      </c>
      <c r="AC123" s="323" t="str">
        <f t="shared" si="32"/>
        <v xml:space="preserve">Nm </v>
      </c>
      <c r="AD123" s="323" t="str">
        <f t="shared" si="33"/>
        <v>N_R</v>
      </c>
      <c r="AF123" s="369" t="str">
        <f t="shared" si="34"/>
        <v xml:space="preserve">125.3-Nm </v>
      </c>
      <c r="AG123" s="369" t="str">
        <f t="shared" si="35"/>
        <v>125.3-N_R</v>
      </c>
      <c r="AH123" s="344">
        <f>IF(coder1_YH!R123="",AH122,coder1_YH!R123)</f>
        <v>5</v>
      </c>
      <c r="AI123" s="344">
        <f t="shared" si="19"/>
        <v>5</v>
      </c>
      <c r="AJ123" s="345">
        <f t="shared" si="36"/>
        <v>0</v>
      </c>
      <c r="AK123" s="408">
        <f>IF(coder1_YH!S123="",AK122,coder1_YH!S123)</f>
        <v>10.5</v>
      </c>
      <c r="AL123" s="345">
        <f>IF(coder1_YH!T123="",AL122,IF(coder1_YH!T123="mixed",0.25,coder1_YH!T123))</f>
        <v>0.25</v>
      </c>
      <c r="AM123" s="345" t="str">
        <f>IF(coder1_YH!U123 = "", AM122, IF(coder1_YH!U123="mixed","NA",coder1_YH!U123))</f>
        <v>NA</v>
      </c>
      <c r="AN123" s="345" t="str">
        <f>IF(coder1_YH!V123="",AN122,coder1_YH!V123)</f>
        <v>NA</v>
      </c>
      <c r="AO123" s="345" t="str">
        <f>IF(coder1_YH!W123="",AO122,coder1_YH!W123)</f>
        <v>NA</v>
      </c>
      <c r="AP123" s="345">
        <f>IF(coder1_YH!X123="",AP122,coder1_YH!X123)</f>
        <v>0.58490566037735847</v>
      </c>
      <c r="AQ123" s="345" t="str">
        <f>IF(coder1_YH!Y123="",AQ122,coder1_YH!Y123)</f>
        <v>NA</v>
      </c>
      <c r="AR123">
        <f>coder1_YH!AB123</f>
        <v>0</v>
      </c>
      <c r="AS123" s="345" t="str">
        <f>IF(coder1_YH!AC123 = "", AS122,IF(coder1_YH!AC123="BAU","BAU",LEFT(coder1_YH!AC123)))</f>
        <v>0</v>
      </c>
      <c r="AT123" s="345" t="str">
        <f>IF(coder1_YH!AD123 = "", AT122,IF(coder1_YH!AD123="BAU","BAU",LEFT(coder1_YH!AD123)))</f>
        <v>0</v>
      </c>
      <c r="AU123" s="345" t="str">
        <f>IF(coder1_YH!AE123 = "", AU122,IF(coder1_YH!AE123="BAU","BAU",LEFT(coder1_YH!AE123)))</f>
        <v>1</v>
      </c>
      <c r="AV123" s="345" t="str">
        <f>IF(coder1_YH!AF123="",AV122,coder1_YH!AF123)</f>
        <v>NA</v>
      </c>
      <c r="AW123" s="345" t="str">
        <f t="shared" si="37"/>
        <v>NA</v>
      </c>
      <c r="AX123" s="345" t="str">
        <f>IF(coder1_YH!AG123="",AX122,coder1_YH!AG123)</f>
        <v>one academic year</v>
      </c>
      <c r="AY123" s="345" t="str">
        <f>IF(coder1_YH!AH123="",AY122,coder1_YH!AH123)</f>
        <v>NA</v>
      </c>
      <c r="AZ123" s="345" t="str">
        <f>IF(coder1_YH!AI123 = "", AZ122, IF(coder1_YH!AI123="BAU","BAU",LEFT(coder1_YH!AI123)))</f>
        <v>1</v>
      </c>
      <c r="BA123" s="384">
        <f>clean_data!Y123</f>
        <v>23</v>
      </c>
    </row>
    <row r="124" spans="1:53" x14ac:dyDescent="0.2">
      <c r="A124">
        <f>coder1_YH!B124</f>
        <v>0</v>
      </c>
      <c r="B124">
        <f>coder1_YH!C124</f>
        <v>124</v>
      </c>
      <c r="C124">
        <f>coder1_YH!D124</f>
        <v>0</v>
      </c>
      <c r="D124" t="str">
        <f>coder1_YH!E124</f>
        <v/>
      </c>
      <c r="E124" t="str">
        <f>coder1_YH!F124</f>
        <v/>
      </c>
      <c r="F124" s="321" t="str">
        <f>IF(coder1_YH!G124="", clean_mod!F123, coder1_YH!G124)</f>
        <v>Guthrie et al. 1999</v>
      </c>
      <c r="G124" s="321" t="str">
        <f t="shared" si="20"/>
        <v>125</v>
      </c>
      <c r="H124" s="321">
        <f>IF(coder1_YH!H124="", clean_mod!H123, coder1_YH!H124)</f>
        <v>125.29999999999998</v>
      </c>
      <c r="I124" s="404" t="str">
        <f t="shared" si="21"/>
        <v>1999</v>
      </c>
      <c r="J124" s="344" t="str">
        <f>IF(coder1_YH!I124="",J123,coder1_YH!I124)</f>
        <v>USA</v>
      </c>
      <c r="K124" s="345">
        <f t="shared" si="22"/>
        <v>0</v>
      </c>
      <c r="L124" s="344" t="str">
        <f>IF(coder1_YH!J124 = "",L123, coder1_YH!J124)</f>
        <v>English</v>
      </c>
      <c r="M124" s="345">
        <f t="shared" si="23"/>
        <v>0</v>
      </c>
      <c r="N124" s="345" t="str">
        <f>IF(coder1_YH!K124 = "", N123, LEFT(coder1_YH!K124,1))</f>
        <v>0</v>
      </c>
      <c r="O124" s="345" t="str">
        <f>IF(coder1_YH!L124 = "", O123, LEFT(coder1_YH!L124,1))</f>
        <v>0</v>
      </c>
      <c r="P124" s="345" t="str">
        <f>IF(coder1_YH!M124 = "", P123, LEFT(coder1_YH!M124,1))</f>
        <v>1</v>
      </c>
      <c r="Q124" s="321">
        <f>coder1_YH!P124</f>
        <v>0</v>
      </c>
      <c r="R124" s="321">
        <f>coder1_YH!Q124</f>
        <v>0</v>
      </c>
      <c r="S124" s="323" t="str">
        <f t="shared" si="24"/>
        <v>N</v>
      </c>
      <c r="T124" s="323" t="str">
        <f t="shared" si="25"/>
        <v/>
      </c>
      <c r="U124" s="323" t="str">
        <f t="shared" si="26"/>
        <v/>
      </c>
      <c r="V124" s="323" t="str">
        <f t="shared" si="27"/>
        <v/>
      </c>
      <c r="W124" s="323">
        <f t="shared" si="28"/>
        <v>1</v>
      </c>
      <c r="X124" s="385" t="str">
        <f>IF(coder1_YH!N124 = "",X123,coder1_YH!N124)</f>
        <v>N</v>
      </c>
      <c r="Y124" s="385" t="str">
        <f>IF(coder1_YH!O124 = "",Y123,coder1_YH!O124)</f>
        <v xml:space="preserve">m </v>
      </c>
      <c r="Z124" s="385" t="str">
        <f t="shared" si="29"/>
        <v>M</v>
      </c>
      <c r="AA124" s="385" t="str">
        <f t="shared" si="30"/>
        <v>R</v>
      </c>
      <c r="AB124" s="385" t="str">
        <f t="shared" si="31"/>
        <v>MR</v>
      </c>
      <c r="AC124" s="323" t="str">
        <f t="shared" si="32"/>
        <v xml:space="preserve">Nm </v>
      </c>
      <c r="AD124" s="323" t="str">
        <f t="shared" si="33"/>
        <v>N_R</v>
      </c>
      <c r="AF124" s="369" t="str">
        <f t="shared" si="34"/>
        <v xml:space="preserve">125.3-Nm </v>
      </c>
      <c r="AG124" s="369" t="str">
        <f t="shared" si="35"/>
        <v>125.3-N_R</v>
      </c>
      <c r="AH124" s="344">
        <f>IF(coder1_YH!R124="",AH123,coder1_YH!R124)</f>
        <v>5</v>
      </c>
      <c r="AI124" s="344">
        <f t="shared" si="19"/>
        <v>5</v>
      </c>
      <c r="AJ124" s="345">
        <f t="shared" si="36"/>
        <v>0</v>
      </c>
      <c r="AK124" s="408">
        <f>IF(coder1_YH!S124="",AK123,coder1_YH!S124)</f>
        <v>10.5</v>
      </c>
      <c r="AL124" s="345">
        <f>IF(coder1_YH!T124="",AL123,IF(coder1_YH!T124="mixed",0.25,coder1_YH!T124))</f>
        <v>0.25</v>
      </c>
      <c r="AM124" s="345" t="str">
        <f>IF(coder1_YH!U124 = "", AM123, IF(coder1_YH!U124="mixed","NA",coder1_YH!U124))</f>
        <v>NA</v>
      </c>
      <c r="AN124" s="345" t="str">
        <f>IF(coder1_YH!V124="",AN123,coder1_YH!V124)</f>
        <v>NA</v>
      </c>
      <c r="AO124" s="345" t="str">
        <f>IF(coder1_YH!W124="",AO123,coder1_YH!W124)</f>
        <v>NA</v>
      </c>
      <c r="AP124" s="345">
        <f>IF(coder1_YH!X124="",AP123,coder1_YH!X124)</f>
        <v>0.58490566037735847</v>
      </c>
      <c r="AQ124" s="345" t="str">
        <f>IF(coder1_YH!Y124="",AQ123,coder1_YH!Y124)</f>
        <v>NA</v>
      </c>
      <c r="AR124">
        <f>coder1_YH!AB124</f>
        <v>0</v>
      </c>
      <c r="AS124" s="345" t="str">
        <f>IF(coder1_YH!AC124 = "", AS123,IF(coder1_YH!AC124="BAU","BAU",LEFT(coder1_YH!AC124)))</f>
        <v>0</v>
      </c>
      <c r="AT124" s="345" t="str">
        <f>IF(coder1_YH!AD124 = "", AT123,IF(coder1_YH!AD124="BAU","BAU",LEFT(coder1_YH!AD124)))</f>
        <v>0</v>
      </c>
      <c r="AU124" s="345" t="str">
        <f>IF(coder1_YH!AE124 = "", AU123,IF(coder1_YH!AE124="BAU","BAU",LEFT(coder1_YH!AE124)))</f>
        <v>1</v>
      </c>
      <c r="AV124" s="345" t="str">
        <f>IF(coder1_YH!AF124="",AV123,coder1_YH!AF124)</f>
        <v>NA</v>
      </c>
      <c r="AW124" s="345" t="str">
        <f t="shared" si="37"/>
        <v>NA</v>
      </c>
      <c r="AX124" s="345" t="str">
        <f>IF(coder1_YH!AG124="",AX123,coder1_YH!AG124)</f>
        <v>one academic year</v>
      </c>
      <c r="AY124" s="345" t="str">
        <f>IF(coder1_YH!AH124="",AY123,coder1_YH!AH124)</f>
        <v>NA</v>
      </c>
      <c r="AZ124" s="345" t="str">
        <f>IF(coder1_YH!AI124 = "", AZ123, IF(coder1_YH!AI124="BAU","BAU",LEFT(coder1_YH!AI124)))</f>
        <v>1</v>
      </c>
      <c r="BA124" s="384" t="str">
        <f>clean_data!Y124</f>
        <v>NA</v>
      </c>
    </row>
    <row r="125" spans="1:53" x14ac:dyDescent="0.2">
      <c r="A125">
        <f>coder1_YH!B125</f>
        <v>0</v>
      </c>
      <c r="B125">
        <f>coder1_YH!C125</f>
        <v>125</v>
      </c>
      <c r="C125">
        <f>coder1_YH!D125</f>
        <v>0</v>
      </c>
      <c r="D125" t="str">
        <f>coder1_YH!E125</f>
        <v/>
      </c>
      <c r="E125" t="b">
        <f>coder1_YH!F125</f>
        <v>1</v>
      </c>
      <c r="F125" s="321" t="str">
        <f>IF(coder1_YH!G125="", clean_mod!F124, coder1_YH!G125)</f>
        <v>Guthrie et al. 1999</v>
      </c>
      <c r="G125" s="321" t="str">
        <f t="shared" si="20"/>
        <v>125</v>
      </c>
      <c r="H125" s="321">
        <f>IF(coder1_YH!H125="", clean_mod!H124, coder1_YH!H125)</f>
        <v>125.29999999999998</v>
      </c>
      <c r="I125" s="404" t="str">
        <f t="shared" si="21"/>
        <v>1999</v>
      </c>
      <c r="J125" s="344" t="str">
        <f>IF(coder1_YH!I125="",J124,coder1_YH!I125)</f>
        <v>USA</v>
      </c>
      <c r="K125" s="345">
        <f t="shared" si="22"/>
        <v>0</v>
      </c>
      <c r="L125" s="344" t="str">
        <f>IF(coder1_YH!J125 = "",L124, coder1_YH!J125)</f>
        <v>English</v>
      </c>
      <c r="M125" s="345">
        <f t="shared" si="23"/>
        <v>0</v>
      </c>
      <c r="N125" s="345" t="str">
        <f>IF(coder1_YH!K125 = "", N124, LEFT(coder1_YH!K125,1))</f>
        <v>0</v>
      </c>
      <c r="O125" s="345" t="str">
        <f>IF(coder1_YH!L125 = "", O124, LEFT(coder1_YH!L125,1))</f>
        <v>0</v>
      </c>
      <c r="P125" s="345" t="str">
        <f>IF(coder1_YH!M125 = "", P124, LEFT(coder1_YH!M125,1))</f>
        <v>1</v>
      </c>
      <c r="Q125" s="321" t="str">
        <f>coder1_YH!P125</f>
        <v>ctl</v>
      </c>
      <c r="R125" s="321" t="str">
        <f>coder1_YH!Q125</f>
        <v>TI,Grade 5,Pond</v>
      </c>
      <c r="S125" s="323" t="str">
        <f t="shared" si="24"/>
        <v/>
      </c>
      <c r="T125" s="323" t="str">
        <f t="shared" si="25"/>
        <v/>
      </c>
      <c r="U125" s="323" t="str">
        <f t="shared" si="26"/>
        <v/>
      </c>
      <c r="V125" s="323" t="str">
        <f t="shared" si="27"/>
        <v/>
      </c>
      <c r="W125" s="323">
        <f t="shared" si="28"/>
        <v>0</v>
      </c>
      <c r="X125" s="385" t="str">
        <f>IF(coder1_YH!N125 = "",X124,coder1_YH!N125)</f>
        <v>.</v>
      </c>
      <c r="Y125" s="385" t="str">
        <f>IF(coder1_YH!O125 = "",Y124,coder1_YH!O125)</f>
        <v xml:space="preserve">m </v>
      </c>
      <c r="Z125" s="385" t="str">
        <f t="shared" si="29"/>
        <v/>
      </c>
      <c r="AA125" s="385" t="str">
        <f t="shared" si="30"/>
        <v>R</v>
      </c>
      <c r="AB125" s="385" t="str">
        <f t="shared" si="31"/>
        <v>R</v>
      </c>
      <c r="AC125" s="323" t="str">
        <f t="shared" si="32"/>
        <v xml:space="preserve">.m </v>
      </c>
      <c r="AD125" s="323" t="str">
        <f t="shared" si="33"/>
        <v>R</v>
      </c>
      <c r="AF125" s="369" t="str">
        <f t="shared" si="34"/>
        <v xml:space="preserve">125.3-.m </v>
      </c>
      <c r="AG125" s="369" t="str">
        <f t="shared" si="35"/>
        <v>125.3-R</v>
      </c>
      <c r="AH125" s="344">
        <f>IF(coder1_YH!R125="",AH124,coder1_YH!R125)</f>
        <v>5</v>
      </c>
      <c r="AI125" s="344">
        <f t="shared" si="19"/>
        <v>5</v>
      </c>
      <c r="AJ125" s="345">
        <f t="shared" si="36"/>
        <v>0</v>
      </c>
      <c r="AK125" s="408">
        <f>IF(coder1_YH!S125="",AK124,coder1_YH!S125)</f>
        <v>10.5</v>
      </c>
      <c r="AL125" s="345">
        <f>IF(coder1_YH!T125="",AL124,IF(coder1_YH!T125="mixed",0.25,coder1_YH!T125))</f>
        <v>0.25</v>
      </c>
      <c r="AM125" s="345" t="str">
        <f>IF(coder1_YH!U125 = "", AM124, IF(coder1_YH!U125="mixed","NA",coder1_YH!U125))</f>
        <v>NA</v>
      </c>
      <c r="AN125" s="345" t="str">
        <f>IF(coder1_YH!V125="",AN124,coder1_YH!V125)</f>
        <v>NA</v>
      </c>
      <c r="AO125" s="345" t="str">
        <f>IF(coder1_YH!W125="",AO124,coder1_YH!W125)</f>
        <v>NA</v>
      </c>
      <c r="AP125" s="345">
        <f>IF(coder1_YH!X125="",AP124,coder1_YH!X125)</f>
        <v>0.47169811320754718</v>
      </c>
      <c r="AQ125" s="345" t="str">
        <f>IF(coder1_YH!Y125="",AQ124,coder1_YH!Y125)</f>
        <v>NA</v>
      </c>
      <c r="AR125" t="str">
        <f>coder1_YH!AB125</f>
        <v>1 = Published/Commercially available curriculum</v>
      </c>
      <c r="AS125" s="345" t="str">
        <f>IF(coder1_YH!AC125 = "", AS124,IF(coder1_YH!AC125="BAU","BAU",LEFT(coder1_YH!AC125)))</f>
        <v>0</v>
      </c>
      <c r="AT125" s="345" t="str">
        <f>IF(coder1_YH!AD125 = "", AT124,IF(coder1_YH!AD125="BAU","BAU",LEFT(coder1_YH!AD125)))</f>
        <v>0</v>
      </c>
      <c r="AU125" s="345" t="str">
        <f>IF(coder1_YH!AE125 = "", AU124,IF(coder1_YH!AE125="BAU","BAU",LEFT(coder1_YH!AE125)))</f>
        <v>1</v>
      </c>
      <c r="AV125" s="345" t="str">
        <f>IF(coder1_YH!AF125="",AV124,coder1_YH!AF125)</f>
        <v>BAU</v>
      </c>
      <c r="AW125" s="345" t="str">
        <f t="shared" si="37"/>
        <v>BAU</v>
      </c>
      <c r="AX125" s="345" t="str">
        <f>IF(coder1_YH!AG125="",AX124,coder1_YH!AG125)</f>
        <v>BAU</v>
      </c>
      <c r="AY125" s="345" t="str">
        <f>IF(coder1_YH!AH125="",AY124,coder1_YH!AH125)</f>
        <v>BAU</v>
      </c>
      <c r="AZ125" s="345" t="str">
        <f>IF(coder1_YH!AI125 = "", AZ124, IF(coder1_YH!AI125="BAU","BAU",LEFT(coder1_YH!AI125)))</f>
        <v>BAU</v>
      </c>
      <c r="BA125" s="384">
        <f>clean_data!Y125</f>
        <v>24</v>
      </c>
    </row>
    <row r="126" spans="1:53" x14ac:dyDescent="0.2">
      <c r="A126">
        <f>coder1_YH!B126</f>
        <v>0</v>
      </c>
      <c r="B126">
        <f>coder1_YH!C126</f>
        <v>126</v>
      </c>
      <c r="C126">
        <f>coder1_YH!D126</f>
        <v>0</v>
      </c>
      <c r="D126" t="str">
        <f>coder1_YH!E126</f>
        <v/>
      </c>
      <c r="E126" t="str">
        <f>coder1_YH!F126</f>
        <v/>
      </c>
      <c r="F126" s="321" t="str">
        <f>IF(coder1_YH!G126="", clean_mod!F125, coder1_YH!G126)</f>
        <v>Guthrie et al. 1999</v>
      </c>
      <c r="G126" s="321" t="str">
        <f t="shared" si="20"/>
        <v>125</v>
      </c>
      <c r="H126" s="321">
        <f>IF(coder1_YH!H126="", clean_mod!H125, coder1_YH!H126)</f>
        <v>125.29999999999998</v>
      </c>
      <c r="I126" s="404" t="str">
        <f t="shared" si="21"/>
        <v>1999</v>
      </c>
      <c r="J126" s="344" t="str">
        <f>IF(coder1_YH!I126="",J125,coder1_YH!I126)</f>
        <v>USA</v>
      </c>
      <c r="K126" s="345">
        <f t="shared" si="22"/>
        <v>0</v>
      </c>
      <c r="L126" s="344" t="str">
        <f>IF(coder1_YH!J126 = "",L125, coder1_YH!J126)</f>
        <v>English</v>
      </c>
      <c r="M126" s="345">
        <f t="shared" si="23"/>
        <v>0</v>
      </c>
      <c r="N126" s="345" t="str">
        <f>IF(coder1_YH!K126 = "", N125, LEFT(coder1_YH!K126,1))</f>
        <v>0</v>
      </c>
      <c r="O126" s="345" t="str">
        <f>IF(coder1_YH!L126 = "", O125, LEFT(coder1_YH!L126,1))</f>
        <v>0</v>
      </c>
      <c r="P126" s="345" t="str">
        <f>IF(coder1_YH!M126 = "", P125, LEFT(coder1_YH!M126,1))</f>
        <v>1</v>
      </c>
      <c r="Q126" s="321">
        <f>coder1_YH!P126</f>
        <v>0</v>
      </c>
      <c r="R126" s="321">
        <f>coder1_YH!Q126</f>
        <v>0</v>
      </c>
      <c r="S126" s="323" t="str">
        <f t="shared" si="24"/>
        <v/>
      </c>
      <c r="T126" s="323" t="str">
        <f t="shared" si="25"/>
        <v/>
      </c>
      <c r="U126" s="323" t="str">
        <f t="shared" si="26"/>
        <v/>
      </c>
      <c r="V126" s="323" t="str">
        <f t="shared" si="27"/>
        <v/>
      </c>
      <c r="W126" s="323">
        <f t="shared" si="28"/>
        <v>0</v>
      </c>
      <c r="X126" s="385" t="str">
        <f>IF(coder1_YH!N126 = "",X125,coder1_YH!N126)</f>
        <v>.</v>
      </c>
      <c r="Y126" s="385" t="str">
        <f>IF(coder1_YH!O126 = "",Y125,coder1_YH!O126)</f>
        <v xml:space="preserve">m </v>
      </c>
      <c r="Z126" s="385" t="str">
        <f t="shared" si="29"/>
        <v/>
      </c>
      <c r="AA126" s="385" t="str">
        <f t="shared" si="30"/>
        <v>R</v>
      </c>
      <c r="AB126" s="385" t="str">
        <f t="shared" si="31"/>
        <v>R</v>
      </c>
      <c r="AC126" s="323" t="str">
        <f t="shared" si="32"/>
        <v xml:space="preserve">.m </v>
      </c>
      <c r="AD126" s="323" t="str">
        <f t="shared" si="33"/>
        <v>R</v>
      </c>
      <c r="AF126" s="369" t="str">
        <f t="shared" si="34"/>
        <v xml:space="preserve">125.3-.m </v>
      </c>
      <c r="AG126" s="369" t="str">
        <f t="shared" si="35"/>
        <v>125.3-R</v>
      </c>
      <c r="AH126" s="344">
        <f>IF(coder1_YH!R126="",AH125,coder1_YH!R126)</f>
        <v>5</v>
      </c>
      <c r="AI126" s="344">
        <f t="shared" si="19"/>
        <v>5</v>
      </c>
      <c r="AJ126" s="345">
        <f t="shared" si="36"/>
        <v>0</v>
      </c>
      <c r="AK126" s="408">
        <f>IF(coder1_YH!S126="",AK125,coder1_YH!S126)</f>
        <v>10.5</v>
      </c>
      <c r="AL126" s="345">
        <f>IF(coder1_YH!T126="",AL125,IF(coder1_YH!T126="mixed",0.25,coder1_YH!T126))</f>
        <v>0.25</v>
      </c>
      <c r="AM126" s="345" t="str">
        <f>IF(coder1_YH!U126 = "", AM125, IF(coder1_YH!U126="mixed","NA",coder1_YH!U126))</f>
        <v>NA</v>
      </c>
      <c r="AN126" s="345" t="str">
        <f>IF(coder1_YH!V126="",AN125,coder1_YH!V126)</f>
        <v>NA</v>
      </c>
      <c r="AO126" s="345" t="str">
        <f>IF(coder1_YH!W126="",AO125,coder1_YH!W126)</f>
        <v>NA</v>
      </c>
      <c r="AP126" s="345">
        <f>IF(coder1_YH!X126="",AP125,coder1_YH!X126)</f>
        <v>0.47169811320754718</v>
      </c>
      <c r="AQ126" s="345" t="str">
        <f>IF(coder1_YH!Y126="",AQ125,coder1_YH!Y126)</f>
        <v>NA</v>
      </c>
      <c r="AR126">
        <f>coder1_YH!AB126</f>
        <v>0</v>
      </c>
      <c r="AS126" s="345" t="str">
        <f>IF(coder1_YH!AC126 = "", AS125,IF(coder1_YH!AC126="BAU","BAU",LEFT(coder1_YH!AC126)))</f>
        <v>0</v>
      </c>
      <c r="AT126" s="345" t="str">
        <f>IF(coder1_YH!AD126 = "", AT125,IF(coder1_YH!AD126="BAU","BAU",LEFT(coder1_YH!AD126)))</f>
        <v>0</v>
      </c>
      <c r="AU126" s="345" t="str">
        <f>IF(coder1_YH!AE126 = "", AU125,IF(coder1_YH!AE126="BAU","BAU",LEFT(coder1_YH!AE126)))</f>
        <v>1</v>
      </c>
      <c r="AV126" s="345" t="str">
        <f>IF(coder1_YH!AF126="",AV125,coder1_YH!AF126)</f>
        <v>BAU</v>
      </c>
      <c r="AW126" s="345" t="str">
        <f t="shared" si="37"/>
        <v>BAU</v>
      </c>
      <c r="AX126" s="345" t="str">
        <f>IF(coder1_YH!AG126="",AX125,coder1_YH!AG126)</f>
        <v>BAU</v>
      </c>
      <c r="AY126" s="345" t="str">
        <f>IF(coder1_YH!AH126="",AY125,coder1_YH!AH126)</f>
        <v>BAU</v>
      </c>
      <c r="AZ126" s="345" t="str">
        <f>IF(coder1_YH!AI126 = "", AZ125, IF(coder1_YH!AI126="BAU","BAU",LEFT(coder1_YH!AI126)))</f>
        <v>BAU</v>
      </c>
      <c r="BA126" s="384">
        <f>clean_data!Y126</f>
        <v>24</v>
      </c>
    </row>
    <row r="127" spans="1:53" x14ac:dyDescent="0.2">
      <c r="A127">
        <f>coder1_YH!B127</f>
        <v>0</v>
      </c>
      <c r="B127">
        <f>coder1_YH!C127</f>
        <v>127</v>
      </c>
      <c r="C127">
        <f>coder1_YH!D127</f>
        <v>0</v>
      </c>
      <c r="D127" t="str">
        <f>coder1_YH!E127</f>
        <v/>
      </c>
      <c r="E127" t="str">
        <f>coder1_YH!F127</f>
        <v/>
      </c>
      <c r="F127" s="321" t="str">
        <f>IF(coder1_YH!G127="", clean_mod!F126, coder1_YH!G127)</f>
        <v>Guthrie et al. 1999</v>
      </c>
      <c r="G127" s="321" t="str">
        <f t="shared" si="20"/>
        <v>125</v>
      </c>
      <c r="H127" s="321">
        <f>IF(coder1_YH!H127="", clean_mod!H126, coder1_YH!H127)</f>
        <v>125.29999999999998</v>
      </c>
      <c r="I127" s="404" t="str">
        <f t="shared" si="21"/>
        <v>1999</v>
      </c>
      <c r="J127" s="344" t="str">
        <f>IF(coder1_YH!I127="",J126,coder1_YH!I127)</f>
        <v>USA</v>
      </c>
      <c r="K127" s="345">
        <f t="shared" si="22"/>
        <v>0</v>
      </c>
      <c r="L127" s="344" t="str">
        <f>IF(coder1_YH!J127 = "",L126, coder1_YH!J127)</f>
        <v>English</v>
      </c>
      <c r="M127" s="345">
        <f t="shared" si="23"/>
        <v>0</v>
      </c>
      <c r="N127" s="345" t="str">
        <f>IF(coder1_YH!K127 = "", N126, LEFT(coder1_YH!K127,1))</f>
        <v>0</v>
      </c>
      <c r="O127" s="345" t="str">
        <f>IF(coder1_YH!L127 = "", O126, LEFT(coder1_YH!L127,1))</f>
        <v>0</v>
      </c>
      <c r="P127" s="345" t="str">
        <f>IF(coder1_YH!M127 = "", P126, LEFT(coder1_YH!M127,1))</f>
        <v>1</v>
      </c>
      <c r="Q127" s="321">
        <f>coder1_YH!P127</f>
        <v>0</v>
      </c>
      <c r="R127" s="321">
        <f>coder1_YH!Q127</f>
        <v>0</v>
      </c>
      <c r="S127" s="323" t="str">
        <f t="shared" si="24"/>
        <v/>
      </c>
      <c r="T127" s="323" t="str">
        <f t="shared" si="25"/>
        <v/>
      </c>
      <c r="U127" s="323" t="str">
        <f t="shared" si="26"/>
        <v/>
      </c>
      <c r="V127" s="323" t="str">
        <f t="shared" si="27"/>
        <v/>
      </c>
      <c r="W127" s="323">
        <f t="shared" si="28"/>
        <v>0</v>
      </c>
      <c r="X127" s="385" t="str">
        <f>IF(coder1_YH!N127 = "",X126,coder1_YH!N127)</f>
        <v>.</v>
      </c>
      <c r="Y127" s="385" t="str">
        <f>IF(coder1_YH!O127 = "",Y126,coder1_YH!O127)</f>
        <v xml:space="preserve">m </v>
      </c>
      <c r="Z127" s="385" t="str">
        <f t="shared" si="29"/>
        <v/>
      </c>
      <c r="AA127" s="385" t="str">
        <f t="shared" si="30"/>
        <v>R</v>
      </c>
      <c r="AB127" s="385" t="str">
        <f t="shared" si="31"/>
        <v>R</v>
      </c>
      <c r="AC127" s="323" t="str">
        <f t="shared" si="32"/>
        <v xml:space="preserve">.m </v>
      </c>
      <c r="AD127" s="323" t="str">
        <f t="shared" si="33"/>
        <v>R</v>
      </c>
      <c r="AF127" s="369" t="str">
        <f t="shared" si="34"/>
        <v xml:space="preserve">125.3-.m </v>
      </c>
      <c r="AG127" s="369" t="str">
        <f t="shared" si="35"/>
        <v>125.3-R</v>
      </c>
      <c r="AH127" s="344">
        <f>IF(coder1_YH!R127="",AH126,coder1_YH!R127)</f>
        <v>5</v>
      </c>
      <c r="AI127" s="344">
        <f t="shared" si="19"/>
        <v>5</v>
      </c>
      <c r="AJ127" s="345">
        <f t="shared" si="36"/>
        <v>0</v>
      </c>
      <c r="AK127" s="408">
        <f>IF(coder1_YH!S127="",AK126,coder1_YH!S127)</f>
        <v>10.5</v>
      </c>
      <c r="AL127" s="345">
        <f>IF(coder1_YH!T127="",AL126,IF(coder1_YH!T127="mixed",0.25,coder1_YH!T127))</f>
        <v>0.25</v>
      </c>
      <c r="AM127" s="345" t="str">
        <f>IF(coder1_YH!U127 = "", AM126, IF(coder1_YH!U127="mixed","NA",coder1_YH!U127))</f>
        <v>NA</v>
      </c>
      <c r="AN127" s="345" t="str">
        <f>IF(coder1_YH!V127="",AN126,coder1_YH!V127)</f>
        <v>NA</v>
      </c>
      <c r="AO127" s="345" t="str">
        <f>IF(coder1_YH!W127="",AO126,coder1_YH!W127)</f>
        <v>NA</v>
      </c>
      <c r="AP127" s="345">
        <f>IF(coder1_YH!X127="",AP126,coder1_YH!X127)</f>
        <v>0.47169811320754718</v>
      </c>
      <c r="AQ127" s="345" t="str">
        <f>IF(coder1_YH!Y127="",AQ126,coder1_YH!Y127)</f>
        <v>NA</v>
      </c>
      <c r="AR127">
        <f>coder1_YH!AB127</f>
        <v>0</v>
      </c>
      <c r="AS127" s="345" t="str">
        <f>IF(coder1_YH!AC127 = "", AS126,IF(coder1_YH!AC127="BAU","BAU",LEFT(coder1_YH!AC127)))</f>
        <v>0</v>
      </c>
      <c r="AT127" s="345" t="str">
        <f>IF(coder1_YH!AD127 = "", AT126,IF(coder1_YH!AD127="BAU","BAU",LEFT(coder1_YH!AD127)))</f>
        <v>0</v>
      </c>
      <c r="AU127" s="345" t="str">
        <f>IF(coder1_YH!AE127 = "", AU126,IF(coder1_YH!AE127="BAU","BAU",LEFT(coder1_YH!AE127)))</f>
        <v>1</v>
      </c>
      <c r="AV127" s="345" t="str">
        <f>IF(coder1_YH!AF127="",AV126,coder1_YH!AF127)</f>
        <v>BAU</v>
      </c>
      <c r="AW127" s="345" t="str">
        <f t="shared" si="37"/>
        <v>BAU</v>
      </c>
      <c r="AX127" s="345" t="str">
        <f>IF(coder1_YH!AG127="",AX126,coder1_YH!AG127)</f>
        <v>BAU</v>
      </c>
      <c r="AY127" s="345" t="str">
        <f>IF(coder1_YH!AH127="",AY126,coder1_YH!AH127)</f>
        <v>BAU</v>
      </c>
      <c r="AZ127" s="345" t="str">
        <f>IF(coder1_YH!AI127 = "", AZ126, IF(coder1_YH!AI127="BAU","BAU",LEFT(coder1_YH!AI127)))</f>
        <v>BAU</v>
      </c>
      <c r="BA127" s="384" t="str">
        <f>clean_data!Y127</f>
        <v>NA</v>
      </c>
    </row>
    <row r="128" spans="1:53" x14ac:dyDescent="0.2">
      <c r="A128">
        <f>coder1_YH!B128</f>
        <v>0</v>
      </c>
      <c r="B128">
        <f>coder1_YH!C128</f>
        <v>128</v>
      </c>
      <c r="C128">
        <f>coder1_YH!D128</f>
        <v>0</v>
      </c>
      <c r="D128" t="b">
        <f>coder1_YH!E128</f>
        <v>1</v>
      </c>
      <c r="E128" t="b">
        <f>coder1_YH!F128</f>
        <v>1</v>
      </c>
      <c r="F128" s="321" t="str">
        <f>IF(coder1_YH!G128="", clean_mod!F127, coder1_YH!G128)</f>
        <v>Guthrie et al. 1999</v>
      </c>
      <c r="G128" s="321" t="str">
        <f t="shared" si="20"/>
        <v>125</v>
      </c>
      <c r="H128" s="321">
        <f>IF(coder1_YH!H128="", clean_mod!H127, coder1_YH!H128)</f>
        <v>125.39999999999998</v>
      </c>
      <c r="I128" s="404" t="str">
        <f t="shared" si="21"/>
        <v>1999</v>
      </c>
      <c r="J128" s="344" t="str">
        <f>IF(coder1_YH!I128="",J127,coder1_YH!I128)</f>
        <v>USA</v>
      </c>
      <c r="K128" s="345">
        <f t="shared" si="22"/>
        <v>0</v>
      </c>
      <c r="L128" s="344" t="str">
        <f>IF(coder1_YH!J128 = "",L127, coder1_YH!J128)</f>
        <v>English</v>
      </c>
      <c r="M128" s="345">
        <f t="shared" si="23"/>
        <v>0</v>
      </c>
      <c r="N128" s="345" t="str">
        <f>IF(coder1_YH!K128 = "", N127, LEFT(coder1_YH!K128,1))</f>
        <v>0</v>
      </c>
      <c r="O128" s="345" t="str">
        <f>IF(coder1_YH!L128 = "", O127, LEFT(coder1_YH!L128,1))</f>
        <v>0</v>
      </c>
      <c r="P128" s="345" t="str">
        <f>IF(coder1_YH!M128 = "", P127, LEFT(coder1_YH!M128,1))</f>
        <v>1</v>
      </c>
      <c r="Q128" s="321">
        <f>coder1_YH!P128</f>
        <v>1</v>
      </c>
      <c r="R128" s="321" t="str">
        <f>coder1_YH!Q128</f>
        <v>CORI,Grade 5,Volcano</v>
      </c>
      <c r="S128" s="323" t="str">
        <f t="shared" si="24"/>
        <v>N</v>
      </c>
      <c r="T128" s="323" t="str">
        <f t="shared" si="25"/>
        <v/>
      </c>
      <c r="U128" s="323" t="str">
        <f t="shared" si="26"/>
        <v/>
      </c>
      <c r="V128" s="323" t="str">
        <f t="shared" si="27"/>
        <v/>
      </c>
      <c r="W128" s="323">
        <f t="shared" si="28"/>
        <v>1</v>
      </c>
      <c r="X128" s="385" t="str">
        <f>IF(coder1_YH!N128 = "",X127,coder1_YH!N128)</f>
        <v>N</v>
      </c>
      <c r="Y128" s="385" t="str">
        <f>IF(coder1_YH!O128 = "",Y127,coder1_YH!O128)</f>
        <v xml:space="preserve">m </v>
      </c>
      <c r="Z128" s="385" t="str">
        <f t="shared" si="29"/>
        <v>M</v>
      </c>
      <c r="AA128" s="385" t="str">
        <f t="shared" si="30"/>
        <v>R</v>
      </c>
      <c r="AB128" s="385" t="str">
        <f t="shared" si="31"/>
        <v>MR</v>
      </c>
      <c r="AC128" s="323" t="str">
        <f t="shared" si="32"/>
        <v xml:space="preserve">Nm </v>
      </c>
      <c r="AD128" s="323" t="str">
        <f t="shared" si="33"/>
        <v>N_R</v>
      </c>
      <c r="AE128" s="323">
        <f>IF(Y128="cm", 1,0)</f>
        <v>0</v>
      </c>
      <c r="AF128" s="369" t="str">
        <f t="shared" si="34"/>
        <v xml:space="preserve">125.4-Nm </v>
      </c>
      <c r="AG128" s="369" t="str">
        <f t="shared" si="35"/>
        <v>125.4-N_R</v>
      </c>
      <c r="AH128" s="344">
        <f>IF(coder1_YH!R128="",AH127,coder1_YH!R128)</f>
        <v>5</v>
      </c>
      <c r="AI128" s="344">
        <f t="shared" si="19"/>
        <v>5</v>
      </c>
      <c r="AJ128" s="345">
        <f t="shared" si="36"/>
        <v>0</v>
      </c>
      <c r="AK128" s="408">
        <f>IF(coder1_YH!S128="",AK127,coder1_YH!S128)</f>
        <v>10.5</v>
      </c>
      <c r="AL128" s="345">
        <f>IF(coder1_YH!T128="",AL127,IF(coder1_YH!T128="mixed",0.25,coder1_YH!T128))</f>
        <v>0.25</v>
      </c>
      <c r="AM128" s="345" t="str">
        <f>IF(coder1_YH!U128 = "", AM127, IF(coder1_YH!U128="mixed","NA",coder1_YH!U128))</f>
        <v>NA</v>
      </c>
      <c r="AN128" s="345" t="str">
        <f>IF(coder1_YH!V128="",AN127,coder1_YH!V128)</f>
        <v>NA</v>
      </c>
      <c r="AO128" s="345" t="str">
        <f>IF(coder1_YH!W128="",AO127,coder1_YH!W128)</f>
        <v>NA</v>
      </c>
      <c r="AP128" s="345">
        <f>IF(coder1_YH!X128="",AP127,coder1_YH!X128)</f>
        <v>0.58490566037735847</v>
      </c>
      <c r="AQ128" s="345" t="str">
        <f>IF(coder1_YH!Y128="",AQ127,coder1_YH!Y128)</f>
        <v>NA</v>
      </c>
      <c r="AR128" t="str">
        <f>coder1_YH!AB128</f>
        <v>0 = Researcher-developed/adapted curriculum</v>
      </c>
      <c r="AS128" s="345" t="str">
        <f>IF(coder1_YH!AC128 = "", AS127,IF(coder1_YH!AC128="BAU","BAU",LEFT(coder1_YH!AC128)))</f>
        <v>0</v>
      </c>
      <c r="AT128" s="345" t="str">
        <f>IF(coder1_YH!AD128 = "", AT127,IF(coder1_YH!AD128="BAU","BAU",LEFT(coder1_YH!AD128)))</f>
        <v>0</v>
      </c>
      <c r="AU128" s="345" t="str">
        <f>IF(coder1_YH!AE128 = "", AU127,IF(coder1_YH!AE128="BAU","BAU",LEFT(coder1_YH!AE128)))</f>
        <v>1</v>
      </c>
      <c r="AV128" s="345" t="str">
        <f>IF(coder1_YH!AF128="",AV127,coder1_YH!AF128)</f>
        <v>NA</v>
      </c>
      <c r="AW128" s="345" t="str">
        <f t="shared" si="37"/>
        <v>NA</v>
      </c>
      <c r="AX128" s="345" t="str">
        <f>IF(coder1_YH!AG128="",AX127,coder1_YH!AG128)</f>
        <v>one academic year</v>
      </c>
      <c r="AY128" s="345" t="str">
        <f>IF(coder1_YH!AH128="",AY127,coder1_YH!AH128)</f>
        <v>NA</v>
      </c>
      <c r="AZ128" s="345" t="str">
        <f>IF(coder1_YH!AI128 = "", AZ127, IF(coder1_YH!AI128="BAU","BAU",LEFT(coder1_YH!AI128)))</f>
        <v>1</v>
      </c>
      <c r="BA128" s="384">
        <f>clean_data!Y128</f>
        <v>26</v>
      </c>
    </row>
    <row r="129" spans="1:53" x14ac:dyDescent="0.2">
      <c r="A129">
        <f>coder1_YH!B129</f>
        <v>0</v>
      </c>
      <c r="B129">
        <f>coder1_YH!C129</f>
        <v>129</v>
      </c>
      <c r="C129">
        <f>coder1_YH!D129</f>
        <v>0</v>
      </c>
      <c r="D129" t="str">
        <f>coder1_YH!E129</f>
        <v/>
      </c>
      <c r="E129" t="str">
        <f>coder1_YH!F129</f>
        <v/>
      </c>
      <c r="F129" s="321" t="str">
        <f>IF(coder1_YH!G129="", clean_mod!F128, coder1_YH!G129)</f>
        <v>Guthrie et al. 1999</v>
      </c>
      <c r="G129" s="321" t="str">
        <f t="shared" si="20"/>
        <v>125</v>
      </c>
      <c r="H129" s="321">
        <f>IF(coder1_YH!H129="", clean_mod!H128, coder1_YH!H129)</f>
        <v>125.39999999999998</v>
      </c>
      <c r="I129" s="404" t="str">
        <f t="shared" si="21"/>
        <v>1999</v>
      </c>
      <c r="J129" s="344" t="str">
        <f>IF(coder1_YH!I129="",J128,coder1_YH!I129)</f>
        <v>USA</v>
      </c>
      <c r="K129" s="345">
        <f t="shared" si="22"/>
        <v>0</v>
      </c>
      <c r="L129" s="344" t="str">
        <f>IF(coder1_YH!J129 = "",L128, coder1_YH!J129)</f>
        <v>English</v>
      </c>
      <c r="M129" s="345">
        <f t="shared" si="23"/>
        <v>0</v>
      </c>
      <c r="N129" s="345" t="str">
        <f>IF(coder1_YH!K129 = "", N128, LEFT(coder1_YH!K129,1))</f>
        <v>0</v>
      </c>
      <c r="O129" s="345" t="str">
        <f>IF(coder1_YH!L129 = "", O128, LEFT(coder1_YH!L129,1))</f>
        <v>0</v>
      </c>
      <c r="P129" s="345" t="str">
        <f>IF(coder1_YH!M129 = "", P128, LEFT(coder1_YH!M129,1))</f>
        <v>1</v>
      </c>
      <c r="Q129" s="321">
        <f>coder1_YH!P129</f>
        <v>0</v>
      </c>
      <c r="R129" s="321">
        <f>coder1_YH!Q129</f>
        <v>0</v>
      </c>
      <c r="S129" s="323" t="str">
        <f t="shared" si="24"/>
        <v>N</v>
      </c>
      <c r="T129" s="323" t="str">
        <f t="shared" si="25"/>
        <v/>
      </c>
      <c r="U129" s="323" t="str">
        <f t="shared" si="26"/>
        <v/>
      </c>
      <c r="V129" s="323" t="str">
        <f t="shared" si="27"/>
        <v/>
      </c>
      <c r="W129" s="323">
        <f t="shared" si="28"/>
        <v>1</v>
      </c>
      <c r="X129" s="385" t="str">
        <f>IF(coder1_YH!N129 = "",X128,coder1_YH!N129)</f>
        <v>N</v>
      </c>
      <c r="Y129" s="385" t="str">
        <f>IF(coder1_YH!O129 = "",Y128,coder1_YH!O129)</f>
        <v xml:space="preserve">m </v>
      </c>
      <c r="Z129" s="385" t="str">
        <f t="shared" si="29"/>
        <v>M</v>
      </c>
      <c r="AA129" s="385" t="str">
        <f t="shared" si="30"/>
        <v>R</v>
      </c>
      <c r="AB129" s="385" t="str">
        <f t="shared" si="31"/>
        <v>MR</v>
      </c>
      <c r="AC129" s="323" t="str">
        <f t="shared" si="32"/>
        <v xml:space="preserve">Nm </v>
      </c>
      <c r="AD129" s="323" t="str">
        <f t="shared" si="33"/>
        <v>N_R</v>
      </c>
      <c r="AF129" s="369" t="str">
        <f t="shared" si="34"/>
        <v xml:space="preserve">125.4-Nm </v>
      </c>
      <c r="AG129" s="369" t="str">
        <f t="shared" si="35"/>
        <v>125.4-N_R</v>
      </c>
      <c r="AH129" s="344">
        <f>IF(coder1_YH!R129="",AH128,coder1_YH!R129)</f>
        <v>5</v>
      </c>
      <c r="AI129" s="344">
        <f t="shared" si="19"/>
        <v>5</v>
      </c>
      <c r="AJ129" s="345">
        <f t="shared" si="36"/>
        <v>0</v>
      </c>
      <c r="AK129" s="408">
        <f>IF(coder1_YH!S129="",AK128,coder1_YH!S129)</f>
        <v>10.5</v>
      </c>
      <c r="AL129" s="345">
        <f>IF(coder1_YH!T129="",AL128,IF(coder1_YH!T129="mixed",0.25,coder1_YH!T129))</f>
        <v>0.25</v>
      </c>
      <c r="AM129" s="345" t="str">
        <f>IF(coder1_YH!U129 = "", AM128, IF(coder1_YH!U129="mixed","NA",coder1_YH!U129))</f>
        <v>NA</v>
      </c>
      <c r="AN129" s="345" t="str">
        <f>IF(coder1_YH!V129="",AN128,coder1_YH!V129)</f>
        <v>NA</v>
      </c>
      <c r="AO129" s="345" t="str">
        <f>IF(coder1_YH!W129="",AO128,coder1_YH!W129)</f>
        <v>NA</v>
      </c>
      <c r="AP129" s="345">
        <f>IF(coder1_YH!X129="",AP128,coder1_YH!X129)</f>
        <v>0.58490566037735847</v>
      </c>
      <c r="AQ129" s="345" t="str">
        <f>IF(coder1_YH!Y129="",AQ128,coder1_YH!Y129)</f>
        <v>NA</v>
      </c>
      <c r="AR129">
        <f>coder1_YH!AB129</f>
        <v>0</v>
      </c>
      <c r="AS129" s="345" t="str">
        <f>IF(coder1_YH!AC129 = "", AS128,IF(coder1_YH!AC129="BAU","BAU",LEFT(coder1_YH!AC129)))</f>
        <v>0</v>
      </c>
      <c r="AT129" s="345" t="str">
        <f>IF(coder1_YH!AD129 = "", AT128,IF(coder1_YH!AD129="BAU","BAU",LEFT(coder1_YH!AD129)))</f>
        <v>0</v>
      </c>
      <c r="AU129" s="345" t="str">
        <f>IF(coder1_YH!AE129 = "", AU128,IF(coder1_YH!AE129="BAU","BAU",LEFT(coder1_YH!AE129)))</f>
        <v>1</v>
      </c>
      <c r="AV129" s="345" t="str">
        <f>IF(coder1_YH!AF129="",AV128,coder1_YH!AF129)</f>
        <v>NA</v>
      </c>
      <c r="AW129" s="345" t="str">
        <f t="shared" si="37"/>
        <v>NA</v>
      </c>
      <c r="AX129" s="345" t="str">
        <f>IF(coder1_YH!AG129="",AX128,coder1_YH!AG129)</f>
        <v>one academic year</v>
      </c>
      <c r="AY129" s="345" t="str">
        <f>IF(coder1_YH!AH129="",AY128,coder1_YH!AH129)</f>
        <v>NA</v>
      </c>
      <c r="AZ129" s="345" t="str">
        <f>IF(coder1_YH!AI129 = "", AZ128, IF(coder1_YH!AI129="BAU","BAU",LEFT(coder1_YH!AI129)))</f>
        <v>1</v>
      </c>
      <c r="BA129" s="384">
        <f>clean_data!Y129</f>
        <v>26</v>
      </c>
    </row>
    <row r="130" spans="1:53" x14ac:dyDescent="0.2">
      <c r="A130">
        <f>coder1_YH!B130</f>
        <v>0</v>
      </c>
      <c r="B130">
        <f>coder1_YH!C130</f>
        <v>130</v>
      </c>
      <c r="C130">
        <f>coder1_YH!D130</f>
        <v>0</v>
      </c>
      <c r="D130" t="str">
        <f>coder1_YH!E130</f>
        <v/>
      </c>
      <c r="E130" t="str">
        <f>coder1_YH!F130</f>
        <v/>
      </c>
      <c r="F130" s="321" t="str">
        <f>IF(coder1_YH!G130="", clean_mod!F129, coder1_YH!G130)</f>
        <v>Guthrie et al. 1999</v>
      </c>
      <c r="G130" s="321" t="str">
        <f t="shared" si="20"/>
        <v>125</v>
      </c>
      <c r="H130" s="321">
        <f>IF(coder1_YH!H130="", clean_mod!H129, coder1_YH!H130)</f>
        <v>125.39999999999998</v>
      </c>
      <c r="I130" s="404" t="str">
        <f t="shared" si="21"/>
        <v>1999</v>
      </c>
      <c r="J130" s="344" t="str">
        <f>IF(coder1_YH!I130="",J129,coder1_YH!I130)</f>
        <v>USA</v>
      </c>
      <c r="K130" s="345">
        <f t="shared" si="22"/>
        <v>0</v>
      </c>
      <c r="L130" s="344" t="str">
        <f>IF(coder1_YH!J130 = "",L129, coder1_YH!J130)</f>
        <v>English</v>
      </c>
      <c r="M130" s="345">
        <f t="shared" si="23"/>
        <v>0</v>
      </c>
      <c r="N130" s="345" t="str">
        <f>IF(coder1_YH!K130 = "", N129, LEFT(coder1_YH!K130,1))</f>
        <v>0</v>
      </c>
      <c r="O130" s="345" t="str">
        <f>IF(coder1_YH!L130 = "", O129, LEFT(coder1_YH!L130,1))</f>
        <v>0</v>
      </c>
      <c r="P130" s="345" t="str">
        <f>IF(coder1_YH!M130 = "", P129, LEFT(coder1_YH!M130,1))</f>
        <v>1</v>
      </c>
      <c r="Q130" s="321">
        <f>coder1_YH!P130</f>
        <v>0</v>
      </c>
      <c r="R130" s="321">
        <f>coder1_YH!Q130</f>
        <v>0</v>
      </c>
      <c r="S130" s="323" t="str">
        <f t="shared" si="24"/>
        <v>N</v>
      </c>
      <c r="T130" s="323" t="str">
        <f t="shared" si="25"/>
        <v/>
      </c>
      <c r="U130" s="323" t="str">
        <f t="shared" si="26"/>
        <v/>
      </c>
      <c r="V130" s="323" t="str">
        <f t="shared" si="27"/>
        <v/>
      </c>
      <c r="W130" s="323">
        <f t="shared" si="28"/>
        <v>1</v>
      </c>
      <c r="X130" s="385" t="str">
        <f>IF(coder1_YH!N130 = "",X129,coder1_YH!N130)</f>
        <v>N</v>
      </c>
      <c r="Y130" s="385" t="str">
        <f>IF(coder1_YH!O130 = "",Y129,coder1_YH!O130)</f>
        <v xml:space="preserve">m </v>
      </c>
      <c r="Z130" s="385" t="str">
        <f t="shared" si="29"/>
        <v>M</v>
      </c>
      <c r="AA130" s="385" t="str">
        <f t="shared" si="30"/>
        <v>R</v>
      </c>
      <c r="AB130" s="385" t="str">
        <f t="shared" si="31"/>
        <v>MR</v>
      </c>
      <c r="AC130" s="323" t="str">
        <f t="shared" si="32"/>
        <v xml:space="preserve">Nm </v>
      </c>
      <c r="AD130" s="323" t="str">
        <f t="shared" si="33"/>
        <v>N_R</v>
      </c>
      <c r="AF130" s="369" t="str">
        <f t="shared" si="34"/>
        <v xml:space="preserve">125.4-Nm </v>
      </c>
      <c r="AG130" s="369" t="str">
        <f t="shared" si="35"/>
        <v>125.4-N_R</v>
      </c>
      <c r="AH130" s="344">
        <f>IF(coder1_YH!R130="",AH129,coder1_YH!R130)</f>
        <v>5</v>
      </c>
      <c r="AI130" s="344">
        <f t="shared" ref="AI130:AI193" si="39">IF(AH130="4, 5",4.5,IF(AH130="7, 8, 9",8,IF(AH130="3, 4",3.5,IF(AH130="7, 8",7.5,IF(AH130="5, 6",5.5,IF(AH130="4,5,6,7,8",6,AH130))))))</f>
        <v>5</v>
      </c>
      <c r="AJ130" s="345">
        <f t="shared" si="36"/>
        <v>0</v>
      </c>
      <c r="AK130" s="408">
        <f>IF(coder1_YH!S130="",AK129,coder1_YH!S130)</f>
        <v>10.5</v>
      </c>
      <c r="AL130" s="345">
        <f>IF(coder1_YH!T130="",AL129,IF(coder1_YH!T130="mixed",0.25,coder1_YH!T130))</f>
        <v>0.25</v>
      </c>
      <c r="AM130" s="345" t="str">
        <f>IF(coder1_YH!U130 = "", AM129, IF(coder1_YH!U130="mixed","NA",coder1_YH!U130))</f>
        <v>NA</v>
      </c>
      <c r="AN130" s="345" t="str">
        <f>IF(coder1_YH!V130="",AN129,coder1_YH!V130)</f>
        <v>NA</v>
      </c>
      <c r="AO130" s="345" t="str">
        <f>IF(coder1_YH!W130="",AO129,coder1_YH!W130)</f>
        <v>NA</v>
      </c>
      <c r="AP130" s="345">
        <f>IF(coder1_YH!X130="",AP129,coder1_YH!X130)</f>
        <v>0.58490566037735847</v>
      </c>
      <c r="AQ130" s="345" t="str">
        <f>IF(coder1_YH!Y130="",AQ129,coder1_YH!Y130)</f>
        <v>NA</v>
      </c>
      <c r="AR130">
        <f>coder1_YH!AB130</f>
        <v>0</v>
      </c>
      <c r="AS130" s="345" t="str">
        <f>IF(coder1_YH!AC130 = "", AS129,IF(coder1_YH!AC130="BAU","BAU",LEFT(coder1_YH!AC130)))</f>
        <v>0</v>
      </c>
      <c r="AT130" s="345" t="str">
        <f>IF(coder1_YH!AD130 = "", AT129,IF(coder1_YH!AD130="BAU","BAU",LEFT(coder1_YH!AD130)))</f>
        <v>0</v>
      </c>
      <c r="AU130" s="345" t="str">
        <f>IF(coder1_YH!AE130 = "", AU129,IF(coder1_YH!AE130="BAU","BAU",LEFT(coder1_YH!AE130)))</f>
        <v>1</v>
      </c>
      <c r="AV130" s="345" t="str">
        <f>IF(coder1_YH!AF130="",AV129,coder1_YH!AF130)</f>
        <v>NA</v>
      </c>
      <c r="AW130" s="345" t="str">
        <f t="shared" si="37"/>
        <v>NA</v>
      </c>
      <c r="AX130" s="345" t="str">
        <f>IF(coder1_YH!AG130="",AX129,coder1_YH!AG130)</f>
        <v>one academic year</v>
      </c>
      <c r="AY130" s="345" t="str">
        <f>IF(coder1_YH!AH130="",AY129,coder1_YH!AH130)</f>
        <v>NA</v>
      </c>
      <c r="AZ130" s="345" t="str">
        <f>IF(coder1_YH!AI130 = "", AZ129, IF(coder1_YH!AI130="BAU","BAU",LEFT(coder1_YH!AI130)))</f>
        <v>1</v>
      </c>
      <c r="BA130" s="384" t="str">
        <f>clean_data!Y130</f>
        <v>NA</v>
      </c>
    </row>
    <row r="131" spans="1:53" x14ac:dyDescent="0.2">
      <c r="A131">
        <f>coder1_YH!B131</f>
        <v>0</v>
      </c>
      <c r="B131">
        <f>coder1_YH!C131</f>
        <v>131</v>
      </c>
      <c r="C131">
        <f>coder1_YH!D131</f>
        <v>0</v>
      </c>
      <c r="D131" t="str">
        <f>coder1_YH!E131</f>
        <v/>
      </c>
      <c r="E131" t="b">
        <f>coder1_YH!F131</f>
        <v>1</v>
      </c>
      <c r="F131" s="321" t="str">
        <f>IF(coder1_YH!G131="", clean_mod!F130, coder1_YH!G131)</f>
        <v>Guthrie et al. 1999</v>
      </c>
      <c r="G131" s="321" t="str">
        <f t="shared" ref="G131:G194" si="40">LEFT(H131,3)</f>
        <v>125</v>
      </c>
      <c r="H131" s="321">
        <f>IF(coder1_YH!H131="", clean_mod!H130, coder1_YH!H131)</f>
        <v>125.39999999999998</v>
      </c>
      <c r="I131" s="404" t="str">
        <f t="shared" ref="I131:I171" si="41">RIGHT(F131,4)</f>
        <v>1999</v>
      </c>
      <c r="J131" s="344" t="str">
        <f>IF(coder1_YH!I131="",J130,coder1_YH!I131)</f>
        <v>USA</v>
      </c>
      <c r="K131" s="345">
        <f t="shared" ref="K131:K194" si="42">IF(J131="USA",0,1)</f>
        <v>0</v>
      </c>
      <c r="L131" s="344" t="str">
        <f>IF(coder1_YH!J131 = "",L130, coder1_YH!J131)</f>
        <v>English</v>
      </c>
      <c r="M131" s="345">
        <f t="shared" ref="M131:M194" si="43">IF(L131="English",0,1)</f>
        <v>0</v>
      </c>
      <c r="N131" s="345" t="str">
        <f>IF(coder1_YH!K131 = "", N130, LEFT(coder1_YH!K131,1))</f>
        <v>0</v>
      </c>
      <c r="O131" s="345" t="str">
        <f>IF(coder1_YH!L131 = "", O130, LEFT(coder1_YH!L131,1))</f>
        <v>0</v>
      </c>
      <c r="P131" s="345" t="str">
        <f>IF(coder1_YH!M131 = "", P130, LEFT(coder1_YH!M131,1))</f>
        <v>1</v>
      </c>
      <c r="Q131" s="321" t="str">
        <f>coder1_YH!P131</f>
        <v>ctl</v>
      </c>
      <c r="R131" s="321" t="str">
        <f>coder1_YH!Q131</f>
        <v>TI,Grade 5,Volcano</v>
      </c>
      <c r="S131" s="323" t="str">
        <f t="shared" ref="S131:S194" si="44">IF(ISNUMBER(SEARCH("N", $X131)), "N", "")</f>
        <v/>
      </c>
      <c r="T131" s="323" t="str">
        <f t="shared" ref="T131:T194" si="45">IF(ISNUMBER(SEARCH("V", $X131)), "V", "")</f>
        <v/>
      </c>
      <c r="U131" s="323" t="str">
        <f t="shared" ref="U131:U194" si="46">IF(ISNUMBER(SEARCH("G", $X131)), "G", "")</f>
        <v/>
      </c>
      <c r="V131" s="323" t="str">
        <f t="shared" ref="V131:V194" si="47">IF(ISNUMBER(SEARCH("T", $X131)), "T", "")</f>
        <v/>
      </c>
      <c r="W131" s="323">
        <f t="shared" ref="W131:W194" si="48">4 - COUNTIF(S131:V131, "")</f>
        <v>0</v>
      </c>
      <c r="X131" s="385" t="str">
        <f>IF(coder1_YH!N131 = "",X130,coder1_YH!N131)</f>
        <v>.</v>
      </c>
      <c r="Y131" s="385" t="str">
        <f>IF(coder1_YH!O131 = "",Y130,coder1_YH!O131)</f>
        <v xml:space="preserve">m </v>
      </c>
      <c r="Z131" s="385" t="str">
        <f t="shared" ref="Z131:Z194" si="49">IF(X131=".","","M")</f>
        <v/>
      </c>
      <c r="AA131" s="385" t="str">
        <f t="shared" ref="AA131:AA193" si="50">IF(Y131=".","BAU","R")</f>
        <v>R</v>
      </c>
      <c r="AB131" s="385" t="str">
        <f t="shared" ref="AB131:AB193" si="51">Z131&amp;AA131</f>
        <v>R</v>
      </c>
      <c r="AC131" s="323" t="str">
        <f t="shared" ref="AC131:AC194" si="52">X131&amp;Y131</f>
        <v xml:space="preserve">.m </v>
      </c>
      <c r="AD131" s="323" t="str">
        <f t="shared" ref="AD131:AD194" si="53">IF(X131=".",AA131,X131&amp;"_"&amp;AA131)</f>
        <v>R</v>
      </c>
      <c r="AF131" s="369" t="str">
        <f t="shared" ref="AF131:AF194" si="54">$H131&amp;"-"&amp;AC131</f>
        <v xml:space="preserve">125.4-.m </v>
      </c>
      <c r="AG131" s="369" t="str">
        <f t="shared" ref="AG131:AG194" si="55">$H131&amp;"-"&amp;AD131</f>
        <v>125.4-R</v>
      </c>
      <c r="AH131" s="344">
        <f>IF(coder1_YH!R131="",AH130,coder1_YH!R131)</f>
        <v>5</v>
      </c>
      <c r="AI131" s="344">
        <f t="shared" si="39"/>
        <v>5</v>
      </c>
      <c r="AJ131" s="345">
        <f t="shared" ref="AJ131:AJ194" si="56">IF(AI131&lt;6,0,1)</f>
        <v>0</v>
      </c>
      <c r="AK131" s="408">
        <f>IF(coder1_YH!S131="",AK130,coder1_YH!S131)</f>
        <v>10.5</v>
      </c>
      <c r="AL131" s="345">
        <f>IF(coder1_YH!T131="",AL130,IF(coder1_YH!T131="mixed",0.25,coder1_YH!T131))</f>
        <v>0.25</v>
      </c>
      <c r="AM131" s="345" t="str">
        <f>IF(coder1_YH!U131 = "", AM130, IF(coder1_YH!U131="mixed","NA",coder1_YH!U131))</f>
        <v>NA</v>
      </c>
      <c r="AN131" s="345" t="str">
        <f>IF(coder1_YH!V131="",AN130,coder1_YH!V131)</f>
        <v>NA</v>
      </c>
      <c r="AO131" s="345" t="str">
        <f>IF(coder1_YH!W131="",AO130,coder1_YH!W131)</f>
        <v>NA</v>
      </c>
      <c r="AP131" s="345">
        <f>IF(coder1_YH!X131="",AP130,coder1_YH!X131)</f>
        <v>0.47169811320754718</v>
      </c>
      <c r="AQ131" s="345" t="str">
        <f>IF(coder1_YH!Y131="",AQ130,coder1_YH!Y131)</f>
        <v>NA</v>
      </c>
      <c r="AR131" t="str">
        <f>coder1_YH!AB131</f>
        <v>1 = Published/Commercially available curriculum</v>
      </c>
      <c r="AS131" s="345" t="str">
        <f>IF(coder1_YH!AC131 = "", AS130,IF(coder1_YH!AC131="BAU","BAU",LEFT(coder1_YH!AC131)))</f>
        <v>0</v>
      </c>
      <c r="AT131" s="345" t="str">
        <f>IF(coder1_YH!AD131 = "", AT130,IF(coder1_YH!AD131="BAU","BAU",LEFT(coder1_YH!AD131)))</f>
        <v>0</v>
      </c>
      <c r="AU131" s="345" t="str">
        <f>IF(coder1_YH!AE131 = "", AU130,IF(coder1_YH!AE131="BAU","BAU",LEFT(coder1_YH!AE131)))</f>
        <v>1</v>
      </c>
      <c r="AV131" s="345" t="str">
        <f>IF(coder1_YH!AF131="",AV130,coder1_YH!AF131)</f>
        <v>BAU</v>
      </c>
      <c r="AW131" s="345" t="str">
        <f t="shared" ref="AW131:AW194" si="57">IF(AV131="BAU","BAU",IF(AV131="NA","NA",AV131/60))</f>
        <v>BAU</v>
      </c>
      <c r="AX131" s="345" t="str">
        <f>IF(coder1_YH!AG131="",AX130,coder1_YH!AG131)</f>
        <v>BAU</v>
      </c>
      <c r="AY131" s="345" t="str">
        <f>IF(coder1_YH!AH131="",AY130,coder1_YH!AH131)</f>
        <v>BAU</v>
      </c>
      <c r="AZ131" s="345" t="str">
        <f>IF(coder1_YH!AI131 = "", AZ130, IF(coder1_YH!AI131="BAU","BAU",LEFT(coder1_YH!AI131)))</f>
        <v>BAU</v>
      </c>
      <c r="BA131" s="384">
        <f>clean_data!Y131</f>
        <v>28</v>
      </c>
    </row>
    <row r="132" spans="1:53" x14ac:dyDescent="0.2">
      <c r="A132">
        <f>coder1_YH!B132</f>
        <v>0</v>
      </c>
      <c r="B132">
        <f>coder1_YH!C132</f>
        <v>132</v>
      </c>
      <c r="C132">
        <f>coder1_YH!D132</f>
        <v>0</v>
      </c>
      <c r="D132" t="str">
        <f>coder1_YH!E132</f>
        <v/>
      </c>
      <c r="E132" t="str">
        <f>coder1_YH!F132</f>
        <v/>
      </c>
      <c r="F132" s="321" t="str">
        <f>IF(coder1_YH!G132="", clean_mod!F131, coder1_YH!G132)</f>
        <v>Guthrie et al. 1999</v>
      </c>
      <c r="G132" s="321" t="str">
        <f t="shared" si="40"/>
        <v>125</v>
      </c>
      <c r="H132" s="321">
        <f>IF(coder1_YH!H132="", clean_mod!H131, coder1_YH!H132)</f>
        <v>125.39999999999998</v>
      </c>
      <c r="I132" s="404" t="str">
        <f t="shared" si="41"/>
        <v>1999</v>
      </c>
      <c r="J132" s="344" t="str">
        <f>IF(coder1_YH!I132="",J131,coder1_YH!I132)</f>
        <v>USA</v>
      </c>
      <c r="K132" s="345">
        <f t="shared" si="42"/>
        <v>0</v>
      </c>
      <c r="L132" s="344" t="str">
        <f>IF(coder1_YH!J132 = "",L131, coder1_YH!J132)</f>
        <v>English</v>
      </c>
      <c r="M132" s="345">
        <f t="shared" si="43"/>
        <v>0</v>
      </c>
      <c r="N132" s="345" t="str">
        <f>IF(coder1_YH!K132 = "", N131, LEFT(coder1_YH!K132,1))</f>
        <v>0</v>
      </c>
      <c r="O132" s="345" t="str">
        <f>IF(coder1_YH!L132 = "", O131, LEFT(coder1_YH!L132,1))</f>
        <v>0</v>
      </c>
      <c r="P132" s="345" t="str">
        <f>IF(coder1_YH!M132 = "", P131, LEFT(coder1_YH!M132,1))</f>
        <v>1</v>
      </c>
      <c r="Q132" s="321">
        <f>coder1_YH!P132</f>
        <v>0</v>
      </c>
      <c r="R132" s="321">
        <f>coder1_YH!Q132</f>
        <v>0</v>
      </c>
      <c r="S132" s="323" t="str">
        <f t="shared" si="44"/>
        <v/>
      </c>
      <c r="T132" s="323" t="str">
        <f t="shared" si="45"/>
        <v/>
      </c>
      <c r="U132" s="323" t="str">
        <f t="shared" si="46"/>
        <v/>
      </c>
      <c r="V132" s="323" t="str">
        <f t="shared" si="47"/>
        <v/>
      </c>
      <c r="W132" s="323">
        <f t="shared" si="48"/>
        <v>0</v>
      </c>
      <c r="X132" s="385" t="str">
        <f>IF(coder1_YH!N132 = "",X131,coder1_YH!N132)</f>
        <v>.</v>
      </c>
      <c r="Y132" s="385" t="str">
        <f>IF(coder1_YH!O132 = "",Y131,coder1_YH!O132)</f>
        <v xml:space="preserve">m </v>
      </c>
      <c r="Z132" s="385" t="str">
        <f t="shared" si="49"/>
        <v/>
      </c>
      <c r="AA132" s="385" t="str">
        <f t="shared" si="50"/>
        <v>R</v>
      </c>
      <c r="AB132" s="385" t="str">
        <f t="shared" si="51"/>
        <v>R</v>
      </c>
      <c r="AC132" s="323" t="str">
        <f t="shared" si="52"/>
        <v xml:space="preserve">.m </v>
      </c>
      <c r="AD132" s="323" t="str">
        <f t="shared" si="53"/>
        <v>R</v>
      </c>
      <c r="AF132" s="369" t="str">
        <f t="shared" si="54"/>
        <v xml:space="preserve">125.4-.m </v>
      </c>
      <c r="AG132" s="369" t="str">
        <f t="shared" si="55"/>
        <v>125.4-R</v>
      </c>
      <c r="AH132" s="344">
        <f>IF(coder1_YH!R132="",AH131,coder1_YH!R132)</f>
        <v>5</v>
      </c>
      <c r="AI132" s="344">
        <f t="shared" si="39"/>
        <v>5</v>
      </c>
      <c r="AJ132" s="345">
        <f t="shared" si="56"/>
        <v>0</v>
      </c>
      <c r="AK132" s="408">
        <f>IF(coder1_YH!S132="",AK131,coder1_YH!S132)</f>
        <v>10.5</v>
      </c>
      <c r="AL132" s="345">
        <f>IF(coder1_YH!T132="",AL131,IF(coder1_YH!T132="mixed",0.25,coder1_YH!T132))</f>
        <v>0.25</v>
      </c>
      <c r="AM132" s="345" t="str">
        <f>IF(coder1_YH!U132 = "", AM131, IF(coder1_YH!U132="mixed","NA",coder1_YH!U132))</f>
        <v>NA</v>
      </c>
      <c r="AN132" s="345" t="str">
        <f>IF(coder1_YH!V132="",AN131,coder1_YH!V132)</f>
        <v>NA</v>
      </c>
      <c r="AO132" s="345" t="str">
        <f>IF(coder1_YH!W132="",AO131,coder1_YH!W132)</f>
        <v>NA</v>
      </c>
      <c r="AP132" s="345">
        <f>IF(coder1_YH!X132="",AP131,coder1_YH!X132)</f>
        <v>0.47169811320754718</v>
      </c>
      <c r="AQ132" s="345" t="str">
        <f>IF(coder1_YH!Y132="",AQ131,coder1_YH!Y132)</f>
        <v>NA</v>
      </c>
      <c r="AR132">
        <f>coder1_YH!AB132</f>
        <v>0</v>
      </c>
      <c r="AS132" s="345" t="str">
        <f>IF(coder1_YH!AC132 = "", AS131,IF(coder1_YH!AC132="BAU","BAU",LEFT(coder1_YH!AC132)))</f>
        <v>0</v>
      </c>
      <c r="AT132" s="345" t="str">
        <f>IF(coder1_YH!AD132 = "", AT131,IF(coder1_YH!AD132="BAU","BAU",LEFT(coder1_YH!AD132)))</f>
        <v>0</v>
      </c>
      <c r="AU132" s="345" t="str">
        <f>IF(coder1_YH!AE132 = "", AU131,IF(coder1_YH!AE132="BAU","BAU",LEFT(coder1_YH!AE132)))</f>
        <v>1</v>
      </c>
      <c r="AV132" s="345" t="str">
        <f>IF(coder1_YH!AF132="",AV131,coder1_YH!AF132)</f>
        <v>BAU</v>
      </c>
      <c r="AW132" s="345" t="str">
        <f t="shared" si="57"/>
        <v>BAU</v>
      </c>
      <c r="AX132" s="345" t="str">
        <f>IF(coder1_YH!AG132="",AX131,coder1_YH!AG132)</f>
        <v>BAU</v>
      </c>
      <c r="AY132" s="345" t="str">
        <f>IF(coder1_YH!AH132="",AY131,coder1_YH!AH132)</f>
        <v>BAU</v>
      </c>
      <c r="AZ132" s="345" t="str">
        <f>IF(coder1_YH!AI132 = "", AZ131, IF(coder1_YH!AI132="BAU","BAU",LEFT(coder1_YH!AI132)))</f>
        <v>BAU</v>
      </c>
      <c r="BA132" s="384">
        <f>clean_data!Y132</f>
        <v>28</v>
      </c>
    </row>
    <row r="133" spans="1:53" x14ac:dyDescent="0.2">
      <c r="A133">
        <f>coder1_YH!B133</f>
        <v>0</v>
      </c>
      <c r="B133">
        <f>coder1_YH!C133</f>
        <v>133</v>
      </c>
      <c r="C133">
        <f>coder1_YH!D133</f>
        <v>0</v>
      </c>
      <c r="D133" t="str">
        <f>coder1_YH!E133</f>
        <v/>
      </c>
      <c r="E133" t="str">
        <f>coder1_YH!F133</f>
        <v/>
      </c>
      <c r="F133" s="321" t="str">
        <f>IF(coder1_YH!G133="", clean_mod!F132, coder1_YH!G133)</f>
        <v>Guthrie et al. 1999</v>
      </c>
      <c r="G133" s="321" t="str">
        <f t="shared" si="40"/>
        <v>125</v>
      </c>
      <c r="H133" s="321">
        <f>IF(coder1_YH!H133="", clean_mod!H132, coder1_YH!H133)</f>
        <v>125.39999999999998</v>
      </c>
      <c r="I133" s="404" t="str">
        <f t="shared" si="41"/>
        <v>1999</v>
      </c>
      <c r="J133" s="344" t="str">
        <f>IF(coder1_YH!I133="",J132,coder1_YH!I133)</f>
        <v>USA</v>
      </c>
      <c r="K133" s="345">
        <f t="shared" si="42"/>
        <v>0</v>
      </c>
      <c r="L133" s="344" t="str">
        <f>IF(coder1_YH!J133 = "",L132, coder1_YH!J133)</f>
        <v>English</v>
      </c>
      <c r="M133" s="345">
        <f t="shared" si="43"/>
        <v>0</v>
      </c>
      <c r="N133" s="345" t="str">
        <f>IF(coder1_YH!K133 = "", N132, LEFT(coder1_YH!K133,1))</f>
        <v>0</v>
      </c>
      <c r="O133" s="345" t="str">
        <f>IF(coder1_YH!L133 = "", O132, LEFT(coder1_YH!L133,1))</f>
        <v>0</v>
      </c>
      <c r="P133" s="345" t="str">
        <f>IF(coder1_YH!M133 = "", P132, LEFT(coder1_YH!M133,1))</f>
        <v>1</v>
      </c>
      <c r="Q133" s="321">
        <f>coder1_YH!P133</f>
        <v>0</v>
      </c>
      <c r="R133" s="321">
        <f>coder1_YH!Q133</f>
        <v>0</v>
      </c>
      <c r="S133" s="323" t="str">
        <f t="shared" si="44"/>
        <v/>
      </c>
      <c r="T133" s="323" t="str">
        <f t="shared" si="45"/>
        <v/>
      </c>
      <c r="U133" s="323" t="str">
        <f t="shared" si="46"/>
        <v/>
      </c>
      <c r="V133" s="323" t="str">
        <f t="shared" si="47"/>
        <v/>
      </c>
      <c r="W133" s="323">
        <f t="shared" si="48"/>
        <v>0</v>
      </c>
      <c r="X133" s="385" t="str">
        <f>IF(coder1_YH!N133 = "",X132,coder1_YH!N133)</f>
        <v>.</v>
      </c>
      <c r="Y133" s="385" t="str">
        <f>IF(coder1_YH!O133 = "",Y132,coder1_YH!O133)</f>
        <v xml:space="preserve">m </v>
      </c>
      <c r="Z133" s="385" t="str">
        <f t="shared" si="49"/>
        <v/>
      </c>
      <c r="AA133" s="385" t="str">
        <f t="shared" si="50"/>
        <v>R</v>
      </c>
      <c r="AB133" s="385" t="str">
        <f t="shared" si="51"/>
        <v>R</v>
      </c>
      <c r="AC133" s="323" t="str">
        <f t="shared" si="52"/>
        <v xml:space="preserve">.m </v>
      </c>
      <c r="AD133" s="323" t="str">
        <f t="shared" si="53"/>
        <v>R</v>
      </c>
      <c r="AF133" s="369" t="str">
        <f t="shared" si="54"/>
        <v xml:space="preserve">125.4-.m </v>
      </c>
      <c r="AG133" s="369" t="str">
        <f t="shared" si="55"/>
        <v>125.4-R</v>
      </c>
      <c r="AH133" s="344">
        <f>IF(coder1_YH!R133="",AH132,coder1_YH!R133)</f>
        <v>5</v>
      </c>
      <c r="AI133" s="344">
        <f t="shared" si="39"/>
        <v>5</v>
      </c>
      <c r="AJ133" s="345">
        <f t="shared" si="56"/>
        <v>0</v>
      </c>
      <c r="AK133" s="408">
        <f>IF(coder1_YH!S133="",AK132,coder1_YH!S133)</f>
        <v>10.5</v>
      </c>
      <c r="AL133" s="345">
        <f>IF(coder1_YH!T133="",AL132,IF(coder1_YH!T133="mixed",0.25,coder1_YH!T133))</f>
        <v>0.25</v>
      </c>
      <c r="AM133" s="345" t="str">
        <f>IF(coder1_YH!U133 = "", AM132, IF(coder1_YH!U133="mixed","NA",coder1_YH!U133))</f>
        <v>NA</v>
      </c>
      <c r="AN133" s="345" t="str">
        <f>IF(coder1_YH!V133="",AN132,coder1_YH!V133)</f>
        <v>NA</v>
      </c>
      <c r="AO133" s="345" t="str">
        <f>IF(coder1_YH!W133="",AO132,coder1_YH!W133)</f>
        <v>NA</v>
      </c>
      <c r="AP133" s="345">
        <f>IF(coder1_YH!X133="",AP132,coder1_YH!X133)</f>
        <v>0.47169811320754718</v>
      </c>
      <c r="AQ133" s="345" t="str">
        <f>IF(coder1_YH!Y133="",AQ132,coder1_YH!Y133)</f>
        <v>NA</v>
      </c>
      <c r="AR133">
        <f>coder1_YH!AB133</f>
        <v>0</v>
      </c>
      <c r="AS133" s="345" t="str">
        <f>IF(coder1_YH!AC133 = "", AS132,IF(coder1_YH!AC133="BAU","BAU",LEFT(coder1_YH!AC133)))</f>
        <v>0</v>
      </c>
      <c r="AT133" s="345" t="str">
        <f>IF(coder1_YH!AD133 = "", AT132,IF(coder1_YH!AD133="BAU","BAU",LEFT(coder1_YH!AD133)))</f>
        <v>0</v>
      </c>
      <c r="AU133" s="345" t="str">
        <f>IF(coder1_YH!AE133 = "", AU132,IF(coder1_YH!AE133="BAU","BAU",LEFT(coder1_YH!AE133)))</f>
        <v>1</v>
      </c>
      <c r="AV133" s="345" t="str">
        <f>IF(coder1_YH!AF133="",AV132,coder1_YH!AF133)</f>
        <v>BAU</v>
      </c>
      <c r="AW133" s="345" t="str">
        <f t="shared" si="57"/>
        <v>BAU</v>
      </c>
      <c r="AX133" s="345" t="str">
        <f>IF(coder1_YH!AG133="",AX132,coder1_YH!AG133)</f>
        <v>BAU</v>
      </c>
      <c r="AY133" s="345" t="str">
        <f>IF(coder1_YH!AH133="",AY132,coder1_YH!AH133)</f>
        <v>BAU</v>
      </c>
      <c r="AZ133" s="345" t="str">
        <f>IF(coder1_YH!AI133 = "", AZ132, IF(coder1_YH!AI133="BAU","BAU",LEFT(coder1_YH!AI133)))</f>
        <v>BAU</v>
      </c>
      <c r="BA133" s="384" t="str">
        <f>clean_data!Y133</f>
        <v>NA</v>
      </c>
    </row>
    <row r="134" spans="1:53" x14ac:dyDescent="0.2">
      <c r="A134">
        <f>coder1_YH!B134</f>
        <v>0</v>
      </c>
      <c r="B134">
        <f>coder1_YH!C134</f>
        <v>134</v>
      </c>
      <c r="C134" t="b">
        <f>coder1_YH!D134</f>
        <v>1</v>
      </c>
      <c r="D134" t="b">
        <f>coder1_YH!E134</f>
        <v>1</v>
      </c>
      <c r="E134" t="b">
        <f>coder1_YH!F134</f>
        <v>1</v>
      </c>
      <c r="F134" s="321" t="str">
        <f>IF(coder1_YH!G134="", clean_mod!F133, coder1_YH!G134)</f>
        <v>Guthrie et al. 2009</v>
      </c>
      <c r="G134" s="321" t="str">
        <f t="shared" si="40"/>
        <v>126</v>
      </c>
      <c r="H134" s="321">
        <f>IF(coder1_YH!H134="", clean_mod!H133, coder1_YH!H134)</f>
        <v>126.1</v>
      </c>
      <c r="I134" s="404" t="str">
        <f t="shared" si="41"/>
        <v>2009</v>
      </c>
      <c r="J134" s="344" t="str">
        <f>IF(coder1_YH!I134="",J133,coder1_YH!I134)</f>
        <v>USA</v>
      </c>
      <c r="K134" s="345">
        <f t="shared" si="42"/>
        <v>0</v>
      </c>
      <c r="L134" s="344" t="str">
        <f>IF(coder1_YH!J134 = "",L133, coder1_YH!J134)</f>
        <v>English</v>
      </c>
      <c r="M134" s="345">
        <f t="shared" si="43"/>
        <v>0</v>
      </c>
      <c r="N134" s="345" t="str">
        <f>IF(coder1_YH!K134 = "", N133, LEFT(coder1_YH!K134,1))</f>
        <v>0</v>
      </c>
      <c r="O134" s="345" t="str">
        <f>IF(coder1_YH!L134 = "", O133, LEFT(coder1_YH!L134,1))</f>
        <v>0</v>
      </c>
      <c r="P134" s="345" t="str">
        <f>IF(coder1_YH!M134 = "", P133, LEFT(coder1_YH!M134,1))</f>
        <v>1</v>
      </c>
      <c r="Q134" s="321">
        <f>coder1_YH!P134</f>
        <v>1</v>
      </c>
      <c r="R134" s="321" t="str">
        <f>coder1_YH!Q134</f>
        <v>CORI (Low)</v>
      </c>
      <c r="S134" s="323" t="str">
        <f t="shared" si="44"/>
        <v>N</v>
      </c>
      <c r="T134" s="323" t="str">
        <f t="shared" si="45"/>
        <v/>
      </c>
      <c r="U134" s="323" t="str">
        <f t="shared" si="46"/>
        <v/>
      </c>
      <c r="V134" s="323" t="str">
        <f t="shared" si="47"/>
        <v/>
      </c>
      <c r="W134" s="323">
        <f t="shared" si="48"/>
        <v>1</v>
      </c>
      <c r="X134" s="385" t="str">
        <f>IF(coder1_YH!N134 = "",X133,coder1_YH!N134)</f>
        <v>N</v>
      </c>
      <c r="Y134" s="385" t="str">
        <f>IF(coder1_YH!O134 = "",Y133,coder1_YH!O134)</f>
        <v>cm</v>
      </c>
      <c r="Z134" s="385" t="str">
        <f t="shared" si="49"/>
        <v>M</v>
      </c>
      <c r="AA134" s="385" t="str">
        <f t="shared" si="50"/>
        <v>R</v>
      </c>
      <c r="AB134" s="385" t="str">
        <f t="shared" si="51"/>
        <v>MR</v>
      </c>
      <c r="AC134" s="323" t="str">
        <f t="shared" si="52"/>
        <v>Ncm</v>
      </c>
      <c r="AD134" s="323" t="str">
        <f t="shared" si="53"/>
        <v>N_R</v>
      </c>
      <c r="AE134" s="323">
        <f>IF(Y134="cm", 1,0)</f>
        <v>1</v>
      </c>
      <c r="AF134" s="369" t="str">
        <f t="shared" si="54"/>
        <v>126.1-Ncm</v>
      </c>
      <c r="AG134" s="369" t="str">
        <f t="shared" si="55"/>
        <v>126.1-N_R</v>
      </c>
      <c r="AH134" s="344">
        <f>IF(coder1_YH!R134="",AH133,coder1_YH!R134)</f>
        <v>5</v>
      </c>
      <c r="AI134" s="344">
        <f t="shared" si="39"/>
        <v>5</v>
      </c>
      <c r="AJ134" s="345">
        <f t="shared" si="56"/>
        <v>0</v>
      </c>
      <c r="AK134" s="408">
        <f>IF(coder1_YH!S134="",AK133,coder1_YH!S134)</f>
        <v>10.5</v>
      </c>
      <c r="AL134" s="345" t="str">
        <f>IF(coder1_YH!T134="",AL133,IF(coder1_YH!T134="mixed",0.25,coder1_YH!T134))</f>
        <v>NA</v>
      </c>
      <c r="AM134" s="345">
        <f>IF(coder1_YH!U134 = "", AM133, IF(coder1_YH!U134="mixed","NA",coder1_YH!U134))</f>
        <v>0.02</v>
      </c>
      <c r="AN134" s="345" t="str">
        <f>IF(coder1_YH!V134="",AN133,coder1_YH!V134)</f>
        <v>NA</v>
      </c>
      <c r="AO134" s="345">
        <f>IF(coder1_YH!W134="",AO133,coder1_YH!W134)</f>
        <v>0</v>
      </c>
      <c r="AP134" s="345">
        <f>IF(coder1_YH!X134="",AP133,coder1_YH!X134)</f>
        <v>0.48799999999999999</v>
      </c>
      <c r="AQ134" s="345">
        <f>IF(coder1_YH!Y134="",AQ133,coder1_YH!Y134)</f>
        <v>0.58000000000000007</v>
      </c>
      <c r="AR134" t="str">
        <f>coder1_YH!AB134</f>
        <v>0 = Researcher-developed/adapted curriculum</v>
      </c>
      <c r="AS134" s="345" t="str">
        <f>IF(coder1_YH!AC134 = "", AS133,IF(coder1_YH!AC134="BAU","BAU",LEFT(coder1_YH!AC134)))</f>
        <v>0</v>
      </c>
      <c r="AT134" s="345" t="str">
        <f>IF(coder1_YH!AD134 = "", AT133,IF(coder1_YH!AD134="BAU","BAU",LEFT(coder1_YH!AD134)))</f>
        <v>0</v>
      </c>
      <c r="AU134" s="345" t="str">
        <f>IF(coder1_YH!AE134 = "", AU133,IF(coder1_YH!AE134="BAU","BAU",LEFT(coder1_YH!AE134)))</f>
        <v>1</v>
      </c>
      <c r="AV134" s="345">
        <f>IF(coder1_YH!AF134="",AV133,coder1_YH!AF134)</f>
        <v>5400</v>
      </c>
      <c r="AW134" s="345">
        <f t="shared" si="57"/>
        <v>90</v>
      </c>
      <c r="AX134" s="345">
        <f>IF(coder1_YH!AG134="",AX133,coder1_YH!AG134)</f>
        <v>60</v>
      </c>
      <c r="AY134" s="345">
        <f>IF(coder1_YH!AH134="",AY133,coder1_YH!AH134)</f>
        <v>90</v>
      </c>
      <c r="AZ134" s="345" t="str">
        <f>IF(coder1_YH!AI134 = "", AZ133, IF(coder1_YH!AI134="BAU","BAU",LEFT(coder1_YH!AI134)))</f>
        <v>1</v>
      </c>
      <c r="BA134" s="384">
        <f>clean_data!Y134</f>
        <v>41</v>
      </c>
    </row>
    <row r="135" spans="1:53" x14ac:dyDescent="0.2">
      <c r="A135">
        <f>coder1_YH!B135</f>
        <v>0</v>
      </c>
      <c r="B135">
        <f>coder1_YH!C135</f>
        <v>135</v>
      </c>
      <c r="C135">
        <f>coder1_YH!D135</f>
        <v>0</v>
      </c>
      <c r="D135" t="str">
        <f>coder1_YH!E135</f>
        <v/>
      </c>
      <c r="E135" t="str">
        <f>coder1_YH!F135</f>
        <v/>
      </c>
      <c r="F135" s="321" t="str">
        <f>IF(coder1_YH!G135="", clean_mod!F134, coder1_YH!G135)</f>
        <v>Guthrie et al. 2009</v>
      </c>
      <c r="G135" s="321" t="str">
        <f t="shared" si="40"/>
        <v>126</v>
      </c>
      <c r="H135" s="321">
        <f>IF(coder1_YH!H135="", clean_mod!H134, coder1_YH!H135)</f>
        <v>126.1</v>
      </c>
      <c r="I135" s="404" t="str">
        <f t="shared" si="41"/>
        <v>2009</v>
      </c>
      <c r="J135" s="344" t="str">
        <f>IF(coder1_YH!I135="",J134,coder1_YH!I135)</f>
        <v>USA</v>
      </c>
      <c r="K135" s="345">
        <f t="shared" si="42"/>
        <v>0</v>
      </c>
      <c r="L135" s="344" t="str">
        <f>IF(coder1_YH!J135 = "",L134, coder1_YH!J135)</f>
        <v>English</v>
      </c>
      <c r="M135" s="345">
        <f t="shared" si="43"/>
        <v>0</v>
      </c>
      <c r="N135" s="345" t="str">
        <f>IF(coder1_YH!K135 = "", N134, LEFT(coder1_YH!K135,1))</f>
        <v>0</v>
      </c>
      <c r="O135" s="345" t="str">
        <f>IF(coder1_YH!L135 = "", O134, LEFT(coder1_YH!L135,1))</f>
        <v>0</v>
      </c>
      <c r="P135" s="345" t="str">
        <f>IF(coder1_YH!M135 = "", P134, LEFT(coder1_YH!M135,1))</f>
        <v>1</v>
      </c>
      <c r="Q135" s="321">
        <f>coder1_YH!P135</f>
        <v>0</v>
      </c>
      <c r="R135" s="321">
        <f>coder1_YH!Q135</f>
        <v>0</v>
      </c>
      <c r="S135" s="323" t="str">
        <f t="shared" si="44"/>
        <v>N</v>
      </c>
      <c r="T135" s="323" t="str">
        <f t="shared" si="45"/>
        <v/>
      </c>
      <c r="U135" s="323" t="str">
        <f t="shared" si="46"/>
        <v/>
      </c>
      <c r="V135" s="323" t="str">
        <f t="shared" si="47"/>
        <v/>
      </c>
      <c r="W135" s="323">
        <f t="shared" si="48"/>
        <v>1</v>
      </c>
      <c r="X135" s="385" t="str">
        <f>IF(coder1_YH!N135 = "",X134,coder1_YH!N135)</f>
        <v>N</v>
      </c>
      <c r="Y135" s="385" t="str">
        <f>IF(coder1_YH!O135 = "",Y134,coder1_YH!O135)</f>
        <v>cm</v>
      </c>
      <c r="Z135" s="385" t="str">
        <f t="shared" si="49"/>
        <v>M</v>
      </c>
      <c r="AA135" s="385" t="str">
        <f t="shared" si="50"/>
        <v>R</v>
      </c>
      <c r="AB135" s="385" t="str">
        <f t="shared" si="51"/>
        <v>MR</v>
      </c>
      <c r="AC135" s="323" t="str">
        <f t="shared" si="52"/>
        <v>Ncm</v>
      </c>
      <c r="AD135" s="323" t="str">
        <f t="shared" si="53"/>
        <v>N_R</v>
      </c>
      <c r="AF135" s="369" t="str">
        <f t="shared" si="54"/>
        <v>126.1-Ncm</v>
      </c>
      <c r="AG135" s="369" t="str">
        <f t="shared" si="55"/>
        <v>126.1-N_R</v>
      </c>
      <c r="AH135" s="344">
        <f>IF(coder1_YH!R135="",AH134,coder1_YH!R135)</f>
        <v>5</v>
      </c>
      <c r="AI135" s="344">
        <f t="shared" si="39"/>
        <v>5</v>
      </c>
      <c r="AJ135" s="345">
        <f t="shared" si="56"/>
        <v>0</v>
      </c>
      <c r="AK135" s="408">
        <f>IF(coder1_YH!S135="",AK134,coder1_YH!S135)</f>
        <v>10.5</v>
      </c>
      <c r="AL135" s="345" t="str">
        <f>IF(coder1_YH!T135="",AL134,IF(coder1_YH!T135="mixed",0.25,coder1_YH!T135))</f>
        <v>NA</v>
      </c>
      <c r="AM135" s="345">
        <f>IF(coder1_YH!U135 = "", AM134, IF(coder1_YH!U135="mixed","NA",coder1_YH!U135))</f>
        <v>0.02</v>
      </c>
      <c r="AN135" s="345" t="str">
        <f>IF(coder1_YH!V135="",AN134,coder1_YH!V135)</f>
        <v>NA</v>
      </c>
      <c r="AO135" s="345">
        <f>IF(coder1_YH!W135="",AO134,coder1_YH!W135)</f>
        <v>0</v>
      </c>
      <c r="AP135" s="345">
        <f>IF(coder1_YH!X135="",AP134,coder1_YH!X135)</f>
        <v>0.48799999999999999</v>
      </c>
      <c r="AQ135" s="345">
        <f>IF(coder1_YH!Y135="",AQ134,coder1_YH!Y135)</f>
        <v>0.58000000000000007</v>
      </c>
      <c r="AR135">
        <f>coder1_YH!AB135</f>
        <v>0</v>
      </c>
      <c r="AS135" s="345" t="str">
        <f>IF(coder1_YH!AC135 = "", AS134,IF(coder1_YH!AC135="BAU","BAU",LEFT(coder1_YH!AC135)))</f>
        <v>0</v>
      </c>
      <c r="AT135" s="345" t="str">
        <f>IF(coder1_YH!AD135 = "", AT134,IF(coder1_YH!AD135="BAU","BAU",LEFT(coder1_YH!AD135)))</f>
        <v>0</v>
      </c>
      <c r="AU135" s="345" t="str">
        <f>IF(coder1_YH!AE135 = "", AU134,IF(coder1_YH!AE135="BAU","BAU",LEFT(coder1_YH!AE135)))</f>
        <v>1</v>
      </c>
      <c r="AV135" s="345">
        <f>IF(coder1_YH!AF135="",AV134,coder1_YH!AF135)</f>
        <v>5400</v>
      </c>
      <c r="AW135" s="345">
        <f t="shared" si="57"/>
        <v>90</v>
      </c>
      <c r="AX135" s="345">
        <f>IF(coder1_YH!AG135="",AX134,coder1_YH!AG135)</f>
        <v>60</v>
      </c>
      <c r="AY135" s="345">
        <f>IF(coder1_YH!AH135="",AY134,coder1_YH!AH135)</f>
        <v>90</v>
      </c>
      <c r="AZ135" s="345" t="str">
        <f>IF(coder1_YH!AI135 = "", AZ134, IF(coder1_YH!AI135="BAU","BAU",LEFT(coder1_YH!AI135)))</f>
        <v>1</v>
      </c>
      <c r="BA135" s="384">
        <f>clean_data!Y135</f>
        <v>41</v>
      </c>
    </row>
    <row r="136" spans="1:53" x14ac:dyDescent="0.2">
      <c r="A136">
        <f>coder1_YH!B136</f>
        <v>0</v>
      </c>
      <c r="B136">
        <f>coder1_YH!C136</f>
        <v>136</v>
      </c>
      <c r="C136">
        <f>coder1_YH!D136</f>
        <v>0</v>
      </c>
      <c r="D136" t="str">
        <f>coder1_YH!E136</f>
        <v/>
      </c>
      <c r="E136" t="b">
        <f>coder1_YH!F136</f>
        <v>1</v>
      </c>
      <c r="F136" s="321" t="str">
        <f>IF(coder1_YH!G136="", clean_mod!F135, coder1_YH!G136)</f>
        <v>Guthrie et al. 2009</v>
      </c>
      <c r="G136" s="321" t="str">
        <f t="shared" si="40"/>
        <v>126</v>
      </c>
      <c r="H136" s="321">
        <f>IF(coder1_YH!H136="", clean_mod!H135, coder1_YH!H136)</f>
        <v>126.1</v>
      </c>
      <c r="I136" s="404" t="str">
        <f t="shared" si="41"/>
        <v>2009</v>
      </c>
      <c r="J136" s="344" t="str">
        <f>IF(coder1_YH!I136="",J135,coder1_YH!I136)</f>
        <v>USA</v>
      </c>
      <c r="K136" s="345">
        <f t="shared" si="42"/>
        <v>0</v>
      </c>
      <c r="L136" s="344" t="str">
        <f>IF(coder1_YH!J136 = "",L135, coder1_YH!J136)</f>
        <v>English</v>
      </c>
      <c r="M136" s="345">
        <f t="shared" si="43"/>
        <v>0</v>
      </c>
      <c r="N136" s="345" t="str">
        <f>IF(coder1_YH!K136 = "", N135, LEFT(coder1_YH!K136,1))</f>
        <v>0</v>
      </c>
      <c r="O136" s="345" t="str">
        <f>IF(coder1_YH!L136 = "", O135, LEFT(coder1_YH!L136,1))</f>
        <v>0</v>
      </c>
      <c r="P136" s="345" t="str">
        <f>IF(coder1_YH!M136 = "", P135, LEFT(coder1_YH!M136,1))</f>
        <v>1</v>
      </c>
      <c r="Q136" s="321" t="str">
        <f>coder1_YH!P136</f>
        <v>ctl</v>
      </c>
      <c r="R136" s="321" t="str">
        <f>coder1_YH!Q136</f>
        <v>TI (Low)</v>
      </c>
      <c r="S136" s="323" t="str">
        <f t="shared" si="44"/>
        <v/>
      </c>
      <c r="T136" s="323" t="str">
        <f t="shared" si="45"/>
        <v/>
      </c>
      <c r="U136" s="323" t="str">
        <f t="shared" si="46"/>
        <v/>
      </c>
      <c r="V136" s="323" t="str">
        <f t="shared" si="47"/>
        <v/>
      </c>
      <c r="W136" s="323">
        <f t="shared" si="48"/>
        <v>0</v>
      </c>
      <c r="X136" s="385" t="str">
        <f>IF(coder1_YH!N136 = "",X135,coder1_YH!N136)</f>
        <v>.</v>
      </c>
      <c r="Y136" s="385" t="str">
        <f>IF(coder1_YH!O136 = "",Y135,coder1_YH!O136)</f>
        <v>cm</v>
      </c>
      <c r="Z136" s="385" t="str">
        <f t="shared" si="49"/>
        <v/>
      </c>
      <c r="AA136" s="385" t="str">
        <f t="shared" si="50"/>
        <v>R</v>
      </c>
      <c r="AB136" s="385" t="str">
        <f t="shared" si="51"/>
        <v>R</v>
      </c>
      <c r="AC136" s="323" t="str">
        <f t="shared" si="52"/>
        <v>.cm</v>
      </c>
      <c r="AD136" s="323" t="str">
        <f t="shared" si="53"/>
        <v>R</v>
      </c>
      <c r="AF136" s="369" t="str">
        <f t="shared" si="54"/>
        <v>126.1-.cm</v>
      </c>
      <c r="AG136" s="369" t="str">
        <f t="shared" si="55"/>
        <v>126.1-R</v>
      </c>
      <c r="AH136" s="344">
        <f>IF(coder1_YH!R136="",AH135,coder1_YH!R136)</f>
        <v>5</v>
      </c>
      <c r="AI136" s="344">
        <f t="shared" si="39"/>
        <v>5</v>
      </c>
      <c r="AJ136" s="345">
        <f t="shared" si="56"/>
        <v>0</v>
      </c>
      <c r="AK136" s="408">
        <f>IF(coder1_YH!S136="",AK135,coder1_YH!S136)</f>
        <v>10.5</v>
      </c>
      <c r="AL136" s="345" t="str">
        <f>IF(coder1_YH!T136="",AL135,IF(coder1_YH!T136="mixed",0.25,coder1_YH!T136))</f>
        <v>NA</v>
      </c>
      <c r="AM136" s="345">
        <f>IF(coder1_YH!U136 = "", AM135, IF(coder1_YH!U136="mixed","NA",coder1_YH!U136))</f>
        <v>0</v>
      </c>
      <c r="AN136" s="345" t="str">
        <f>IF(coder1_YH!V136="",AN135,coder1_YH!V136)</f>
        <v>NA</v>
      </c>
      <c r="AO136" s="345">
        <f>IF(coder1_YH!W136="",AO135,coder1_YH!W136)</f>
        <v>0.02</v>
      </c>
      <c r="AP136" s="345">
        <f>IF(coder1_YH!X136="",AP135,coder1_YH!X136)</f>
        <v>0.63600000000000001</v>
      </c>
      <c r="AQ136" s="345">
        <f>IF(coder1_YH!Y136="",AQ135,coder1_YH!Y136)</f>
        <v>0.37</v>
      </c>
      <c r="AR136" t="str">
        <f>coder1_YH!AB136</f>
        <v>2 = District/State curriculum</v>
      </c>
      <c r="AS136" s="345" t="str">
        <f>IF(coder1_YH!AC136 = "", AS135,IF(coder1_YH!AC136="BAU","BAU",LEFT(coder1_YH!AC136)))</f>
        <v>0</v>
      </c>
      <c r="AT136" s="345" t="str">
        <f>IF(coder1_YH!AD136 = "", AT135,IF(coder1_YH!AD136="BAU","BAU",LEFT(coder1_YH!AD136)))</f>
        <v>0</v>
      </c>
      <c r="AU136" s="345" t="str">
        <f>IF(coder1_YH!AE136 = "", AU135,IF(coder1_YH!AE136="BAU","BAU",LEFT(coder1_YH!AE136)))</f>
        <v>1</v>
      </c>
      <c r="AV136" s="345">
        <f>IF(coder1_YH!AF136="",AV135,coder1_YH!AF136)</f>
        <v>5400</v>
      </c>
      <c r="AW136" s="345">
        <f t="shared" si="57"/>
        <v>90</v>
      </c>
      <c r="AX136" s="345">
        <f>IF(coder1_YH!AG136="",AX135,coder1_YH!AG136)</f>
        <v>60</v>
      </c>
      <c r="AY136" s="345">
        <f>IF(coder1_YH!AH136="",AY135,coder1_YH!AH136)</f>
        <v>90</v>
      </c>
      <c r="AZ136" s="345" t="str">
        <f>IF(coder1_YH!AI136 = "", AZ135, IF(coder1_YH!AI136="BAU","BAU",LEFT(coder1_YH!AI136)))</f>
        <v>BAU</v>
      </c>
      <c r="BA136" s="384">
        <f>clean_data!Y136</f>
        <v>22</v>
      </c>
    </row>
    <row r="137" spans="1:53" x14ac:dyDescent="0.2">
      <c r="A137">
        <f>coder1_YH!B137</f>
        <v>0</v>
      </c>
      <c r="B137">
        <f>coder1_YH!C137</f>
        <v>137</v>
      </c>
      <c r="C137">
        <f>coder1_YH!D137</f>
        <v>0</v>
      </c>
      <c r="D137" t="str">
        <f>coder1_YH!E137</f>
        <v/>
      </c>
      <c r="E137" t="str">
        <f>coder1_YH!F137</f>
        <v/>
      </c>
      <c r="F137" s="321" t="str">
        <f>IF(coder1_YH!G137="", clean_mod!F136, coder1_YH!G137)</f>
        <v>Guthrie et al. 2009</v>
      </c>
      <c r="G137" s="321" t="str">
        <f t="shared" si="40"/>
        <v>126</v>
      </c>
      <c r="H137" s="321">
        <f>IF(coder1_YH!H137="", clean_mod!H136, coder1_YH!H137)</f>
        <v>126.1</v>
      </c>
      <c r="I137" s="404" t="str">
        <f t="shared" si="41"/>
        <v>2009</v>
      </c>
      <c r="J137" s="344" t="str">
        <f>IF(coder1_YH!I137="",J136,coder1_YH!I137)</f>
        <v>USA</v>
      </c>
      <c r="K137" s="345">
        <f t="shared" si="42"/>
        <v>0</v>
      </c>
      <c r="L137" s="344" t="str">
        <f>IF(coder1_YH!J137 = "",L136, coder1_YH!J137)</f>
        <v>English</v>
      </c>
      <c r="M137" s="345">
        <f t="shared" si="43"/>
        <v>0</v>
      </c>
      <c r="N137" s="345" t="str">
        <f>IF(coder1_YH!K137 = "", N136, LEFT(coder1_YH!K137,1))</f>
        <v>0</v>
      </c>
      <c r="O137" s="345" t="str">
        <f>IF(coder1_YH!L137 = "", O136, LEFT(coder1_YH!L137,1))</f>
        <v>0</v>
      </c>
      <c r="P137" s="345" t="str">
        <f>IF(coder1_YH!M137 = "", P136, LEFT(coder1_YH!M137,1))</f>
        <v>1</v>
      </c>
      <c r="Q137" s="321">
        <f>coder1_YH!P137</f>
        <v>0</v>
      </c>
      <c r="R137" s="321">
        <f>coder1_YH!Q137</f>
        <v>0</v>
      </c>
      <c r="S137" s="323" t="str">
        <f t="shared" si="44"/>
        <v/>
      </c>
      <c r="T137" s="323" t="str">
        <f t="shared" si="45"/>
        <v/>
      </c>
      <c r="U137" s="323" t="str">
        <f t="shared" si="46"/>
        <v/>
      </c>
      <c r="V137" s="323" t="str">
        <f t="shared" si="47"/>
        <v/>
      </c>
      <c r="W137" s="323">
        <f t="shared" si="48"/>
        <v>0</v>
      </c>
      <c r="X137" s="385" t="str">
        <f>IF(coder1_YH!N137 = "",X136,coder1_YH!N137)</f>
        <v>.</v>
      </c>
      <c r="Y137" s="385" t="str">
        <f>IF(coder1_YH!O137 = "",Y136,coder1_YH!O137)</f>
        <v>cm</v>
      </c>
      <c r="Z137" s="385" t="str">
        <f t="shared" si="49"/>
        <v/>
      </c>
      <c r="AA137" s="385" t="str">
        <f t="shared" si="50"/>
        <v>R</v>
      </c>
      <c r="AB137" s="385" t="str">
        <f t="shared" si="51"/>
        <v>R</v>
      </c>
      <c r="AC137" s="323" t="str">
        <f t="shared" si="52"/>
        <v>.cm</v>
      </c>
      <c r="AD137" s="323" t="str">
        <f t="shared" si="53"/>
        <v>R</v>
      </c>
      <c r="AF137" s="369" t="str">
        <f t="shared" si="54"/>
        <v>126.1-.cm</v>
      </c>
      <c r="AG137" s="369" t="str">
        <f t="shared" si="55"/>
        <v>126.1-R</v>
      </c>
      <c r="AH137" s="344">
        <f>IF(coder1_YH!R137="",AH136,coder1_YH!R137)</f>
        <v>5</v>
      </c>
      <c r="AI137" s="344">
        <f t="shared" si="39"/>
        <v>5</v>
      </c>
      <c r="AJ137" s="345">
        <f t="shared" si="56"/>
        <v>0</v>
      </c>
      <c r="AK137" s="408">
        <f>IF(coder1_YH!S137="",AK136,coder1_YH!S137)</f>
        <v>10.5</v>
      </c>
      <c r="AL137" s="345" t="str">
        <f>IF(coder1_YH!T137="",AL136,IF(coder1_YH!T137="mixed",0.25,coder1_YH!T137))</f>
        <v>NA</v>
      </c>
      <c r="AM137" s="345">
        <f>IF(coder1_YH!U137 = "", AM136, IF(coder1_YH!U137="mixed","NA",coder1_YH!U137))</f>
        <v>0</v>
      </c>
      <c r="AN137" s="345" t="str">
        <f>IF(coder1_YH!V137="",AN136,coder1_YH!V137)</f>
        <v>NA</v>
      </c>
      <c r="AO137" s="345">
        <f>IF(coder1_YH!W137="",AO136,coder1_YH!W137)</f>
        <v>0.02</v>
      </c>
      <c r="AP137" s="345">
        <f>IF(coder1_YH!X137="",AP136,coder1_YH!X137)</f>
        <v>0.63600000000000001</v>
      </c>
      <c r="AQ137" s="345">
        <f>IF(coder1_YH!Y137="",AQ136,coder1_YH!Y137)</f>
        <v>0.37</v>
      </c>
      <c r="AR137">
        <f>coder1_YH!AB137</f>
        <v>0</v>
      </c>
      <c r="AS137" s="345" t="str">
        <f>IF(coder1_YH!AC137 = "", AS136,IF(coder1_YH!AC137="BAU","BAU",LEFT(coder1_YH!AC137)))</f>
        <v>0</v>
      </c>
      <c r="AT137" s="345" t="str">
        <f>IF(coder1_YH!AD137 = "", AT136,IF(coder1_YH!AD137="BAU","BAU",LEFT(coder1_YH!AD137)))</f>
        <v>0</v>
      </c>
      <c r="AU137" s="345" t="str">
        <f>IF(coder1_YH!AE137 = "", AU136,IF(coder1_YH!AE137="BAU","BAU",LEFT(coder1_YH!AE137)))</f>
        <v>1</v>
      </c>
      <c r="AV137" s="345">
        <f>IF(coder1_YH!AF137="",AV136,coder1_YH!AF137)</f>
        <v>5400</v>
      </c>
      <c r="AW137" s="345">
        <f t="shared" si="57"/>
        <v>90</v>
      </c>
      <c r="AX137" s="345">
        <f>IF(coder1_YH!AG137="",AX136,coder1_YH!AG137)</f>
        <v>60</v>
      </c>
      <c r="AY137" s="345">
        <f>IF(coder1_YH!AH137="",AY136,coder1_YH!AH137)</f>
        <v>90</v>
      </c>
      <c r="AZ137" s="345" t="str">
        <f>IF(coder1_YH!AI137 = "", AZ136, IF(coder1_YH!AI137="BAU","BAU",LEFT(coder1_YH!AI137)))</f>
        <v>BAU</v>
      </c>
      <c r="BA137" s="384">
        <f>clean_data!Y137</f>
        <v>22</v>
      </c>
    </row>
    <row r="138" spans="1:53" x14ac:dyDescent="0.2">
      <c r="A138">
        <f>coder1_YH!B138</f>
        <v>0</v>
      </c>
      <c r="B138">
        <f>coder1_YH!C138</f>
        <v>138</v>
      </c>
      <c r="C138">
        <f>coder1_YH!D138</f>
        <v>0</v>
      </c>
      <c r="D138" t="b">
        <f>coder1_YH!E138</f>
        <v>1</v>
      </c>
      <c r="E138" t="b">
        <f>coder1_YH!F138</f>
        <v>1</v>
      </c>
      <c r="F138" s="321" t="str">
        <f>IF(coder1_YH!G138="", clean_mod!F137, coder1_YH!G138)</f>
        <v>Guthrie et al. 2009</v>
      </c>
      <c r="G138" s="321" t="str">
        <f t="shared" si="40"/>
        <v>126</v>
      </c>
      <c r="H138" s="321">
        <f>IF(coder1_YH!H138="", clean_mod!H137, coder1_YH!H138)</f>
        <v>126.2</v>
      </c>
      <c r="I138" s="404" t="str">
        <f t="shared" si="41"/>
        <v>2009</v>
      </c>
      <c r="J138" s="344" t="str">
        <f>IF(coder1_YH!I138="",J137,coder1_YH!I138)</f>
        <v>USA</v>
      </c>
      <c r="K138" s="345">
        <f t="shared" si="42"/>
        <v>0</v>
      </c>
      <c r="L138" s="344" t="str">
        <f>IF(coder1_YH!J138 = "",L137, coder1_YH!J138)</f>
        <v>English</v>
      </c>
      <c r="M138" s="345">
        <f t="shared" si="43"/>
        <v>0</v>
      </c>
      <c r="N138" s="345" t="str">
        <f>IF(coder1_YH!K138 = "", N137, LEFT(coder1_YH!K138,1))</f>
        <v>0</v>
      </c>
      <c r="O138" s="345" t="str">
        <f>IF(coder1_YH!L138 = "", O137, LEFT(coder1_YH!L138,1))</f>
        <v>0</v>
      </c>
      <c r="P138" s="345" t="str">
        <f>IF(coder1_YH!M138 = "", P137, LEFT(coder1_YH!M138,1))</f>
        <v>1</v>
      </c>
      <c r="Q138" s="321">
        <f>coder1_YH!P138</f>
        <v>1</v>
      </c>
      <c r="R138" s="321" t="str">
        <f>coder1_YH!Q138</f>
        <v>CORI (High)</v>
      </c>
      <c r="S138" s="323" t="str">
        <f t="shared" si="44"/>
        <v>N</v>
      </c>
      <c r="T138" s="323" t="str">
        <f t="shared" si="45"/>
        <v/>
      </c>
      <c r="U138" s="323" t="str">
        <f t="shared" si="46"/>
        <v/>
      </c>
      <c r="V138" s="323" t="str">
        <f t="shared" si="47"/>
        <v/>
      </c>
      <c r="W138" s="323">
        <f t="shared" si="48"/>
        <v>1</v>
      </c>
      <c r="X138" s="385" t="str">
        <f>IF(coder1_YH!N138 = "",X137,coder1_YH!N138)</f>
        <v>N</v>
      </c>
      <c r="Y138" s="385" t="str">
        <f>IF(coder1_YH!O138 = "",Y137,coder1_YH!O138)</f>
        <v>cm</v>
      </c>
      <c r="Z138" s="385" t="str">
        <f t="shared" si="49"/>
        <v>M</v>
      </c>
      <c r="AA138" s="385" t="str">
        <f t="shared" si="50"/>
        <v>R</v>
      </c>
      <c r="AB138" s="385" t="str">
        <f t="shared" si="51"/>
        <v>MR</v>
      </c>
      <c r="AC138" s="323" t="str">
        <f t="shared" si="52"/>
        <v>Ncm</v>
      </c>
      <c r="AD138" s="323" t="str">
        <f t="shared" si="53"/>
        <v>N_R</v>
      </c>
      <c r="AE138" s="323">
        <f>IF(Y138="cm", 1,0)</f>
        <v>1</v>
      </c>
      <c r="AF138" s="369" t="str">
        <f t="shared" si="54"/>
        <v>126.2-Ncm</v>
      </c>
      <c r="AG138" s="369" t="str">
        <f t="shared" si="55"/>
        <v>126.2-N_R</v>
      </c>
      <c r="AH138" s="344">
        <f>IF(coder1_YH!R138="",AH137,coder1_YH!R138)</f>
        <v>5</v>
      </c>
      <c r="AI138" s="344">
        <f t="shared" si="39"/>
        <v>5</v>
      </c>
      <c r="AJ138" s="345">
        <f t="shared" si="56"/>
        <v>0</v>
      </c>
      <c r="AK138" s="408">
        <f>IF(coder1_YH!S138="",AK137,coder1_YH!S138)</f>
        <v>10.5</v>
      </c>
      <c r="AL138" s="345" t="str">
        <f>IF(coder1_YH!T138="",AL137,IF(coder1_YH!T138="mixed",0.25,coder1_YH!T138))</f>
        <v>NA</v>
      </c>
      <c r="AM138" s="345">
        <f>IF(coder1_YH!U138 = "", AM137, IF(coder1_YH!U138="mixed","NA",coder1_YH!U138))</f>
        <v>0.08</v>
      </c>
      <c r="AN138" s="345" t="str">
        <f>IF(coder1_YH!V138="",AN137,coder1_YH!V138)</f>
        <v>NA</v>
      </c>
      <c r="AO138" s="345">
        <f>IF(coder1_YH!W138="",AO137,coder1_YH!W138)</f>
        <v>0.12</v>
      </c>
      <c r="AP138" s="345">
        <f>IF(coder1_YH!X138="",AP137,coder1_YH!X138)</f>
        <v>0.39600000000000002</v>
      </c>
      <c r="AQ138" s="345">
        <f>IF(coder1_YH!Y138="",AQ137,coder1_YH!Y138)</f>
        <v>0.43999999999999995</v>
      </c>
      <c r="AR138" t="str">
        <f>coder1_YH!AB138</f>
        <v>0 = Researcher-developed/adapted curriculum</v>
      </c>
      <c r="AS138" s="345" t="str">
        <f>IF(coder1_YH!AC138 = "", AS137,IF(coder1_YH!AC138="BAU","BAU",LEFT(coder1_YH!AC138)))</f>
        <v>0</v>
      </c>
      <c r="AT138" s="345" t="str">
        <f>IF(coder1_YH!AD138 = "", AT137,IF(coder1_YH!AD138="BAU","BAU",LEFT(coder1_YH!AD138)))</f>
        <v>0</v>
      </c>
      <c r="AU138" s="345" t="str">
        <f>IF(coder1_YH!AE138 = "", AU137,IF(coder1_YH!AE138="BAU","BAU",LEFT(coder1_YH!AE138)))</f>
        <v>1</v>
      </c>
      <c r="AV138" s="345">
        <f>IF(coder1_YH!AF138="",AV137,coder1_YH!AF138)</f>
        <v>5400</v>
      </c>
      <c r="AW138" s="345">
        <f t="shared" si="57"/>
        <v>90</v>
      </c>
      <c r="AX138" s="345">
        <f>IF(coder1_YH!AG138="",AX137,coder1_YH!AG138)</f>
        <v>60</v>
      </c>
      <c r="AY138" s="345">
        <f>IF(coder1_YH!AH138="",AY137,coder1_YH!AH138)</f>
        <v>90</v>
      </c>
      <c r="AZ138" s="345" t="str">
        <f>IF(coder1_YH!AI138 = "", AZ137, IF(coder1_YH!AI138="BAU","BAU",LEFT(coder1_YH!AI138)))</f>
        <v>1</v>
      </c>
      <c r="BA138" s="384">
        <f>clean_data!Y138</f>
        <v>53</v>
      </c>
    </row>
    <row r="139" spans="1:53" x14ac:dyDescent="0.2">
      <c r="A139">
        <f>coder1_YH!B139</f>
        <v>0</v>
      </c>
      <c r="B139">
        <f>coder1_YH!C139</f>
        <v>139</v>
      </c>
      <c r="C139">
        <f>coder1_YH!D139</f>
        <v>0</v>
      </c>
      <c r="D139" t="str">
        <f>coder1_YH!E139</f>
        <v/>
      </c>
      <c r="E139" t="str">
        <f>coder1_YH!F139</f>
        <v/>
      </c>
      <c r="F139" s="321" t="str">
        <f>IF(coder1_YH!G139="", clean_mod!F138, coder1_YH!G139)</f>
        <v>Guthrie et al. 2009</v>
      </c>
      <c r="G139" s="321" t="str">
        <f t="shared" si="40"/>
        <v>126</v>
      </c>
      <c r="H139" s="321">
        <f>IF(coder1_YH!H139="", clean_mod!H138, coder1_YH!H139)</f>
        <v>126.2</v>
      </c>
      <c r="I139" s="404" t="str">
        <f t="shared" si="41"/>
        <v>2009</v>
      </c>
      <c r="J139" s="344" t="str">
        <f>IF(coder1_YH!I139="",J138,coder1_YH!I139)</f>
        <v>USA</v>
      </c>
      <c r="K139" s="345">
        <f t="shared" si="42"/>
        <v>0</v>
      </c>
      <c r="L139" s="344" t="str">
        <f>IF(coder1_YH!J139 = "",L138, coder1_YH!J139)</f>
        <v>English</v>
      </c>
      <c r="M139" s="345">
        <f t="shared" si="43"/>
        <v>0</v>
      </c>
      <c r="N139" s="345" t="str">
        <f>IF(coder1_YH!K139 = "", N138, LEFT(coder1_YH!K139,1))</f>
        <v>0</v>
      </c>
      <c r="O139" s="345" t="str">
        <f>IF(coder1_YH!L139 = "", O138, LEFT(coder1_YH!L139,1))</f>
        <v>0</v>
      </c>
      <c r="P139" s="345" t="str">
        <f>IF(coder1_YH!M139 = "", P138, LEFT(coder1_YH!M139,1))</f>
        <v>1</v>
      </c>
      <c r="Q139" s="321">
        <f>coder1_YH!P139</f>
        <v>0</v>
      </c>
      <c r="R139" s="321">
        <f>coder1_YH!Q139</f>
        <v>0</v>
      </c>
      <c r="S139" s="323" t="str">
        <f t="shared" si="44"/>
        <v>N</v>
      </c>
      <c r="T139" s="323" t="str">
        <f t="shared" si="45"/>
        <v/>
      </c>
      <c r="U139" s="323" t="str">
        <f t="shared" si="46"/>
        <v/>
      </c>
      <c r="V139" s="323" t="str">
        <f t="shared" si="47"/>
        <v/>
      </c>
      <c r="W139" s="323">
        <f t="shared" si="48"/>
        <v>1</v>
      </c>
      <c r="X139" s="385" t="str">
        <f>IF(coder1_YH!N139 = "",X138,coder1_YH!N139)</f>
        <v>N</v>
      </c>
      <c r="Y139" s="385" t="str">
        <f>IF(coder1_YH!O139 = "",Y138,coder1_YH!O139)</f>
        <v>cm</v>
      </c>
      <c r="Z139" s="385" t="str">
        <f t="shared" si="49"/>
        <v>M</v>
      </c>
      <c r="AA139" s="385" t="str">
        <f t="shared" si="50"/>
        <v>R</v>
      </c>
      <c r="AB139" s="385" t="str">
        <f t="shared" si="51"/>
        <v>MR</v>
      </c>
      <c r="AC139" s="323" t="str">
        <f t="shared" si="52"/>
        <v>Ncm</v>
      </c>
      <c r="AD139" s="323" t="str">
        <f t="shared" si="53"/>
        <v>N_R</v>
      </c>
      <c r="AF139" s="369" t="str">
        <f t="shared" si="54"/>
        <v>126.2-Ncm</v>
      </c>
      <c r="AG139" s="369" t="str">
        <f t="shared" si="55"/>
        <v>126.2-N_R</v>
      </c>
      <c r="AH139" s="344">
        <f>IF(coder1_YH!R139="",AH138,coder1_YH!R139)</f>
        <v>5</v>
      </c>
      <c r="AI139" s="344">
        <f t="shared" si="39"/>
        <v>5</v>
      </c>
      <c r="AJ139" s="345">
        <f t="shared" si="56"/>
        <v>0</v>
      </c>
      <c r="AK139" s="408">
        <f>IF(coder1_YH!S139="",AK138,coder1_YH!S139)</f>
        <v>10.5</v>
      </c>
      <c r="AL139" s="345" t="str">
        <f>IF(coder1_YH!T139="",AL138,IF(coder1_YH!T139="mixed",0.25,coder1_YH!T139))</f>
        <v>NA</v>
      </c>
      <c r="AM139" s="345">
        <f>IF(coder1_YH!U139 = "", AM138, IF(coder1_YH!U139="mixed","NA",coder1_YH!U139))</f>
        <v>0.08</v>
      </c>
      <c r="AN139" s="345" t="str">
        <f>IF(coder1_YH!V139="",AN138,coder1_YH!V139)</f>
        <v>NA</v>
      </c>
      <c r="AO139" s="345">
        <f>IF(coder1_YH!W139="",AO138,coder1_YH!W139)</f>
        <v>0.12</v>
      </c>
      <c r="AP139" s="345">
        <f>IF(coder1_YH!X139="",AP138,coder1_YH!X139)</f>
        <v>0.39600000000000002</v>
      </c>
      <c r="AQ139" s="345">
        <f>IF(coder1_YH!Y139="",AQ138,coder1_YH!Y139)</f>
        <v>0.43999999999999995</v>
      </c>
      <c r="AR139">
        <f>coder1_YH!AB139</f>
        <v>0</v>
      </c>
      <c r="AS139" s="345" t="str">
        <f>IF(coder1_YH!AC139 = "", AS138,IF(coder1_YH!AC139="BAU","BAU",LEFT(coder1_YH!AC139)))</f>
        <v>0</v>
      </c>
      <c r="AT139" s="345" t="str">
        <f>IF(coder1_YH!AD139 = "", AT138,IF(coder1_YH!AD139="BAU","BAU",LEFT(coder1_YH!AD139)))</f>
        <v>0</v>
      </c>
      <c r="AU139" s="345" t="str">
        <f>IF(coder1_YH!AE139 = "", AU138,IF(coder1_YH!AE139="BAU","BAU",LEFT(coder1_YH!AE139)))</f>
        <v>1</v>
      </c>
      <c r="AV139" s="345">
        <f>IF(coder1_YH!AF139="",AV138,coder1_YH!AF139)</f>
        <v>5400</v>
      </c>
      <c r="AW139" s="345">
        <f t="shared" si="57"/>
        <v>90</v>
      </c>
      <c r="AX139" s="345">
        <f>IF(coder1_YH!AG139="",AX138,coder1_YH!AG139)</f>
        <v>60</v>
      </c>
      <c r="AY139" s="345">
        <f>IF(coder1_YH!AH139="",AY138,coder1_YH!AH139)</f>
        <v>90</v>
      </c>
      <c r="AZ139" s="345" t="str">
        <f>IF(coder1_YH!AI139 = "", AZ138, IF(coder1_YH!AI139="BAU","BAU",LEFT(coder1_YH!AI139)))</f>
        <v>1</v>
      </c>
      <c r="BA139" s="384">
        <f>clean_data!Y139</f>
        <v>53</v>
      </c>
    </row>
    <row r="140" spans="1:53" x14ac:dyDescent="0.2">
      <c r="A140">
        <f>coder1_YH!B140</f>
        <v>0</v>
      </c>
      <c r="B140">
        <f>coder1_YH!C140</f>
        <v>140</v>
      </c>
      <c r="C140">
        <f>coder1_YH!D140</f>
        <v>0</v>
      </c>
      <c r="D140" t="str">
        <f>coder1_YH!E140</f>
        <v/>
      </c>
      <c r="E140" t="b">
        <f>coder1_YH!F140</f>
        <v>1</v>
      </c>
      <c r="F140" s="321" t="str">
        <f>IF(coder1_YH!G140="", clean_mod!F139, coder1_YH!G140)</f>
        <v>Guthrie et al. 2009</v>
      </c>
      <c r="G140" s="321" t="str">
        <f t="shared" si="40"/>
        <v>126</v>
      </c>
      <c r="H140" s="321">
        <f>IF(coder1_YH!H140="", clean_mod!H139, coder1_YH!H140)</f>
        <v>126.2</v>
      </c>
      <c r="I140" s="404" t="str">
        <f t="shared" si="41"/>
        <v>2009</v>
      </c>
      <c r="J140" s="344" t="str">
        <f>IF(coder1_YH!I140="",J139,coder1_YH!I140)</f>
        <v>USA</v>
      </c>
      <c r="K140" s="345">
        <f t="shared" si="42"/>
        <v>0</v>
      </c>
      <c r="L140" s="344" t="str">
        <f>IF(coder1_YH!J140 = "",L139, coder1_YH!J140)</f>
        <v>English</v>
      </c>
      <c r="M140" s="345">
        <f t="shared" si="43"/>
        <v>0</v>
      </c>
      <c r="N140" s="345" t="str">
        <f>IF(coder1_YH!K140 = "", N139, LEFT(coder1_YH!K140,1))</f>
        <v>0</v>
      </c>
      <c r="O140" s="345" t="str">
        <f>IF(coder1_YH!L140 = "", O139, LEFT(coder1_YH!L140,1))</f>
        <v>0</v>
      </c>
      <c r="P140" s="345" t="str">
        <f>IF(coder1_YH!M140 = "", P139, LEFT(coder1_YH!M140,1))</f>
        <v>1</v>
      </c>
      <c r="Q140" s="321" t="str">
        <f>coder1_YH!P140</f>
        <v>ctl</v>
      </c>
      <c r="R140" s="321" t="str">
        <f>coder1_YH!Q140</f>
        <v>TI (High)</v>
      </c>
      <c r="S140" s="323" t="str">
        <f t="shared" si="44"/>
        <v/>
      </c>
      <c r="T140" s="323" t="str">
        <f t="shared" si="45"/>
        <v/>
      </c>
      <c r="U140" s="323" t="str">
        <f t="shared" si="46"/>
        <v/>
      </c>
      <c r="V140" s="323" t="str">
        <f t="shared" si="47"/>
        <v/>
      </c>
      <c r="W140" s="323">
        <f t="shared" si="48"/>
        <v>0</v>
      </c>
      <c r="X140" s="385" t="str">
        <f>IF(coder1_YH!N140 = "",X139,coder1_YH!N140)</f>
        <v>.</v>
      </c>
      <c r="Y140" s="385" t="str">
        <f>IF(coder1_YH!O140 = "",Y139,coder1_YH!O140)</f>
        <v>cm</v>
      </c>
      <c r="Z140" s="385" t="str">
        <f t="shared" si="49"/>
        <v/>
      </c>
      <c r="AA140" s="385" t="str">
        <f t="shared" si="50"/>
        <v>R</v>
      </c>
      <c r="AB140" s="385" t="str">
        <f t="shared" si="51"/>
        <v>R</v>
      </c>
      <c r="AC140" s="323" t="str">
        <f t="shared" si="52"/>
        <v>.cm</v>
      </c>
      <c r="AD140" s="323" t="str">
        <f t="shared" si="53"/>
        <v>R</v>
      </c>
      <c r="AF140" s="369" t="str">
        <f t="shared" si="54"/>
        <v>126.2-.cm</v>
      </c>
      <c r="AG140" s="369" t="str">
        <f t="shared" si="55"/>
        <v>126.2-R</v>
      </c>
      <c r="AH140" s="344">
        <f>IF(coder1_YH!R140="",AH139,coder1_YH!R140)</f>
        <v>5</v>
      </c>
      <c r="AI140" s="344">
        <f t="shared" si="39"/>
        <v>5</v>
      </c>
      <c r="AJ140" s="345">
        <f t="shared" si="56"/>
        <v>0</v>
      </c>
      <c r="AK140" s="408">
        <f>IF(coder1_YH!S140="",AK139,coder1_YH!S140)</f>
        <v>10.5</v>
      </c>
      <c r="AL140" s="345" t="str">
        <f>IF(coder1_YH!T140="",AL139,IF(coder1_YH!T140="mixed",0.25,coder1_YH!T140))</f>
        <v>NA</v>
      </c>
      <c r="AM140" s="345">
        <f>IF(coder1_YH!U140 = "", AM139, IF(coder1_YH!U140="mixed","NA",coder1_YH!U140))</f>
        <v>0.23</v>
      </c>
      <c r="AN140" s="345" t="str">
        <f>IF(coder1_YH!V140="",AN139,coder1_YH!V140)</f>
        <v>NA</v>
      </c>
      <c r="AO140" s="345">
        <f>IF(coder1_YH!W140="",AO139,coder1_YH!W140)</f>
        <v>0.14000000000000001</v>
      </c>
      <c r="AP140" s="345">
        <f>IF(coder1_YH!X140="",AP139,coder1_YH!X140)</f>
        <v>0.65</v>
      </c>
      <c r="AQ140" s="345">
        <f>IF(coder1_YH!Y140="",AQ139,coder1_YH!Y140)</f>
        <v>0.22999999999999998</v>
      </c>
      <c r="AR140" t="str">
        <f>coder1_YH!AB140</f>
        <v>2 = District/State curriculum</v>
      </c>
      <c r="AS140" s="345" t="str">
        <f>IF(coder1_YH!AC140 = "", AS139,IF(coder1_YH!AC140="BAU","BAU",LEFT(coder1_YH!AC140)))</f>
        <v>0</v>
      </c>
      <c r="AT140" s="345" t="str">
        <f>IF(coder1_YH!AD140 = "", AT139,IF(coder1_YH!AD140="BAU","BAU",LEFT(coder1_YH!AD140)))</f>
        <v>0</v>
      </c>
      <c r="AU140" s="345" t="str">
        <f>IF(coder1_YH!AE140 = "", AU139,IF(coder1_YH!AE140="BAU","BAU",LEFT(coder1_YH!AE140)))</f>
        <v>1</v>
      </c>
      <c r="AV140" s="345">
        <f>IF(coder1_YH!AF140="",AV139,coder1_YH!AF140)</f>
        <v>5400</v>
      </c>
      <c r="AW140" s="345">
        <f t="shared" si="57"/>
        <v>90</v>
      </c>
      <c r="AX140" s="345">
        <f>IF(coder1_YH!AG140="",AX139,coder1_YH!AG140)</f>
        <v>60</v>
      </c>
      <c r="AY140" s="345">
        <f>IF(coder1_YH!AH140="",AY139,coder1_YH!AH140)</f>
        <v>90</v>
      </c>
      <c r="AZ140" s="345" t="str">
        <f>IF(coder1_YH!AI140 = "", AZ139, IF(coder1_YH!AI140="BAU","BAU",LEFT(coder1_YH!AI140)))</f>
        <v>BAU</v>
      </c>
      <c r="BA140" s="384">
        <f>clean_data!Y140</f>
        <v>40</v>
      </c>
    </row>
    <row r="141" spans="1:53" x14ac:dyDescent="0.2">
      <c r="A141">
        <f>coder1_YH!B141</f>
        <v>0</v>
      </c>
      <c r="B141">
        <f>coder1_YH!C141</f>
        <v>141</v>
      </c>
      <c r="C141">
        <f>coder1_YH!D141</f>
        <v>0</v>
      </c>
      <c r="D141" t="str">
        <f>coder1_YH!E141</f>
        <v/>
      </c>
      <c r="E141" t="str">
        <f>coder1_YH!F141</f>
        <v/>
      </c>
      <c r="F141" s="321" t="str">
        <f>IF(coder1_YH!G141="", clean_mod!F140, coder1_YH!G141)</f>
        <v>Guthrie et al. 2009</v>
      </c>
      <c r="G141" s="321" t="str">
        <f t="shared" si="40"/>
        <v>126</v>
      </c>
      <c r="H141" s="321">
        <f>IF(coder1_YH!H141="", clean_mod!H140, coder1_YH!H141)</f>
        <v>126.2</v>
      </c>
      <c r="I141" s="404" t="str">
        <f t="shared" si="41"/>
        <v>2009</v>
      </c>
      <c r="J141" s="344" t="str">
        <f>IF(coder1_YH!I141="",J140,coder1_YH!I141)</f>
        <v>USA</v>
      </c>
      <c r="K141" s="345">
        <f t="shared" si="42"/>
        <v>0</v>
      </c>
      <c r="L141" s="344" t="str">
        <f>IF(coder1_YH!J141 = "",L140, coder1_YH!J141)</f>
        <v>English</v>
      </c>
      <c r="M141" s="345">
        <f t="shared" si="43"/>
        <v>0</v>
      </c>
      <c r="N141" s="345" t="str">
        <f>IF(coder1_YH!K141 = "", N140, LEFT(coder1_YH!K141,1))</f>
        <v>0</v>
      </c>
      <c r="O141" s="345" t="str">
        <f>IF(coder1_YH!L141 = "", O140, LEFT(coder1_YH!L141,1))</f>
        <v>0</v>
      </c>
      <c r="P141" s="345" t="str">
        <f>IF(coder1_YH!M141 = "", P140, LEFT(coder1_YH!M141,1))</f>
        <v>1</v>
      </c>
      <c r="Q141" s="321">
        <f>coder1_YH!P141</f>
        <v>0</v>
      </c>
      <c r="R141" s="321">
        <f>coder1_YH!Q141</f>
        <v>0</v>
      </c>
      <c r="S141" s="323" t="str">
        <f t="shared" si="44"/>
        <v/>
      </c>
      <c r="T141" s="323" t="str">
        <f t="shared" si="45"/>
        <v/>
      </c>
      <c r="U141" s="323" t="str">
        <f t="shared" si="46"/>
        <v/>
      </c>
      <c r="V141" s="323" t="str">
        <f t="shared" si="47"/>
        <v/>
      </c>
      <c r="W141" s="323">
        <f t="shared" si="48"/>
        <v>0</v>
      </c>
      <c r="X141" s="385" t="str">
        <f>IF(coder1_YH!N141 = "",X140,coder1_YH!N141)</f>
        <v>.</v>
      </c>
      <c r="Y141" s="385" t="str">
        <f>IF(coder1_YH!O141 = "",Y140,coder1_YH!O141)</f>
        <v>cm</v>
      </c>
      <c r="Z141" s="385" t="str">
        <f t="shared" si="49"/>
        <v/>
      </c>
      <c r="AA141" s="385" t="str">
        <f t="shared" si="50"/>
        <v>R</v>
      </c>
      <c r="AB141" s="385" t="str">
        <f t="shared" si="51"/>
        <v>R</v>
      </c>
      <c r="AC141" s="323" t="str">
        <f t="shared" si="52"/>
        <v>.cm</v>
      </c>
      <c r="AD141" s="323" t="str">
        <f t="shared" si="53"/>
        <v>R</v>
      </c>
      <c r="AF141" s="369" t="str">
        <f t="shared" si="54"/>
        <v>126.2-.cm</v>
      </c>
      <c r="AG141" s="369" t="str">
        <f t="shared" si="55"/>
        <v>126.2-R</v>
      </c>
      <c r="AH141" s="344">
        <f>IF(coder1_YH!R141="",AH140,coder1_YH!R141)</f>
        <v>5</v>
      </c>
      <c r="AI141" s="344">
        <f t="shared" si="39"/>
        <v>5</v>
      </c>
      <c r="AJ141" s="345">
        <f t="shared" si="56"/>
        <v>0</v>
      </c>
      <c r="AK141" s="408">
        <f>IF(coder1_YH!S141="",AK140,coder1_YH!S141)</f>
        <v>10.5</v>
      </c>
      <c r="AL141" s="345" t="str">
        <f>IF(coder1_YH!T141="",AL140,IF(coder1_YH!T141="mixed",0.25,coder1_YH!T141))</f>
        <v>NA</v>
      </c>
      <c r="AM141" s="345">
        <f>IF(coder1_YH!U141 = "", AM140, IF(coder1_YH!U141="mixed","NA",coder1_YH!U141))</f>
        <v>0.23</v>
      </c>
      <c r="AN141" s="345" t="str">
        <f>IF(coder1_YH!V141="",AN140,coder1_YH!V141)</f>
        <v>NA</v>
      </c>
      <c r="AO141" s="345">
        <f>IF(coder1_YH!W141="",AO140,coder1_YH!W141)</f>
        <v>0.14000000000000001</v>
      </c>
      <c r="AP141" s="345">
        <f>IF(coder1_YH!X141="",AP140,coder1_YH!X141)</f>
        <v>0.65</v>
      </c>
      <c r="AQ141" s="345">
        <f>IF(coder1_YH!Y141="",AQ140,coder1_YH!Y141)</f>
        <v>0.22999999999999998</v>
      </c>
      <c r="AR141">
        <f>coder1_YH!AB141</f>
        <v>0</v>
      </c>
      <c r="AS141" s="345" t="str">
        <f>IF(coder1_YH!AC141 = "", AS140,IF(coder1_YH!AC141="BAU","BAU",LEFT(coder1_YH!AC141)))</f>
        <v>0</v>
      </c>
      <c r="AT141" s="345" t="str">
        <f>IF(coder1_YH!AD141 = "", AT140,IF(coder1_YH!AD141="BAU","BAU",LEFT(coder1_YH!AD141)))</f>
        <v>0</v>
      </c>
      <c r="AU141" s="345" t="str">
        <f>IF(coder1_YH!AE141 = "", AU140,IF(coder1_YH!AE141="BAU","BAU",LEFT(coder1_YH!AE141)))</f>
        <v>1</v>
      </c>
      <c r="AV141" s="345">
        <f>IF(coder1_YH!AF141="",AV140,coder1_YH!AF141)</f>
        <v>5400</v>
      </c>
      <c r="AW141" s="345">
        <f t="shared" si="57"/>
        <v>90</v>
      </c>
      <c r="AX141" s="345">
        <f>IF(coder1_YH!AG141="",AX140,coder1_YH!AG141)</f>
        <v>60</v>
      </c>
      <c r="AY141" s="345">
        <f>IF(coder1_YH!AH141="",AY140,coder1_YH!AH141)</f>
        <v>90</v>
      </c>
      <c r="AZ141" s="345" t="str">
        <f>IF(coder1_YH!AI141 = "", AZ140, IF(coder1_YH!AI141="BAU","BAU",LEFT(coder1_YH!AI141)))</f>
        <v>BAU</v>
      </c>
      <c r="BA141" s="384">
        <f>clean_data!Y141</f>
        <v>40</v>
      </c>
    </row>
    <row r="142" spans="1:53" x14ac:dyDescent="0.2">
      <c r="A142">
        <f>coder1_YH!B142</f>
        <v>0</v>
      </c>
      <c r="B142">
        <f>coder1_YH!C142</f>
        <v>142</v>
      </c>
      <c r="C142" t="b">
        <f>coder1_YH!D142</f>
        <v>1</v>
      </c>
      <c r="D142" t="b">
        <f>coder1_YH!E142</f>
        <v>1</v>
      </c>
      <c r="E142" t="b">
        <f>coder1_YH!F142</f>
        <v>1</v>
      </c>
      <c r="F142" s="321" t="str">
        <f>IF(coder1_YH!G142="", clean_mod!F141, coder1_YH!G142)</f>
        <v>Little et al. 2014</v>
      </c>
      <c r="G142" s="321" t="str">
        <f t="shared" si="40"/>
        <v>127</v>
      </c>
      <c r="H142" s="321">
        <f>IF(coder1_YH!H142="", clean_mod!H141, coder1_YH!H142)</f>
        <v>127.01</v>
      </c>
      <c r="I142" s="404" t="str">
        <f t="shared" si="41"/>
        <v>2014</v>
      </c>
      <c r="J142" s="344" t="str">
        <f>IF(coder1_YH!I142="",J141,coder1_YH!I142)</f>
        <v>USA</v>
      </c>
      <c r="K142" s="345">
        <f t="shared" si="42"/>
        <v>0</v>
      </c>
      <c r="L142" s="344" t="str">
        <f>IF(coder1_YH!J142 = "",L141, coder1_YH!J142)</f>
        <v>English</v>
      </c>
      <c r="M142" s="345">
        <f t="shared" si="43"/>
        <v>0</v>
      </c>
      <c r="N142" s="345" t="str">
        <f>IF(coder1_YH!K142 = "", N141, LEFT(coder1_YH!K142,1))</f>
        <v>0</v>
      </c>
      <c r="O142" s="345" t="str">
        <f>IF(coder1_YH!L142 = "", O141, LEFT(coder1_YH!L142,1))</f>
        <v>0</v>
      </c>
      <c r="P142" s="345" t="str">
        <f>IF(coder1_YH!M142 = "", P141, LEFT(coder1_YH!M142,1))</f>
        <v>0</v>
      </c>
      <c r="Q142" s="321">
        <f>coder1_YH!P142</f>
        <v>1</v>
      </c>
      <c r="R142" s="321" t="str">
        <f>coder1_YH!Q142</f>
        <v>SEM-R,   East, G7</v>
      </c>
      <c r="S142" s="323" t="str">
        <f t="shared" si="44"/>
        <v>N</v>
      </c>
      <c r="T142" s="323" t="str">
        <f t="shared" si="45"/>
        <v/>
      </c>
      <c r="U142" s="323" t="str">
        <f t="shared" si="46"/>
        <v/>
      </c>
      <c r="V142" s="323" t="str">
        <f t="shared" si="47"/>
        <v/>
      </c>
      <c r="W142" s="323">
        <f t="shared" si="48"/>
        <v>1</v>
      </c>
      <c r="X142" s="385" t="str">
        <f>IF(coder1_YH!N142 = "",X141,coder1_YH!N142)</f>
        <v>N</v>
      </c>
      <c r="Y142" s="385" t="str">
        <f>IF(coder1_YH!O142 = "",Y141,coder1_YH!O142)</f>
        <v xml:space="preserve">m </v>
      </c>
      <c r="Z142" s="385" t="str">
        <f t="shared" si="49"/>
        <v>M</v>
      </c>
      <c r="AA142" s="385" t="str">
        <f t="shared" si="50"/>
        <v>R</v>
      </c>
      <c r="AB142" s="385" t="str">
        <f t="shared" si="51"/>
        <v>MR</v>
      </c>
      <c r="AC142" s="323" t="str">
        <f t="shared" si="52"/>
        <v xml:space="preserve">Nm </v>
      </c>
      <c r="AD142" s="323" t="str">
        <f t="shared" si="53"/>
        <v>N_R</v>
      </c>
      <c r="AE142" s="323">
        <f>IF(Y142="cm", 1,0)</f>
        <v>0</v>
      </c>
      <c r="AF142" s="369" t="str">
        <f t="shared" si="54"/>
        <v xml:space="preserve">127.01-Nm </v>
      </c>
      <c r="AG142" s="369" t="str">
        <f t="shared" si="55"/>
        <v>127.01-N_R</v>
      </c>
      <c r="AH142" s="344">
        <f>IF(coder1_YH!R142="",AH141,coder1_YH!R142)</f>
        <v>7</v>
      </c>
      <c r="AI142" s="344">
        <f t="shared" si="39"/>
        <v>7</v>
      </c>
      <c r="AJ142" s="345">
        <f t="shared" si="56"/>
        <v>1</v>
      </c>
      <c r="AK142" s="408">
        <f>IF(coder1_YH!S142="",AK141,coder1_YH!S142)</f>
        <v>12.5</v>
      </c>
      <c r="AL142" s="345">
        <f>IF(coder1_YH!T142="",AL141,IF(coder1_YH!T142="mixed",0.25,coder1_YH!T142))</f>
        <v>0.25</v>
      </c>
      <c r="AM142" s="345" t="str">
        <f>IF(coder1_YH!U142 = "", AM141, IF(coder1_YH!U142="mixed","NA",coder1_YH!U142))</f>
        <v>NA</v>
      </c>
      <c r="AN142" s="345">
        <f>IF(coder1_YH!V142="",AN141,coder1_YH!V142)</f>
        <v>0.47699999999999998</v>
      </c>
      <c r="AO142" s="345" t="str">
        <f>IF(coder1_YH!W142="",AO141,coder1_YH!W142)</f>
        <v>NA</v>
      </c>
      <c r="AP142" s="345" t="str">
        <f>IF(coder1_YH!X142="",AP141,coder1_YH!X142)</f>
        <v>NA</v>
      </c>
      <c r="AQ142" s="345">
        <f>IF(coder1_YH!Y142="",AQ141,coder1_YH!Y142)</f>
        <v>0.68300000000000005</v>
      </c>
      <c r="AR142" t="str">
        <f>coder1_YH!AB142</f>
        <v>0 = Researcher-developed/adapted curriculum</v>
      </c>
      <c r="AS142" s="345" t="str">
        <f>IF(coder1_YH!AC142 = "", AS141,IF(coder1_YH!AC142="BAU","BAU",LEFT(coder1_YH!AC142)))</f>
        <v>0</v>
      </c>
      <c r="AT142" s="345" t="str">
        <f>IF(coder1_YH!AD142 = "", AT141,IF(coder1_YH!AD142="BAU","BAU",LEFT(coder1_YH!AD142)))</f>
        <v>0</v>
      </c>
      <c r="AU142" s="345" t="str">
        <f>IF(coder1_YH!AE142 = "", AU141,IF(coder1_YH!AE142="BAU","BAU",LEFT(coder1_YH!AE142)))</f>
        <v>1</v>
      </c>
      <c r="AV142" s="345">
        <f>IF(coder1_YH!AF142="",AV141,coder1_YH!AF142)</f>
        <v>6800</v>
      </c>
      <c r="AW142" s="345">
        <f t="shared" si="57"/>
        <v>113.33333333333333</v>
      </c>
      <c r="AX142" s="345">
        <f>IF(coder1_YH!AG142="",AX141,coder1_YH!AG142)</f>
        <v>160</v>
      </c>
      <c r="AY142" s="345">
        <f>IF(coder1_YH!AH142="",AY141,coder1_YH!AH142)</f>
        <v>42.5</v>
      </c>
      <c r="AZ142" s="345" t="str">
        <f>IF(coder1_YH!AI142 = "", AZ141, IF(coder1_YH!AI142="BAU","BAU",LEFT(coder1_YH!AI142)))</f>
        <v>1</v>
      </c>
      <c r="BA142" s="384">
        <f>clean_data!Y142</f>
        <v>154</v>
      </c>
    </row>
    <row r="143" spans="1:53" x14ac:dyDescent="0.2">
      <c r="A143">
        <f>coder1_YH!B143</f>
        <v>0</v>
      </c>
      <c r="B143">
        <f>coder1_YH!C143</f>
        <v>143</v>
      </c>
      <c r="C143">
        <f>coder1_YH!D143</f>
        <v>0</v>
      </c>
      <c r="D143" t="str">
        <f>coder1_YH!E143</f>
        <v/>
      </c>
      <c r="E143" t="b">
        <f>coder1_YH!F143</f>
        <v>1</v>
      </c>
      <c r="F143" s="321" t="str">
        <f>IF(coder1_YH!G143="", clean_mod!F142, coder1_YH!G143)</f>
        <v>Little et al. 2014</v>
      </c>
      <c r="G143" s="321" t="str">
        <f t="shared" si="40"/>
        <v>127</v>
      </c>
      <c r="H143" s="321">
        <f>IF(coder1_YH!H143="", clean_mod!H142, coder1_YH!H143)</f>
        <v>127.01</v>
      </c>
      <c r="I143" s="404" t="str">
        <f t="shared" si="41"/>
        <v>2014</v>
      </c>
      <c r="J143" s="344" t="str">
        <f>IF(coder1_YH!I143="",J142,coder1_YH!I143)</f>
        <v>USA</v>
      </c>
      <c r="K143" s="345">
        <f t="shared" si="42"/>
        <v>0</v>
      </c>
      <c r="L143" s="344" t="str">
        <f>IF(coder1_YH!J143 = "",L142, coder1_YH!J143)</f>
        <v>English</v>
      </c>
      <c r="M143" s="345">
        <f t="shared" si="43"/>
        <v>0</v>
      </c>
      <c r="N143" s="345" t="str">
        <f>IF(coder1_YH!K143 = "", N142, LEFT(coder1_YH!K143,1))</f>
        <v>0</v>
      </c>
      <c r="O143" s="345" t="str">
        <f>IF(coder1_YH!L143 = "", O142, LEFT(coder1_YH!L143,1))</f>
        <v>0</v>
      </c>
      <c r="P143" s="345" t="str">
        <f>IF(coder1_YH!M143 = "", P142, LEFT(coder1_YH!M143,1))</f>
        <v>0</v>
      </c>
      <c r="Q143" s="321" t="str">
        <f>coder1_YH!P143</f>
        <v>ctl</v>
      </c>
      <c r="R143" s="321" t="str">
        <f>coder1_YH!Q143</f>
        <v>Control, East, G7</v>
      </c>
      <c r="S143" s="323" t="str">
        <f t="shared" si="44"/>
        <v/>
      </c>
      <c r="T143" s="323" t="str">
        <f t="shared" si="45"/>
        <v/>
      </c>
      <c r="U143" s="323" t="str">
        <f t="shared" si="46"/>
        <v/>
      </c>
      <c r="V143" s="323" t="str">
        <f t="shared" si="47"/>
        <v/>
      </c>
      <c r="W143" s="323">
        <f t="shared" si="48"/>
        <v>0</v>
      </c>
      <c r="X143" s="385" t="str">
        <f>IF(coder1_YH!N143 = "",X142,coder1_YH!N143)</f>
        <v>.</v>
      </c>
      <c r="Y143" s="385" t="str">
        <f>IF(coder1_YH!O143 = "",Y142,coder1_YH!O143)</f>
        <v xml:space="preserve">m </v>
      </c>
      <c r="Z143" s="385" t="str">
        <f t="shared" si="49"/>
        <v/>
      </c>
      <c r="AA143" s="385" t="str">
        <f t="shared" si="50"/>
        <v>R</v>
      </c>
      <c r="AB143" s="385" t="str">
        <f t="shared" si="51"/>
        <v>R</v>
      </c>
      <c r="AC143" s="323" t="str">
        <f t="shared" si="52"/>
        <v xml:space="preserve">.m </v>
      </c>
      <c r="AD143" s="323" t="str">
        <f t="shared" si="53"/>
        <v>R</v>
      </c>
      <c r="AF143" s="369" t="str">
        <f t="shared" si="54"/>
        <v xml:space="preserve">127.01-.m </v>
      </c>
      <c r="AG143" s="369" t="str">
        <f t="shared" si="55"/>
        <v>127.01-R</v>
      </c>
      <c r="AH143" s="344">
        <f>IF(coder1_YH!R143="",AH142,coder1_YH!R143)</f>
        <v>7</v>
      </c>
      <c r="AI143" s="344">
        <f t="shared" si="39"/>
        <v>7</v>
      </c>
      <c r="AJ143" s="345">
        <f t="shared" si="56"/>
        <v>1</v>
      </c>
      <c r="AK143" s="408">
        <f>IF(coder1_YH!S143="",AK142,coder1_YH!S143)</f>
        <v>12.5</v>
      </c>
      <c r="AL143" s="345">
        <f>IF(coder1_YH!T143="",AL142,IF(coder1_YH!T143="mixed",0.25,coder1_YH!T143))</f>
        <v>0.25</v>
      </c>
      <c r="AM143" s="345" t="str">
        <f>IF(coder1_YH!U143 = "", AM142, IF(coder1_YH!U143="mixed","NA",coder1_YH!U143))</f>
        <v>NA</v>
      </c>
      <c r="AN143" s="345">
        <f>IF(coder1_YH!V143="",AN142,coder1_YH!V143)</f>
        <v>0.47699999999999998</v>
      </c>
      <c r="AO143" s="345" t="str">
        <f>IF(coder1_YH!W143="",AO142,coder1_YH!W143)</f>
        <v>NA</v>
      </c>
      <c r="AP143" s="345" t="str">
        <f>IF(coder1_YH!X143="",AP142,coder1_YH!X143)</f>
        <v>NA</v>
      </c>
      <c r="AQ143" s="345">
        <f>IF(coder1_YH!Y143="",AQ142,coder1_YH!Y143)</f>
        <v>0.68300000000000005</v>
      </c>
      <c r="AR143" t="str">
        <f>coder1_YH!AB143</f>
        <v>2 = District/State curriculum</v>
      </c>
      <c r="AS143" s="345" t="str">
        <f>IF(coder1_YH!AC143 = "", AS142,IF(coder1_YH!AC143="BAU","BAU",LEFT(coder1_YH!AC143)))</f>
        <v>BAU</v>
      </c>
      <c r="AT143" s="345" t="str">
        <f>IF(coder1_YH!AD143 = "", AT142,IF(coder1_YH!AD143="BAU","BAU",LEFT(coder1_YH!AD143)))</f>
        <v>BAU</v>
      </c>
      <c r="AU143" s="345" t="str">
        <f>IF(coder1_YH!AE143 = "", AU142,IF(coder1_YH!AE143="BAU","BAU",LEFT(coder1_YH!AE143)))</f>
        <v>BAU</v>
      </c>
      <c r="AV143" s="345" t="str">
        <f>IF(coder1_YH!AF143="",AV142,coder1_YH!AF143)</f>
        <v>BAU</v>
      </c>
      <c r="AW143" s="345" t="str">
        <f t="shared" si="57"/>
        <v>BAU</v>
      </c>
      <c r="AX143" s="345" t="str">
        <f>IF(coder1_YH!AG143="",AX142,coder1_YH!AG143)</f>
        <v>BAU</v>
      </c>
      <c r="AY143" s="345" t="str">
        <f>IF(coder1_YH!AH143="",AY142,coder1_YH!AH143)</f>
        <v>BAU</v>
      </c>
      <c r="AZ143" s="345" t="str">
        <f>IF(coder1_YH!AI143 = "", AZ142, IF(coder1_YH!AI143="BAU","BAU",LEFT(coder1_YH!AI143)))</f>
        <v>BAU</v>
      </c>
      <c r="BA143" s="384">
        <f>clean_data!Y143</f>
        <v>143</v>
      </c>
    </row>
    <row r="144" spans="1:53" x14ac:dyDescent="0.2">
      <c r="A144">
        <f>coder1_YH!B144</f>
        <v>0</v>
      </c>
      <c r="B144">
        <f>coder1_YH!C144</f>
        <v>144</v>
      </c>
      <c r="C144">
        <f>coder1_YH!D144</f>
        <v>0</v>
      </c>
      <c r="D144" t="b">
        <f>coder1_YH!E144</f>
        <v>1</v>
      </c>
      <c r="E144" t="b">
        <f>coder1_YH!F144</f>
        <v>1</v>
      </c>
      <c r="F144" s="321" t="str">
        <f>IF(coder1_YH!G144="", clean_mod!F143, coder1_YH!G144)</f>
        <v>Little et al. 2014</v>
      </c>
      <c r="G144" s="321" t="str">
        <f t="shared" si="40"/>
        <v>127</v>
      </c>
      <c r="H144" s="321">
        <f>IF(coder1_YH!H144="", clean_mod!H143, coder1_YH!H144)</f>
        <v>127.02000000000001</v>
      </c>
      <c r="I144" s="404" t="str">
        <f t="shared" si="41"/>
        <v>2014</v>
      </c>
      <c r="J144" s="344" t="str">
        <f>IF(coder1_YH!I144="",J143,coder1_YH!I144)</f>
        <v>USA</v>
      </c>
      <c r="K144" s="345">
        <f t="shared" si="42"/>
        <v>0</v>
      </c>
      <c r="L144" s="344" t="str">
        <f>IF(coder1_YH!J144 = "",L143, coder1_YH!J144)</f>
        <v>English</v>
      </c>
      <c r="M144" s="345">
        <f t="shared" si="43"/>
        <v>0</v>
      </c>
      <c r="N144" s="345" t="str">
        <f>IF(coder1_YH!K144 = "", N143, LEFT(coder1_YH!K144,1))</f>
        <v>0</v>
      </c>
      <c r="O144" s="345" t="str">
        <f>IF(coder1_YH!L144 = "", O143, LEFT(coder1_YH!L144,1))</f>
        <v>0</v>
      </c>
      <c r="P144" s="345" t="str">
        <f>IF(coder1_YH!M144 = "", P143, LEFT(coder1_YH!M144,1))</f>
        <v>0</v>
      </c>
      <c r="Q144" s="321">
        <f>coder1_YH!P144</f>
        <v>1</v>
      </c>
      <c r="R144" s="321" t="str">
        <f>coder1_YH!Q144</f>
        <v>SEM-R,   East, G8</v>
      </c>
      <c r="S144" s="323" t="str">
        <f t="shared" si="44"/>
        <v>N</v>
      </c>
      <c r="T144" s="323" t="str">
        <f t="shared" si="45"/>
        <v/>
      </c>
      <c r="U144" s="323" t="str">
        <f t="shared" si="46"/>
        <v/>
      </c>
      <c r="V144" s="323" t="str">
        <f t="shared" si="47"/>
        <v/>
      </c>
      <c r="W144" s="323">
        <f t="shared" si="48"/>
        <v>1</v>
      </c>
      <c r="X144" s="385" t="str">
        <f>IF(coder1_YH!N144 = "",X143,coder1_YH!N144)</f>
        <v>N</v>
      </c>
      <c r="Y144" s="385" t="str">
        <f>IF(coder1_YH!O144 = "",Y143,coder1_YH!O144)</f>
        <v xml:space="preserve">m </v>
      </c>
      <c r="Z144" s="385" t="str">
        <f t="shared" si="49"/>
        <v>M</v>
      </c>
      <c r="AA144" s="385" t="str">
        <f t="shared" si="50"/>
        <v>R</v>
      </c>
      <c r="AB144" s="385" t="str">
        <f t="shared" si="51"/>
        <v>MR</v>
      </c>
      <c r="AC144" s="323" t="str">
        <f t="shared" si="52"/>
        <v xml:space="preserve">Nm </v>
      </c>
      <c r="AD144" s="323" t="str">
        <f t="shared" si="53"/>
        <v>N_R</v>
      </c>
      <c r="AE144" s="323">
        <f>IF(Y144="cm", 1,0)</f>
        <v>0</v>
      </c>
      <c r="AF144" s="369" t="str">
        <f t="shared" si="54"/>
        <v xml:space="preserve">127.02-Nm </v>
      </c>
      <c r="AG144" s="369" t="str">
        <f t="shared" si="55"/>
        <v>127.02-N_R</v>
      </c>
      <c r="AH144" s="344">
        <f>IF(coder1_YH!R144="",AH143,coder1_YH!R144)</f>
        <v>8</v>
      </c>
      <c r="AI144" s="344">
        <f t="shared" si="39"/>
        <v>8</v>
      </c>
      <c r="AJ144" s="345">
        <f t="shared" si="56"/>
        <v>1</v>
      </c>
      <c r="AK144" s="408">
        <f>IF(coder1_YH!S144="",AK143,coder1_YH!S144)</f>
        <v>13.5</v>
      </c>
      <c r="AL144" s="345">
        <f>IF(coder1_YH!T144="",AL143,IF(coder1_YH!T144="mixed",0.25,coder1_YH!T144))</f>
        <v>0.25</v>
      </c>
      <c r="AM144" s="345" t="str">
        <f>IF(coder1_YH!U144 = "", AM143, IF(coder1_YH!U144="mixed","NA",coder1_YH!U144))</f>
        <v>NA</v>
      </c>
      <c r="AN144" s="345">
        <f>IF(coder1_YH!V144="",AN143,coder1_YH!V144)</f>
        <v>0.47699999999999998</v>
      </c>
      <c r="AO144" s="345" t="str">
        <f>IF(coder1_YH!W144="",AO143,coder1_YH!W144)</f>
        <v>NA</v>
      </c>
      <c r="AP144" s="345" t="str">
        <f>IF(coder1_YH!X144="",AP143,coder1_YH!X144)</f>
        <v>NA</v>
      </c>
      <c r="AQ144" s="345">
        <f>IF(coder1_YH!Y144="",AQ143,coder1_YH!Y144)</f>
        <v>0.68300000000000005</v>
      </c>
      <c r="AR144" t="str">
        <f>coder1_YH!AB144</f>
        <v>0 = Researcher-developed/adapted curriculum</v>
      </c>
      <c r="AS144" s="345" t="str">
        <f>IF(coder1_YH!AC144 = "", AS143,IF(coder1_YH!AC144="BAU","BAU",LEFT(coder1_YH!AC144)))</f>
        <v>0</v>
      </c>
      <c r="AT144" s="345" t="str">
        <f>IF(coder1_YH!AD144 = "", AT143,IF(coder1_YH!AD144="BAU","BAU",LEFT(coder1_YH!AD144)))</f>
        <v>0</v>
      </c>
      <c r="AU144" s="345" t="str">
        <f>IF(coder1_YH!AE144 = "", AU143,IF(coder1_YH!AE144="BAU","BAU",LEFT(coder1_YH!AE144)))</f>
        <v>1</v>
      </c>
      <c r="AV144" s="345">
        <f>IF(coder1_YH!AF144="",AV143,coder1_YH!AF144)</f>
        <v>6800</v>
      </c>
      <c r="AW144" s="345">
        <f t="shared" si="57"/>
        <v>113.33333333333333</v>
      </c>
      <c r="AX144" s="345">
        <f>IF(coder1_YH!AG144="",AX143,coder1_YH!AG144)</f>
        <v>160</v>
      </c>
      <c r="AY144" s="345">
        <f>IF(coder1_YH!AH144="",AY143,coder1_YH!AH144)</f>
        <v>42.5</v>
      </c>
      <c r="AZ144" s="345" t="str">
        <f>IF(coder1_YH!AI144 = "", AZ143, IF(coder1_YH!AI144="BAU","BAU",LEFT(coder1_YH!AI144)))</f>
        <v>1</v>
      </c>
      <c r="BA144" s="384">
        <f>clean_data!Y144</f>
        <v>117</v>
      </c>
    </row>
    <row r="145" spans="1:53" x14ac:dyDescent="0.2">
      <c r="A145">
        <f>coder1_YH!B145</f>
        <v>0</v>
      </c>
      <c r="B145">
        <f>coder1_YH!C145</f>
        <v>145</v>
      </c>
      <c r="C145">
        <f>coder1_YH!D145</f>
        <v>0</v>
      </c>
      <c r="D145" t="str">
        <f>coder1_YH!E145</f>
        <v/>
      </c>
      <c r="E145" t="b">
        <f>coder1_YH!F145</f>
        <v>1</v>
      </c>
      <c r="F145" s="321" t="str">
        <f>IF(coder1_YH!G145="", clean_mod!F144, coder1_YH!G145)</f>
        <v>Little et al. 2014</v>
      </c>
      <c r="G145" s="321" t="str">
        <f t="shared" si="40"/>
        <v>127</v>
      </c>
      <c r="H145" s="321">
        <f>IF(coder1_YH!H145="", clean_mod!H144, coder1_YH!H145)</f>
        <v>127.02000000000001</v>
      </c>
      <c r="I145" s="404" t="str">
        <f t="shared" si="41"/>
        <v>2014</v>
      </c>
      <c r="J145" s="344" t="str">
        <f>IF(coder1_YH!I145="",J144,coder1_YH!I145)</f>
        <v>USA</v>
      </c>
      <c r="K145" s="345">
        <f t="shared" si="42"/>
        <v>0</v>
      </c>
      <c r="L145" s="344" t="str">
        <f>IF(coder1_YH!J145 = "",L144, coder1_YH!J145)</f>
        <v>English</v>
      </c>
      <c r="M145" s="345">
        <f t="shared" si="43"/>
        <v>0</v>
      </c>
      <c r="N145" s="345" t="str">
        <f>IF(coder1_YH!K145 = "", N144, LEFT(coder1_YH!K145,1))</f>
        <v>0</v>
      </c>
      <c r="O145" s="345" t="str">
        <f>IF(coder1_YH!L145 = "", O144, LEFT(coder1_YH!L145,1))</f>
        <v>0</v>
      </c>
      <c r="P145" s="345" t="str">
        <f>IF(coder1_YH!M145 = "", P144, LEFT(coder1_YH!M145,1))</f>
        <v>0</v>
      </c>
      <c r="Q145" s="321" t="str">
        <f>coder1_YH!P145</f>
        <v>ctl</v>
      </c>
      <c r="R145" s="321" t="str">
        <f>coder1_YH!Q145</f>
        <v>Control, East, G8</v>
      </c>
      <c r="S145" s="323" t="str">
        <f t="shared" si="44"/>
        <v/>
      </c>
      <c r="T145" s="323" t="str">
        <f t="shared" si="45"/>
        <v/>
      </c>
      <c r="U145" s="323" t="str">
        <f t="shared" si="46"/>
        <v/>
      </c>
      <c r="V145" s="323" t="str">
        <f t="shared" si="47"/>
        <v/>
      </c>
      <c r="W145" s="323">
        <f t="shared" si="48"/>
        <v>0</v>
      </c>
      <c r="X145" s="385" t="str">
        <f>IF(coder1_YH!N145 = "",X144,coder1_YH!N145)</f>
        <v>.</v>
      </c>
      <c r="Y145" s="385" t="str">
        <f>IF(coder1_YH!O145 = "",Y144,coder1_YH!O145)</f>
        <v xml:space="preserve">m </v>
      </c>
      <c r="Z145" s="385" t="str">
        <f t="shared" si="49"/>
        <v/>
      </c>
      <c r="AA145" s="385" t="str">
        <f t="shared" si="50"/>
        <v>R</v>
      </c>
      <c r="AB145" s="385" t="str">
        <f t="shared" si="51"/>
        <v>R</v>
      </c>
      <c r="AC145" s="323" t="str">
        <f t="shared" si="52"/>
        <v xml:space="preserve">.m </v>
      </c>
      <c r="AD145" s="323" t="str">
        <f t="shared" si="53"/>
        <v>R</v>
      </c>
      <c r="AF145" s="369" t="str">
        <f t="shared" si="54"/>
        <v xml:space="preserve">127.02-.m </v>
      </c>
      <c r="AG145" s="369" t="str">
        <f t="shared" si="55"/>
        <v>127.02-R</v>
      </c>
      <c r="AH145" s="344">
        <f>IF(coder1_YH!R145="",AH144,coder1_YH!R145)</f>
        <v>8</v>
      </c>
      <c r="AI145" s="344">
        <f t="shared" si="39"/>
        <v>8</v>
      </c>
      <c r="AJ145" s="345">
        <f t="shared" si="56"/>
        <v>1</v>
      </c>
      <c r="AK145" s="408">
        <f>IF(coder1_YH!S145="",AK144,coder1_YH!S145)</f>
        <v>13.5</v>
      </c>
      <c r="AL145" s="345">
        <f>IF(coder1_YH!T145="",AL144,IF(coder1_YH!T145="mixed",0.25,coder1_YH!T145))</f>
        <v>0.25</v>
      </c>
      <c r="AM145" s="345" t="str">
        <f>IF(coder1_YH!U145 = "", AM144, IF(coder1_YH!U145="mixed","NA",coder1_YH!U145))</f>
        <v>NA</v>
      </c>
      <c r="AN145" s="345">
        <f>IF(coder1_YH!V145="",AN144,coder1_YH!V145)</f>
        <v>0.47699999999999998</v>
      </c>
      <c r="AO145" s="345" t="str">
        <f>IF(coder1_YH!W145="",AO144,coder1_YH!W145)</f>
        <v>NA</v>
      </c>
      <c r="AP145" s="345" t="str">
        <f>IF(coder1_YH!X145="",AP144,coder1_YH!X145)</f>
        <v>NA</v>
      </c>
      <c r="AQ145" s="345">
        <f>IF(coder1_YH!Y145="",AQ144,coder1_YH!Y145)</f>
        <v>0.68300000000000005</v>
      </c>
      <c r="AR145" t="str">
        <f>coder1_YH!AB145</f>
        <v>2 = District/State curriculum</v>
      </c>
      <c r="AS145" s="345" t="str">
        <f>IF(coder1_YH!AC145 = "", AS144,IF(coder1_YH!AC145="BAU","BAU",LEFT(coder1_YH!AC145)))</f>
        <v>BAU</v>
      </c>
      <c r="AT145" s="345" t="str">
        <f>IF(coder1_YH!AD145 = "", AT144,IF(coder1_YH!AD145="BAU","BAU",LEFT(coder1_YH!AD145)))</f>
        <v>BAU</v>
      </c>
      <c r="AU145" s="345" t="str">
        <f>IF(coder1_YH!AE145 = "", AU144,IF(coder1_YH!AE145="BAU","BAU",LEFT(coder1_YH!AE145)))</f>
        <v>BAU</v>
      </c>
      <c r="AV145" s="345" t="str">
        <f>IF(coder1_YH!AF145="",AV144,coder1_YH!AF145)</f>
        <v>BAU</v>
      </c>
      <c r="AW145" s="345" t="str">
        <f t="shared" si="57"/>
        <v>BAU</v>
      </c>
      <c r="AX145" s="345" t="str">
        <f>IF(coder1_YH!AG145="",AX144,coder1_YH!AG145)</f>
        <v>BAU</v>
      </c>
      <c r="AY145" s="345" t="str">
        <f>IF(coder1_YH!AH145="",AY144,coder1_YH!AH145)</f>
        <v>BAU</v>
      </c>
      <c r="AZ145" s="345" t="str">
        <f>IF(coder1_YH!AI145 = "", AZ144, IF(coder1_YH!AI145="BAU","BAU",LEFT(coder1_YH!AI145)))</f>
        <v>BAU</v>
      </c>
      <c r="BA145" s="384">
        <f>clean_data!Y145</f>
        <v>134</v>
      </c>
    </row>
    <row r="146" spans="1:53" x14ac:dyDescent="0.2">
      <c r="A146">
        <f>coder1_YH!B146</f>
        <v>0</v>
      </c>
      <c r="B146">
        <f>coder1_YH!C146</f>
        <v>146</v>
      </c>
      <c r="C146">
        <f>coder1_YH!D146</f>
        <v>0</v>
      </c>
      <c r="D146" t="b">
        <f>coder1_YH!E146</f>
        <v>1</v>
      </c>
      <c r="E146" t="b">
        <f>coder1_YH!F146</f>
        <v>1</v>
      </c>
      <c r="F146" s="321" t="str">
        <f>IF(coder1_YH!G146="", clean_mod!F145, coder1_YH!G146)</f>
        <v>Little et al. 2014</v>
      </c>
      <c r="G146" s="321" t="str">
        <f t="shared" si="40"/>
        <v>127</v>
      </c>
      <c r="H146" s="321">
        <f>IF(coder1_YH!H146="", clean_mod!H145, coder1_YH!H146)</f>
        <v>127.03000000000002</v>
      </c>
      <c r="I146" s="404" t="str">
        <f t="shared" si="41"/>
        <v>2014</v>
      </c>
      <c r="J146" s="344" t="str">
        <f>IF(coder1_YH!I146="",J145,coder1_YH!I146)</f>
        <v>USA</v>
      </c>
      <c r="K146" s="345">
        <f t="shared" si="42"/>
        <v>0</v>
      </c>
      <c r="L146" s="344" t="str">
        <f>IF(coder1_YH!J146 = "",L145, coder1_YH!J146)</f>
        <v>English</v>
      </c>
      <c r="M146" s="345">
        <f t="shared" si="43"/>
        <v>0</v>
      </c>
      <c r="N146" s="345" t="str">
        <f>IF(coder1_YH!K146 = "", N145, LEFT(coder1_YH!K146,1))</f>
        <v>0</v>
      </c>
      <c r="O146" s="345" t="str">
        <f>IF(coder1_YH!L146 = "", O145, LEFT(coder1_YH!L146,1))</f>
        <v>0</v>
      </c>
      <c r="P146" s="345" t="str">
        <f>IF(coder1_YH!M146 = "", P145, LEFT(coder1_YH!M146,1))</f>
        <v>0</v>
      </c>
      <c r="Q146" s="321">
        <f>coder1_YH!P146</f>
        <v>1</v>
      </c>
      <c r="R146" s="321" t="str">
        <f>coder1_YH!Q146</f>
        <v>SEM-R,   West, G6</v>
      </c>
      <c r="S146" s="323" t="str">
        <f t="shared" si="44"/>
        <v>N</v>
      </c>
      <c r="T146" s="323" t="str">
        <f t="shared" si="45"/>
        <v/>
      </c>
      <c r="U146" s="323" t="str">
        <f t="shared" si="46"/>
        <v/>
      </c>
      <c r="V146" s="323" t="str">
        <f t="shared" si="47"/>
        <v/>
      </c>
      <c r="W146" s="323">
        <f t="shared" si="48"/>
        <v>1</v>
      </c>
      <c r="X146" s="385" t="str">
        <f>IF(coder1_YH!N146 = "",X145,coder1_YH!N146)</f>
        <v>N</v>
      </c>
      <c r="Y146" s="385" t="str">
        <f>IF(coder1_YH!O146 = "",Y145,coder1_YH!O146)</f>
        <v xml:space="preserve">m </v>
      </c>
      <c r="Z146" s="385" t="str">
        <f t="shared" si="49"/>
        <v>M</v>
      </c>
      <c r="AA146" s="385" t="str">
        <f t="shared" si="50"/>
        <v>R</v>
      </c>
      <c r="AB146" s="385" t="str">
        <f t="shared" si="51"/>
        <v>MR</v>
      </c>
      <c r="AC146" s="323" t="str">
        <f t="shared" si="52"/>
        <v xml:space="preserve">Nm </v>
      </c>
      <c r="AD146" s="323" t="str">
        <f t="shared" si="53"/>
        <v>N_R</v>
      </c>
      <c r="AE146" s="323">
        <f>IF(Y146="cm", 1,0)</f>
        <v>0</v>
      </c>
      <c r="AF146" s="369" t="str">
        <f t="shared" si="54"/>
        <v xml:space="preserve">127.03-Nm </v>
      </c>
      <c r="AG146" s="369" t="str">
        <f t="shared" si="55"/>
        <v>127.03-N_R</v>
      </c>
      <c r="AH146" s="344">
        <f>IF(coder1_YH!R146="",AH145,coder1_YH!R146)</f>
        <v>6</v>
      </c>
      <c r="AI146" s="344">
        <f t="shared" si="39"/>
        <v>6</v>
      </c>
      <c r="AJ146" s="345">
        <f t="shared" si="56"/>
        <v>1</v>
      </c>
      <c r="AK146" s="408">
        <f>IF(coder1_YH!S146="",AK145,coder1_YH!S146)</f>
        <v>11.5</v>
      </c>
      <c r="AL146" s="345">
        <f>IF(coder1_YH!T146="",AL145,IF(coder1_YH!T146="mixed",0.25,coder1_YH!T146))</f>
        <v>0.25</v>
      </c>
      <c r="AM146" s="345" t="str">
        <f>IF(coder1_YH!U146 = "", AM145, IF(coder1_YH!U146="mixed","NA",coder1_YH!U146))</f>
        <v>NA</v>
      </c>
      <c r="AN146" s="345">
        <f>IF(coder1_YH!V146="",AN145,coder1_YH!V146)</f>
        <v>0.79</v>
      </c>
      <c r="AO146" s="345" t="str">
        <f>IF(coder1_YH!W146="",AO145,coder1_YH!W146)</f>
        <v>NA</v>
      </c>
      <c r="AP146" s="345" t="str">
        <f>IF(coder1_YH!X146="",AP145,coder1_YH!X146)</f>
        <v>NA</v>
      </c>
      <c r="AQ146" s="345">
        <f>IF(coder1_YH!Y146="",AQ145,coder1_YH!Y146)</f>
        <v>0.69200000000000006</v>
      </c>
      <c r="AR146" t="str">
        <f>coder1_YH!AB146</f>
        <v>0 = Researcher-developed/adapted curriculum</v>
      </c>
      <c r="AS146" s="345" t="str">
        <f>IF(coder1_YH!AC146 = "", AS145,IF(coder1_YH!AC146="BAU","BAU",LEFT(coder1_YH!AC146)))</f>
        <v>0</v>
      </c>
      <c r="AT146" s="345" t="str">
        <f>IF(coder1_YH!AD146 = "", AT145,IF(coder1_YH!AD146="BAU","BAU",LEFT(coder1_YH!AD146)))</f>
        <v>0</v>
      </c>
      <c r="AU146" s="345" t="str">
        <f>IF(coder1_YH!AE146 = "", AU145,IF(coder1_YH!AE146="BAU","BAU",LEFT(coder1_YH!AE146)))</f>
        <v>1</v>
      </c>
      <c r="AV146" s="345">
        <f>IF(coder1_YH!AF146="",AV145,coder1_YH!AF146)</f>
        <v>6800</v>
      </c>
      <c r="AW146" s="345">
        <f t="shared" si="57"/>
        <v>113.33333333333333</v>
      </c>
      <c r="AX146" s="345">
        <f>IF(coder1_YH!AG146="",AX145,coder1_YH!AG146)</f>
        <v>160</v>
      </c>
      <c r="AY146" s="345">
        <f>IF(coder1_YH!AH146="",AY145,coder1_YH!AH146)</f>
        <v>42.5</v>
      </c>
      <c r="AZ146" s="345" t="str">
        <f>IF(coder1_YH!AI146 = "", AZ145, IF(coder1_YH!AI146="BAU","BAU",LEFT(coder1_YH!AI146)))</f>
        <v>1</v>
      </c>
      <c r="BA146" s="384">
        <f>clean_data!Y146</f>
        <v>176</v>
      </c>
    </row>
    <row r="147" spans="1:53" x14ac:dyDescent="0.2">
      <c r="A147">
        <f>coder1_YH!B147</f>
        <v>0</v>
      </c>
      <c r="B147">
        <f>coder1_YH!C147</f>
        <v>147</v>
      </c>
      <c r="C147">
        <f>coder1_YH!D147</f>
        <v>0</v>
      </c>
      <c r="D147" t="str">
        <f>coder1_YH!E147</f>
        <v/>
      </c>
      <c r="E147" t="b">
        <f>coder1_YH!F147</f>
        <v>1</v>
      </c>
      <c r="F147" s="321" t="str">
        <f>IF(coder1_YH!G147="", clean_mod!F146, coder1_YH!G147)</f>
        <v>Little et al. 2014</v>
      </c>
      <c r="G147" s="321" t="str">
        <f t="shared" si="40"/>
        <v>127</v>
      </c>
      <c r="H147" s="321">
        <f>IF(coder1_YH!H147="", clean_mod!H146, coder1_YH!H147)</f>
        <v>127.03000000000002</v>
      </c>
      <c r="I147" s="404" t="str">
        <f t="shared" si="41"/>
        <v>2014</v>
      </c>
      <c r="J147" s="344" t="str">
        <f>IF(coder1_YH!I147="",J146,coder1_YH!I147)</f>
        <v>USA</v>
      </c>
      <c r="K147" s="345">
        <f t="shared" si="42"/>
        <v>0</v>
      </c>
      <c r="L147" s="344" t="str">
        <f>IF(coder1_YH!J147 = "",L146, coder1_YH!J147)</f>
        <v>English</v>
      </c>
      <c r="M147" s="345">
        <f t="shared" si="43"/>
        <v>0</v>
      </c>
      <c r="N147" s="345" t="str">
        <f>IF(coder1_YH!K147 = "", N146, LEFT(coder1_YH!K147,1))</f>
        <v>0</v>
      </c>
      <c r="O147" s="345" t="str">
        <f>IF(coder1_YH!L147 = "", O146, LEFT(coder1_YH!L147,1))</f>
        <v>0</v>
      </c>
      <c r="P147" s="345" t="str">
        <f>IF(coder1_YH!M147 = "", P146, LEFT(coder1_YH!M147,1))</f>
        <v>0</v>
      </c>
      <c r="Q147" s="321" t="str">
        <f>coder1_YH!P147</f>
        <v>ctl</v>
      </c>
      <c r="R147" s="321" t="str">
        <f>coder1_YH!Q147</f>
        <v>Control, West G6</v>
      </c>
      <c r="S147" s="323" t="str">
        <f t="shared" si="44"/>
        <v/>
      </c>
      <c r="T147" s="323" t="str">
        <f t="shared" si="45"/>
        <v/>
      </c>
      <c r="U147" s="323" t="str">
        <f t="shared" si="46"/>
        <v/>
      </c>
      <c r="V147" s="323" t="str">
        <f t="shared" si="47"/>
        <v/>
      </c>
      <c r="W147" s="323">
        <f t="shared" si="48"/>
        <v>0</v>
      </c>
      <c r="X147" s="385" t="str">
        <f>IF(coder1_YH!N147 = "",X146,coder1_YH!N147)</f>
        <v>.</v>
      </c>
      <c r="Y147" s="385" t="str">
        <f>IF(coder1_YH!O147 = "",Y146,coder1_YH!O147)</f>
        <v xml:space="preserve">m </v>
      </c>
      <c r="Z147" s="385" t="str">
        <f t="shared" si="49"/>
        <v/>
      </c>
      <c r="AA147" s="385" t="str">
        <f t="shared" si="50"/>
        <v>R</v>
      </c>
      <c r="AB147" s="385" t="str">
        <f t="shared" si="51"/>
        <v>R</v>
      </c>
      <c r="AC147" s="323" t="str">
        <f t="shared" si="52"/>
        <v xml:space="preserve">.m </v>
      </c>
      <c r="AD147" s="323" t="str">
        <f t="shared" si="53"/>
        <v>R</v>
      </c>
      <c r="AF147" s="369" t="str">
        <f t="shared" si="54"/>
        <v xml:space="preserve">127.03-.m </v>
      </c>
      <c r="AG147" s="369" t="str">
        <f t="shared" si="55"/>
        <v>127.03-R</v>
      </c>
      <c r="AH147" s="344">
        <f>IF(coder1_YH!R147="",AH146,coder1_YH!R147)</f>
        <v>6</v>
      </c>
      <c r="AI147" s="344">
        <f t="shared" si="39"/>
        <v>6</v>
      </c>
      <c r="AJ147" s="345">
        <f t="shared" si="56"/>
        <v>1</v>
      </c>
      <c r="AK147" s="408">
        <f>IF(coder1_YH!S147="",AK146,coder1_YH!S147)</f>
        <v>11.5</v>
      </c>
      <c r="AL147" s="345">
        <f>IF(coder1_YH!T147="",AL146,IF(coder1_YH!T147="mixed",0.25,coder1_YH!T147))</f>
        <v>0.25</v>
      </c>
      <c r="AM147" s="345" t="str">
        <f>IF(coder1_YH!U147 = "", AM146, IF(coder1_YH!U147="mixed","NA",coder1_YH!U147))</f>
        <v>NA</v>
      </c>
      <c r="AN147" s="345">
        <f>IF(coder1_YH!V147="",AN146,coder1_YH!V147)</f>
        <v>0.79</v>
      </c>
      <c r="AO147" s="345" t="str">
        <f>IF(coder1_YH!W147="",AO146,coder1_YH!W147)</f>
        <v>NA</v>
      </c>
      <c r="AP147" s="345" t="str">
        <f>IF(coder1_YH!X147="",AP146,coder1_YH!X147)</f>
        <v>NA</v>
      </c>
      <c r="AQ147" s="345">
        <f>IF(coder1_YH!Y147="",AQ146,coder1_YH!Y147)</f>
        <v>0.69200000000000006</v>
      </c>
      <c r="AR147" t="str">
        <f>coder1_YH!AB147</f>
        <v>2 = District/State curriculum</v>
      </c>
      <c r="AS147" s="345" t="str">
        <f>IF(coder1_YH!AC147 = "", AS146,IF(coder1_YH!AC147="BAU","BAU",LEFT(coder1_YH!AC147)))</f>
        <v>BAU</v>
      </c>
      <c r="AT147" s="345" t="str">
        <f>IF(coder1_YH!AD147 = "", AT146,IF(coder1_YH!AD147="BAU","BAU",LEFT(coder1_YH!AD147)))</f>
        <v>BAU</v>
      </c>
      <c r="AU147" s="345" t="str">
        <f>IF(coder1_YH!AE147 = "", AU146,IF(coder1_YH!AE147="BAU","BAU",LEFT(coder1_YH!AE147)))</f>
        <v>BAU</v>
      </c>
      <c r="AV147" s="345" t="str">
        <f>IF(coder1_YH!AF147="",AV146,coder1_YH!AF147)</f>
        <v>BAU</v>
      </c>
      <c r="AW147" s="345" t="str">
        <f t="shared" si="57"/>
        <v>BAU</v>
      </c>
      <c r="AX147" s="345" t="str">
        <f>IF(coder1_YH!AG147="",AX146,coder1_YH!AG147)</f>
        <v>BAU</v>
      </c>
      <c r="AY147" s="345" t="str">
        <f>IF(coder1_YH!AH147="",AY146,coder1_YH!AH147)</f>
        <v>BAU</v>
      </c>
      <c r="AZ147" s="345" t="str">
        <f>IF(coder1_YH!AI147 = "", AZ146, IF(coder1_YH!AI147="BAU","BAU",LEFT(coder1_YH!AI147)))</f>
        <v>BAU</v>
      </c>
      <c r="BA147" s="384">
        <f>clean_data!Y147</f>
        <v>84</v>
      </c>
    </row>
    <row r="148" spans="1:53" x14ac:dyDescent="0.2">
      <c r="A148">
        <f>coder1_YH!B148</f>
        <v>0</v>
      </c>
      <c r="B148">
        <f>coder1_YH!C148</f>
        <v>148</v>
      </c>
      <c r="C148">
        <f>coder1_YH!D148</f>
        <v>0</v>
      </c>
      <c r="D148" t="b">
        <f>coder1_YH!E148</f>
        <v>1</v>
      </c>
      <c r="E148" t="b">
        <f>coder1_YH!F148</f>
        <v>1</v>
      </c>
      <c r="F148" s="321" t="str">
        <f>IF(coder1_YH!G148="", clean_mod!F147, coder1_YH!G148)</f>
        <v>Little et al. 2014</v>
      </c>
      <c r="G148" s="321" t="str">
        <f t="shared" si="40"/>
        <v>127</v>
      </c>
      <c r="H148" s="321">
        <f>IF(coder1_YH!H148="", clean_mod!H147, coder1_YH!H148)</f>
        <v>127.04000000000002</v>
      </c>
      <c r="I148" s="404" t="str">
        <f t="shared" si="41"/>
        <v>2014</v>
      </c>
      <c r="J148" s="344" t="str">
        <f>IF(coder1_YH!I148="",J147,coder1_YH!I148)</f>
        <v>USA</v>
      </c>
      <c r="K148" s="345">
        <f t="shared" si="42"/>
        <v>0</v>
      </c>
      <c r="L148" s="344" t="str">
        <f>IF(coder1_YH!J148 = "",L147, coder1_YH!J148)</f>
        <v>English</v>
      </c>
      <c r="M148" s="345">
        <f t="shared" si="43"/>
        <v>0</v>
      </c>
      <c r="N148" s="345" t="str">
        <f>IF(coder1_YH!K148 = "", N147, LEFT(coder1_YH!K148,1))</f>
        <v>0</v>
      </c>
      <c r="O148" s="345" t="str">
        <f>IF(coder1_YH!L148 = "", O147, LEFT(coder1_YH!L148,1))</f>
        <v>0</v>
      </c>
      <c r="P148" s="345" t="str">
        <f>IF(coder1_YH!M148 = "", P147, LEFT(coder1_YH!M148,1))</f>
        <v>0</v>
      </c>
      <c r="Q148" s="321">
        <f>coder1_YH!P148</f>
        <v>1</v>
      </c>
      <c r="R148" s="321" t="str">
        <f>coder1_YH!Q148</f>
        <v>SEM-R,   West, G7</v>
      </c>
      <c r="S148" s="323" t="str">
        <f t="shared" si="44"/>
        <v>N</v>
      </c>
      <c r="T148" s="323" t="str">
        <f t="shared" si="45"/>
        <v/>
      </c>
      <c r="U148" s="323" t="str">
        <f t="shared" si="46"/>
        <v/>
      </c>
      <c r="V148" s="323" t="str">
        <f t="shared" si="47"/>
        <v/>
      </c>
      <c r="W148" s="323">
        <f t="shared" si="48"/>
        <v>1</v>
      </c>
      <c r="X148" s="385" t="str">
        <f>IF(coder1_YH!N148 = "",X147,coder1_YH!N148)</f>
        <v>N</v>
      </c>
      <c r="Y148" s="385" t="str">
        <f>IF(coder1_YH!O148 = "",Y147,coder1_YH!O148)</f>
        <v xml:space="preserve">m </v>
      </c>
      <c r="Z148" s="385" t="str">
        <f t="shared" si="49"/>
        <v>M</v>
      </c>
      <c r="AA148" s="385" t="str">
        <f t="shared" si="50"/>
        <v>R</v>
      </c>
      <c r="AB148" s="385" t="str">
        <f t="shared" si="51"/>
        <v>MR</v>
      </c>
      <c r="AC148" s="323" t="str">
        <f t="shared" si="52"/>
        <v xml:space="preserve">Nm </v>
      </c>
      <c r="AD148" s="323" t="str">
        <f t="shared" si="53"/>
        <v>N_R</v>
      </c>
      <c r="AE148" s="323">
        <f>IF(Y148="cm", 1,0)</f>
        <v>0</v>
      </c>
      <c r="AF148" s="369" t="str">
        <f t="shared" si="54"/>
        <v xml:space="preserve">127.04-Nm </v>
      </c>
      <c r="AG148" s="369" t="str">
        <f t="shared" si="55"/>
        <v>127.04-N_R</v>
      </c>
      <c r="AH148" s="344">
        <f>IF(coder1_YH!R148="",AH147,coder1_YH!R148)</f>
        <v>7</v>
      </c>
      <c r="AI148" s="344">
        <f t="shared" si="39"/>
        <v>7</v>
      </c>
      <c r="AJ148" s="345">
        <f t="shared" si="56"/>
        <v>1</v>
      </c>
      <c r="AK148" s="408">
        <f>IF(coder1_YH!S148="",AK147,coder1_YH!S148)</f>
        <v>12.5</v>
      </c>
      <c r="AL148" s="345">
        <f>IF(coder1_YH!T148="",AL147,IF(coder1_YH!T148="mixed",0.25,coder1_YH!T148))</f>
        <v>0.25</v>
      </c>
      <c r="AM148" s="345" t="str">
        <f>IF(coder1_YH!U148 = "", AM147, IF(coder1_YH!U148="mixed","NA",coder1_YH!U148))</f>
        <v>NA</v>
      </c>
      <c r="AN148" s="345">
        <f>IF(coder1_YH!V148="",AN147,coder1_YH!V148)</f>
        <v>0.79</v>
      </c>
      <c r="AO148" s="345" t="str">
        <f>IF(coder1_YH!W148="",AO147,coder1_YH!W148)</f>
        <v>NA</v>
      </c>
      <c r="AP148" s="345" t="str">
        <f>IF(coder1_YH!X148="",AP147,coder1_YH!X148)</f>
        <v>NA</v>
      </c>
      <c r="AQ148" s="345">
        <f>IF(coder1_YH!Y148="",AQ147,coder1_YH!Y148)</f>
        <v>0.69200000000000006</v>
      </c>
      <c r="AR148" t="str">
        <f>coder1_YH!AB148</f>
        <v>0 = Researcher-developed/adapted curriculum</v>
      </c>
      <c r="AS148" s="345" t="str">
        <f>IF(coder1_YH!AC148 = "", AS147,IF(coder1_YH!AC148="BAU","BAU",LEFT(coder1_YH!AC148)))</f>
        <v>0</v>
      </c>
      <c r="AT148" s="345" t="str">
        <f>IF(coder1_YH!AD148 = "", AT147,IF(coder1_YH!AD148="BAU","BAU",LEFT(coder1_YH!AD148)))</f>
        <v>0</v>
      </c>
      <c r="AU148" s="345" t="str">
        <f>IF(coder1_YH!AE148 = "", AU147,IF(coder1_YH!AE148="BAU","BAU",LEFT(coder1_YH!AE148)))</f>
        <v>1</v>
      </c>
      <c r="AV148" s="345">
        <f>IF(coder1_YH!AF148="",AV147,coder1_YH!AF148)</f>
        <v>6800</v>
      </c>
      <c r="AW148" s="345">
        <f t="shared" si="57"/>
        <v>113.33333333333333</v>
      </c>
      <c r="AX148" s="345">
        <f>IF(coder1_YH!AG148="",AX147,coder1_YH!AG148)</f>
        <v>160</v>
      </c>
      <c r="AY148" s="345">
        <f>IF(coder1_YH!AH148="",AY147,coder1_YH!AH148)</f>
        <v>42.5</v>
      </c>
      <c r="AZ148" s="345" t="str">
        <f>IF(coder1_YH!AI148 = "", AZ147, IF(coder1_YH!AI148="BAU","BAU",LEFT(coder1_YH!AI148)))</f>
        <v>1</v>
      </c>
      <c r="BA148" s="384">
        <f>clean_data!Y148</f>
        <v>196</v>
      </c>
    </row>
    <row r="149" spans="1:53" x14ac:dyDescent="0.2">
      <c r="A149">
        <f>coder1_YH!B149</f>
        <v>0</v>
      </c>
      <c r="B149">
        <f>coder1_YH!C149</f>
        <v>149</v>
      </c>
      <c r="C149">
        <f>coder1_YH!D149</f>
        <v>0</v>
      </c>
      <c r="D149" t="str">
        <f>coder1_YH!E149</f>
        <v/>
      </c>
      <c r="E149" t="b">
        <f>coder1_YH!F149</f>
        <v>1</v>
      </c>
      <c r="F149" s="321" t="str">
        <f>IF(coder1_YH!G149="", clean_mod!F148, coder1_YH!G149)</f>
        <v>Little et al. 2014</v>
      </c>
      <c r="G149" s="321" t="str">
        <f t="shared" si="40"/>
        <v>127</v>
      </c>
      <c r="H149" s="321">
        <f>IF(coder1_YH!H149="", clean_mod!H148, coder1_YH!H149)</f>
        <v>127.04000000000002</v>
      </c>
      <c r="I149" s="404" t="str">
        <f t="shared" si="41"/>
        <v>2014</v>
      </c>
      <c r="J149" s="344" t="str">
        <f>IF(coder1_YH!I149="",J148,coder1_YH!I149)</f>
        <v>USA</v>
      </c>
      <c r="K149" s="345">
        <f t="shared" si="42"/>
        <v>0</v>
      </c>
      <c r="L149" s="344" t="str">
        <f>IF(coder1_YH!J149 = "",L148, coder1_YH!J149)</f>
        <v>English</v>
      </c>
      <c r="M149" s="345">
        <f t="shared" si="43"/>
        <v>0</v>
      </c>
      <c r="N149" s="345" t="str">
        <f>IF(coder1_YH!K149 = "", N148, LEFT(coder1_YH!K149,1))</f>
        <v>0</v>
      </c>
      <c r="O149" s="345" t="str">
        <f>IF(coder1_YH!L149 = "", O148, LEFT(coder1_YH!L149,1))</f>
        <v>0</v>
      </c>
      <c r="P149" s="345" t="str">
        <f>IF(coder1_YH!M149 = "", P148, LEFT(coder1_YH!M149,1))</f>
        <v>0</v>
      </c>
      <c r="Q149" s="321" t="str">
        <f>coder1_YH!P149</f>
        <v>ctl</v>
      </c>
      <c r="R149" s="321" t="str">
        <f>coder1_YH!Q149</f>
        <v>Control, West G7</v>
      </c>
      <c r="S149" s="323" t="str">
        <f t="shared" si="44"/>
        <v/>
      </c>
      <c r="T149" s="323" t="str">
        <f t="shared" si="45"/>
        <v/>
      </c>
      <c r="U149" s="323" t="str">
        <f t="shared" si="46"/>
        <v/>
      </c>
      <c r="V149" s="323" t="str">
        <f t="shared" si="47"/>
        <v/>
      </c>
      <c r="W149" s="323">
        <f t="shared" si="48"/>
        <v>0</v>
      </c>
      <c r="X149" s="385" t="str">
        <f>IF(coder1_YH!N149 = "",X148,coder1_YH!N149)</f>
        <v>.</v>
      </c>
      <c r="Y149" s="385" t="str">
        <f>IF(coder1_YH!O149 = "",Y148,coder1_YH!O149)</f>
        <v xml:space="preserve">m </v>
      </c>
      <c r="Z149" s="385" t="str">
        <f t="shared" si="49"/>
        <v/>
      </c>
      <c r="AA149" s="385" t="str">
        <f t="shared" si="50"/>
        <v>R</v>
      </c>
      <c r="AB149" s="385" t="str">
        <f t="shared" si="51"/>
        <v>R</v>
      </c>
      <c r="AC149" s="323" t="str">
        <f t="shared" si="52"/>
        <v xml:space="preserve">.m </v>
      </c>
      <c r="AD149" s="323" t="str">
        <f t="shared" si="53"/>
        <v>R</v>
      </c>
      <c r="AF149" s="369" t="str">
        <f t="shared" si="54"/>
        <v xml:space="preserve">127.04-.m </v>
      </c>
      <c r="AG149" s="369" t="str">
        <f t="shared" si="55"/>
        <v>127.04-R</v>
      </c>
      <c r="AH149" s="344">
        <f>IF(coder1_YH!R149="",AH148,coder1_YH!R149)</f>
        <v>7</v>
      </c>
      <c r="AI149" s="344">
        <f t="shared" si="39"/>
        <v>7</v>
      </c>
      <c r="AJ149" s="345">
        <f t="shared" si="56"/>
        <v>1</v>
      </c>
      <c r="AK149" s="408">
        <f>IF(coder1_YH!S149="",AK148,coder1_YH!S149)</f>
        <v>12.5</v>
      </c>
      <c r="AL149" s="345">
        <f>IF(coder1_YH!T149="",AL148,IF(coder1_YH!T149="mixed",0.25,coder1_YH!T149))</f>
        <v>0.25</v>
      </c>
      <c r="AM149" s="345" t="str">
        <f>IF(coder1_YH!U149 = "", AM148, IF(coder1_YH!U149="mixed","NA",coder1_YH!U149))</f>
        <v>NA</v>
      </c>
      <c r="AN149" s="345">
        <f>IF(coder1_YH!V149="",AN148,coder1_YH!V149)</f>
        <v>0.79</v>
      </c>
      <c r="AO149" s="345" t="str">
        <f>IF(coder1_YH!W149="",AO148,coder1_YH!W149)</f>
        <v>NA</v>
      </c>
      <c r="AP149" s="345" t="str">
        <f>IF(coder1_YH!X149="",AP148,coder1_YH!X149)</f>
        <v>NA</v>
      </c>
      <c r="AQ149" s="345">
        <f>IF(coder1_YH!Y149="",AQ148,coder1_YH!Y149)</f>
        <v>0.69200000000000006</v>
      </c>
      <c r="AR149" t="str">
        <f>coder1_YH!AB149</f>
        <v>2 = District/State curriculum</v>
      </c>
      <c r="AS149" s="345" t="str">
        <f>IF(coder1_YH!AC149 = "", AS148,IF(coder1_YH!AC149="BAU","BAU",LEFT(coder1_YH!AC149)))</f>
        <v>BAU</v>
      </c>
      <c r="AT149" s="345" t="str">
        <f>IF(coder1_YH!AD149 = "", AT148,IF(coder1_YH!AD149="BAU","BAU",LEFT(coder1_YH!AD149)))</f>
        <v>BAU</v>
      </c>
      <c r="AU149" s="345" t="str">
        <f>IF(coder1_YH!AE149 = "", AU148,IF(coder1_YH!AE149="BAU","BAU",LEFT(coder1_YH!AE149)))</f>
        <v>BAU</v>
      </c>
      <c r="AV149" s="345" t="str">
        <f>IF(coder1_YH!AF149="",AV148,coder1_YH!AF149)</f>
        <v>BAU</v>
      </c>
      <c r="AW149" s="345" t="str">
        <f t="shared" si="57"/>
        <v>BAU</v>
      </c>
      <c r="AX149" s="345" t="str">
        <f>IF(coder1_YH!AG149="",AX148,coder1_YH!AG149)</f>
        <v>BAU</v>
      </c>
      <c r="AY149" s="345" t="str">
        <f>IF(coder1_YH!AH149="",AY148,coder1_YH!AH149)</f>
        <v>BAU</v>
      </c>
      <c r="AZ149" s="345" t="str">
        <f>IF(coder1_YH!AI149 = "", AZ148, IF(coder1_YH!AI149="BAU","BAU",LEFT(coder1_YH!AI149)))</f>
        <v>BAU</v>
      </c>
      <c r="BA149" s="384">
        <f>clean_data!Y149</f>
        <v>78</v>
      </c>
    </row>
    <row r="150" spans="1:53" x14ac:dyDescent="0.2">
      <c r="A150">
        <f>coder1_YH!B150</f>
        <v>0</v>
      </c>
      <c r="B150">
        <f>coder1_YH!C150</f>
        <v>150</v>
      </c>
      <c r="C150">
        <f>coder1_YH!D150</f>
        <v>0</v>
      </c>
      <c r="D150" t="b">
        <f>coder1_YH!E150</f>
        <v>1</v>
      </c>
      <c r="E150" t="b">
        <f>coder1_YH!F150</f>
        <v>1</v>
      </c>
      <c r="F150" s="321" t="str">
        <f>IF(coder1_YH!G150="", clean_mod!F149, coder1_YH!G150)</f>
        <v>Little et al. 2014</v>
      </c>
      <c r="G150" s="321" t="str">
        <f t="shared" si="40"/>
        <v>127</v>
      </c>
      <c r="H150" s="321">
        <f>IF(coder1_YH!H150="", clean_mod!H149, coder1_YH!H150)</f>
        <v>127.05000000000003</v>
      </c>
      <c r="I150" s="404" t="str">
        <f t="shared" si="41"/>
        <v>2014</v>
      </c>
      <c r="J150" s="344" t="str">
        <f>IF(coder1_YH!I150="",J149,coder1_YH!I150)</f>
        <v>USA</v>
      </c>
      <c r="K150" s="345">
        <f t="shared" si="42"/>
        <v>0</v>
      </c>
      <c r="L150" s="344" t="str">
        <f>IF(coder1_YH!J150 = "",L149, coder1_YH!J150)</f>
        <v>English</v>
      </c>
      <c r="M150" s="345">
        <f t="shared" si="43"/>
        <v>0</v>
      </c>
      <c r="N150" s="345" t="str">
        <f>IF(coder1_YH!K150 = "", N149, LEFT(coder1_YH!K150,1))</f>
        <v>0</v>
      </c>
      <c r="O150" s="345" t="str">
        <f>IF(coder1_YH!L150 = "", O149, LEFT(coder1_YH!L150,1))</f>
        <v>0</v>
      </c>
      <c r="P150" s="345" t="str">
        <f>IF(coder1_YH!M150 = "", P149, LEFT(coder1_YH!M150,1))</f>
        <v>0</v>
      </c>
      <c r="Q150" s="321">
        <f>coder1_YH!P150</f>
        <v>1</v>
      </c>
      <c r="R150" s="321" t="str">
        <f>coder1_YH!Q150</f>
        <v>SEM-R,   West, G8</v>
      </c>
      <c r="S150" s="323" t="str">
        <f t="shared" si="44"/>
        <v>N</v>
      </c>
      <c r="T150" s="323" t="str">
        <f t="shared" si="45"/>
        <v/>
      </c>
      <c r="U150" s="323" t="str">
        <f t="shared" si="46"/>
        <v/>
      </c>
      <c r="V150" s="323" t="str">
        <f t="shared" si="47"/>
        <v/>
      </c>
      <c r="W150" s="323">
        <f t="shared" si="48"/>
        <v>1</v>
      </c>
      <c r="X150" s="385" t="str">
        <f>IF(coder1_YH!N150 = "",X149,coder1_YH!N150)</f>
        <v>N</v>
      </c>
      <c r="Y150" s="385" t="str">
        <f>IF(coder1_YH!O150 = "",Y149,coder1_YH!O150)</f>
        <v xml:space="preserve">m </v>
      </c>
      <c r="Z150" s="385" t="str">
        <f t="shared" si="49"/>
        <v>M</v>
      </c>
      <c r="AA150" s="385" t="str">
        <f t="shared" si="50"/>
        <v>R</v>
      </c>
      <c r="AB150" s="385" t="str">
        <f t="shared" si="51"/>
        <v>MR</v>
      </c>
      <c r="AC150" s="323" t="str">
        <f t="shared" si="52"/>
        <v xml:space="preserve">Nm </v>
      </c>
      <c r="AD150" s="323" t="str">
        <f t="shared" si="53"/>
        <v>N_R</v>
      </c>
      <c r="AE150" s="323">
        <f>IF(Y150="cm", 1,0)</f>
        <v>0</v>
      </c>
      <c r="AF150" s="369" t="str">
        <f t="shared" si="54"/>
        <v xml:space="preserve">127.05-Nm </v>
      </c>
      <c r="AG150" s="369" t="str">
        <f t="shared" si="55"/>
        <v>127.05-N_R</v>
      </c>
      <c r="AH150" s="344">
        <f>IF(coder1_YH!R150="",AH149,coder1_YH!R150)</f>
        <v>8</v>
      </c>
      <c r="AI150" s="344">
        <f t="shared" si="39"/>
        <v>8</v>
      </c>
      <c r="AJ150" s="345">
        <f t="shared" si="56"/>
        <v>1</v>
      </c>
      <c r="AK150" s="408">
        <f>IF(coder1_YH!S150="",AK149,coder1_YH!S150)</f>
        <v>13.5</v>
      </c>
      <c r="AL150" s="345">
        <f>IF(coder1_YH!T150="",AL149,IF(coder1_YH!T150="mixed",0.25,coder1_YH!T150))</f>
        <v>0.25</v>
      </c>
      <c r="AM150" s="345" t="str">
        <f>IF(coder1_YH!U150 = "", AM149, IF(coder1_YH!U150="mixed","NA",coder1_YH!U150))</f>
        <v>NA</v>
      </c>
      <c r="AN150" s="345">
        <f>IF(coder1_YH!V150="",AN149,coder1_YH!V150)</f>
        <v>0.79</v>
      </c>
      <c r="AO150" s="345" t="str">
        <f>IF(coder1_YH!W150="",AO149,coder1_YH!W150)</f>
        <v>NA</v>
      </c>
      <c r="AP150" s="345" t="str">
        <f>IF(coder1_YH!X150="",AP149,coder1_YH!X150)</f>
        <v>NA</v>
      </c>
      <c r="AQ150" s="345">
        <f>IF(coder1_YH!Y150="",AQ149,coder1_YH!Y150)</f>
        <v>0.69200000000000006</v>
      </c>
      <c r="AR150" t="str">
        <f>coder1_YH!AB150</f>
        <v>0 = Researcher-developed/adapted curriculum</v>
      </c>
      <c r="AS150" s="345" t="str">
        <f>IF(coder1_YH!AC150 = "", AS149,IF(coder1_YH!AC150="BAU","BAU",LEFT(coder1_YH!AC150)))</f>
        <v>0</v>
      </c>
      <c r="AT150" s="345" t="str">
        <f>IF(coder1_YH!AD150 = "", AT149,IF(coder1_YH!AD150="BAU","BAU",LEFT(coder1_YH!AD150)))</f>
        <v>0</v>
      </c>
      <c r="AU150" s="345" t="str">
        <f>IF(coder1_YH!AE150 = "", AU149,IF(coder1_YH!AE150="BAU","BAU",LEFT(coder1_YH!AE150)))</f>
        <v>1</v>
      </c>
      <c r="AV150" s="345">
        <f>IF(coder1_YH!AF150="",AV149,coder1_YH!AF150)</f>
        <v>6800</v>
      </c>
      <c r="AW150" s="345">
        <f t="shared" si="57"/>
        <v>113.33333333333333</v>
      </c>
      <c r="AX150" s="345">
        <f>IF(coder1_YH!AG150="",AX149,coder1_YH!AG150)</f>
        <v>160</v>
      </c>
      <c r="AY150" s="345">
        <f>IF(coder1_YH!AH150="",AY149,coder1_YH!AH150)</f>
        <v>42.5</v>
      </c>
      <c r="AZ150" s="345" t="str">
        <f>IF(coder1_YH!AI150 = "", AZ149, IF(coder1_YH!AI150="BAU","BAU",LEFT(coder1_YH!AI150)))</f>
        <v>1</v>
      </c>
      <c r="BA150" s="384">
        <f>clean_data!Y150</f>
        <v>200</v>
      </c>
    </row>
    <row r="151" spans="1:53" x14ac:dyDescent="0.2">
      <c r="A151">
        <f>coder1_YH!B151</f>
        <v>0</v>
      </c>
      <c r="B151">
        <f>coder1_YH!C151</f>
        <v>151</v>
      </c>
      <c r="C151">
        <f>coder1_YH!D151</f>
        <v>0</v>
      </c>
      <c r="D151" t="str">
        <f>coder1_YH!E151</f>
        <v/>
      </c>
      <c r="E151" t="b">
        <f>coder1_YH!F151</f>
        <v>1</v>
      </c>
      <c r="F151" s="321" t="str">
        <f>IF(coder1_YH!G151="", clean_mod!F150, coder1_YH!G151)</f>
        <v>Little et al. 2014</v>
      </c>
      <c r="G151" s="321" t="str">
        <f t="shared" si="40"/>
        <v>127</v>
      </c>
      <c r="H151" s="321">
        <f>IF(coder1_YH!H151="", clean_mod!H150, coder1_YH!H151)</f>
        <v>127.05000000000003</v>
      </c>
      <c r="I151" s="404" t="str">
        <f t="shared" si="41"/>
        <v>2014</v>
      </c>
      <c r="J151" s="344" t="str">
        <f>IF(coder1_YH!I151="",J150,coder1_YH!I151)</f>
        <v>USA</v>
      </c>
      <c r="K151" s="345">
        <f t="shared" si="42"/>
        <v>0</v>
      </c>
      <c r="L151" s="344" t="str">
        <f>IF(coder1_YH!J151 = "",L150, coder1_YH!J151)</f>
        <v>English</v>
      </c>
      <c r="M151" s="345">
        <f t="shared" si="43"/>
        <v>0</v>
      </c>
      <c r="N151" s="345" t="str">
        <f>IF(coder1_YH!K151 = "", N150, LEFT(coder1_YH!K151,1))</f>
        <v>0</v>
      </c>
      <c r="O151" s="345" t="str">
        <f>IF(coder1_YH!L151 = "", O150, LEFT(coder1_YH!L151,1))</f>
        <v>0</v>
      </c>
      <c r="P151" s="345" t="str">
        <f>IF(coder1_YH!M151 = "", P150, LEFT(coder1_YH!M151,1))</f>
        <v>0</v>
      </c>
      <c r="Q151" s="321" t="str">
        <f>coder1_YH!P151</f>
        <v>ctl</v>
      </c>
      <c r="R151" s="321" t="str">
        <f>coder1_YH!Q151</f>
        <v>Control, West, G8</v>
      </c>
      <c r="S151" s="323" t="str">
        <f t="shared" si="44"/>
        <v/>
      </c>
      <c r="T151" s="323" t="str">
        <f t="shared" si="45"/>
        <v/>
      </c>
      <c r="U151" s="323" t="str">
        <f t="shared" si="46"/>
        <v/>
      </c>
      <c r="V151" s="323" t="str">
        <f t="shared" si="47"/>
        <v/>
      </c>
      <c r="W151" s="323">
        <f t="shared" si="48"/>
        <v>0</v>
      </c>
      <c r="X151" s="385" t="str">
        <f>IF(coder1_YH!N151 = "",X150,coder1_YH!N151)</f>
        <v>.</v>
      </c>
      <c r="Y151" s="385" t="str">
        <f>IF(coder1_YH!O151 = "",Y150,coder1_YH!O151)</f>
        <v xml:space="preserve">m </v>
      </c>
      <c r="Z151" s="385" t="str">
        <f t="shared" si="49"/>
        <v/>
      </c>
      <c r="AA151" s="385" t="str">
        <f t="shared" si="50"/>
        <v>R</v>
      </c>
      <c r="AB151" s="385" t="str">
        <f t="shared" si="51"/>
        <v>R</v>
      </c>
      <c r="AC151" s="323" t="str">
        <f t="shared" si="52"/>
        <v xml:space="preserve">.m </v>
      </c>
      <c r="AD151" s="323" t="str">
        <f t="shared" si="53"/>
        <v>R</v>
      </c>
      <c r="AF151" s="369" t="str">
        <f t="shared" si="54"/>
        <v xml:space="preserve">127.05-.m </v>
      </c>
      <c r="AG151" s="369" t="str">
        <f t="shared" si="55"/>
        <v>127.05-R</v>
      </c>
      <c r="AH151" s="344">
        <f>IF(coder1_YH!R151="",AH150,coder1_YH!R151)</f>
        <v>8</v>
      </c>
      <c r="AI151" s="344">
        <f t="shared" si="39"/>
        <v>8</v>
      </c>
      <c r="AJ151" s="345">
        <f t="shared" si="56"/>
        <v>1</v>
      </c>
      <c r="AK151" s="408">
        <f>IF(coder1_YH!S151="",AK150,coder1_YH!S151)</f>
        <v>13.5</v>
      </c>
      <c r="AL151" s="345">
        <f>IF(coder1_YH!T151="",AL150,IF(coder1_YH!T151="mixed",0.25,coder1_YH!T151))</f>
        <v>0.25</v>
      </c>
      <c r="AM151" s="345" t="str">
        <f>IF(coder1_YH!U151 = "", AM150, IF(coder1_YH!U151="mixed","NA",coder1_YH!U151))</f>
        <v>NA</v>
      </c>
      <c r="AN151" s="345">
        <f>IF(coder1_YH!V151="",AN150,coder1_YH!V151)</f>
        <v>0.79</v>
      </c>
      <c r="AO151" s="345" t="str">
        <f>IF(coder1_YH!W151="",AO150,coder1_YH!W151)</f>
        <v>NA</v>
      </c>
      <c r="AP151" s="345" t="str">
        <f>IF(coder1_YH!X151="",AP150,coder1_YH!X151)</f>
        <v>NA</v>
      </c>
      <c r="AQ151" s="345">
        <f>IF(coder1_YH!Y151="",AQ150,coder1_YH!Y151)</f>
        <v>0.69200000000000006</v>
      </c>
      <c r="AR151" t="str">
        <f>coder1_YH!AB151</f>
        <v>2 = District/State curriculum</v>
      </c>
      <c r="AS151" s="345" t="str">
        <f>IF(coder1_YH!AC151 = "", AS150,IF(coder1_YH!AC151="BAU","BAU",LEFT(coder1_YH!AC151)))</f>
        <v>BAU</v>
      </c>
      <c r="AT151" s="345" t="str">
        <f>IF(coder1_YH!AD151 = "", AT150,IF(coder1_YH!AD151="BAU","BAU",LEFT(coder1_YH!AD151)))</f>
        <v>BAU</v>
      </c>
      <c r="AU151" s="345" t="str">
        <f>IF(coder1_YH!AE151 = "", AU150,IF(coder1_YH!AE151="BAU","BAU",LEFT(coder1_YH!AE151)))</f>
        <v>BAU</v>
      </c>
      <c r="AV151" s="345" t="str">
        <f>IF(coder1_YH!AF151="",AV150,coder1_YH!AF151)</f>
        <v>BAU</v>
      </c>
      <c r="AW151" s="345" t="str">
        <f t="shared" si="57"/>
        <v>BAU</v>
      </c>
      <c r="AX151" s="345" t="str">
        <f>IF(coder1_YH!AG151="",AX150,coder1_YH!AG151)</f>
        <v>BAU</v>
      </c>
      <c r="AY151" s="345" t="str">
        <f>IF(coder1_YH!AH151="",AY150,coder1_YH!AH151)</f>
        <v>BAU</v>
      </c>
      <c r="AZ151" s="345" t="str">
        <f>IF(coder1_YH!AI151 = "", AZ150, IF(coder1_YH!AI151="BAU","BAU",LEFT(coder1_YH!AI151)))</f>
        <v>BAU</v>
      </c>
      <c r="BA151" s="384">
        <f>clean_data!Y151</f>
        <v>106</v>
      </c>
    </row>
    <row r="152" spans="1:53" x14ac:dyDescent="0.2">
      <c r="A152">
        <f>coder1_YH!B152</f>
        <v>0</v>
      </c>
      <c r="B152">
        <f>coder1_YH!C152</f>
        <v>152</v>
      </c>
      <c r="C152">
        <f>coder1_YH!D152</f>
        <v>0</v>
      </c>
      <c r="D152" t="b">
        <f>coder1_YH!E152</f>
        <v>1</v>
      </c>
      <c r="E152" t="b">
        <f>coder1_YH!F152</f>
        <v>1</v>
      </c>
      <c r="F152" s="321" t="str">
        <f>IF(coder1_YH!G152="", clean_mod!F151, coder1_YH!G152)</f>
        <v>Little et al. 2014</v>
      </c>
      <c r="G152" s="321" t="str">
        <f t="shared" si="40"/>
        <v>127</v>
      </c>
      <c r="H152" s="321">
        <f>IF(coder1_YH!H152="", clean_mod!H151, coder1_YH!H152)</f>
        <v>127.06000000000003</v>
      </c>
      <c r="I152" s="404" t="str">
        <f t="shared" si="41"/>
        <v>2014</v>
      </c>
      <c r="J152" s="344" t="str">
        <f>IF(coder1_YH!I152="",J151,coder1_YH!I152)</f>
        <v>USA</v>
      </c>
      <c r="K152" s="345">
        <f t="shared" si="42"/>
        <v>0</v>
      </c>
      <c r="L152" s="344" t="str">
        <f>IF(coder1_YH!J152 = "",L151, coder1_YH!J152)</f>
        <v>English</v>
      </c>
      <c r="M152" s="345">
        <f t="shared" si="43"/>
        <v>0</v>
      </c>
      <c r="N152" s="345" t="str">
        <f>IF(coder1_YH!K152 = "", N151, LEFT(coder1_YH!K152,1))</f>
        <v>0</v>
      </c>
      <c r="O152" s="345" t="str">
        <f>IF(coder1_YH!L152 = "", O151, LEFT(coder1_YH!L152,1))</f>
        <v>0</v>
      </c>
      <c r="P152" s="345" t="str">
        <f>IF(coder1_YH!M152 = "", P151, LEFT(coder1_YH!M152,1))</f>
        <v>0</v>
      </c>
      <c r="Q152" s="321">
        <f>coder1_YH!P152</f>
        <v>1</v>
      </c>
      <c r="R152" s="321" t="str">
        <f>coder1_YH!Q152</f>
        <v>SEM-R,   South, G6</v>
      </c>
      <c r="S152" s="323" t="str">
        <f t="shared" si="44"/>
        <v>N</v>
      </c>
      <c r="T152" s="323" t="str">
        <f t="shared" si="45"/>
        <v/>
      </c>
      <c r="U152" s="323" t="str">
        <f t="shared" si="46"/>
        <v/>
      </c>
      <c r="V152" s="323" t="str">
        <f t="shared" si="47"/>
        <v/>
      </c>
      <c r="W152" s="323">
        <f t="shared" si="48"/>
        <v>1</v>
      </c>
      <c r="X152" s="385" t="str">
        <f>IF(coder1_YH!N152 = "",X151,coder1_YH!N152)</f>
        <v>N</v>
      </c>
      <c r="Y152" s="385" t="str">
        <f>IF(coder1_YH!O152 = "",Y151,coder1_YH!O152)</f>
        <v xml:space="preserve">m </v>
      </c>
      <c r="Z152" s="385" t="str">
        <f t="shared" si="49"/>
        <v>M</v>
      </c>
      <c r="AA152" s="385" t="str">
        <f t="shared" si="50"/>
        <v>R</v>
      </c>
      <c r="AB152" s="385" t="str">
        <f t="shared" si="51"/>
        <v>MR</v>
      </c>
      <c r="AC152" s="323" t="str">
        <f t="shared" si="52"/>
        <v xml:space="preserve">Nm </v>
      </c>
      <c r="AD152" s="323" t="str">
        <f t="shared" si="53"/>
        <v>N_R</v>
      </c>
      <c r="AE152" s="323">
        <f>IF(Y152="cm", 1,0)</f>
        <v>0</v>
      </c>
      <c r="AF152" s="369" t="str">
        <f t="shared" si="54"/>
        <v xml:space="preserve">127.06-Nm </v>
      </c>
      <c r="AG152" s="369" t="str">
        <f t="shared" si="55"/>
        <v>127.06-N_R</v>
      </c>
      <c r="AH152" s="344">
        <f>IF(coder1_YH!R152="",AH151,coder1_YH!R152)</f>
        <v>6</v>
      </c>
      <c r="AI152" s="344">
        <f t="shared" si="39"/>
        <v>6</v>
      </c>
      <c r="AJ152" s="345">
        <f t="shared" si="56"/>
        <v>1</v>
      </c>
      <c r="AK152" s="408">
        <f>IF(coder1_YH!S152="",AK151,coder1_YH!S152)</f>
        <v>11.5</v>
      </c>
      <c r="AL152" s="345">
        <f>IF(coder1_YH!T152="",AL151,IF(coder1_YH!T152="mixed",0.25,coder1_YH!T152))</f>
        <v>0.25</v>
      </c>
      <c r="AM152" s="345" t="str">
        <f>IF(coder1_YH!U152 = "", AM151, IF(coder1_YH!U152="mixed","NA",coder1_YH!U152))</f>
        <v>NA</v>
      </c>
      <c r="AN152" s="345">
        <f>IF(coder1_YH!V152="",AN151,coder1_YH!V152)</f>
        <v>0.76900000000000002</v>
      </c>
      <c r="AO152" s="345" t="str">
        <f>IF(coder1_YH!W152="",AO151,coder1_YH!W152)</f>
        <v>NA</v>
      </c>
      <c r="AP152" s="345" t="str">
        <f>IF(coder1_YH!X152="",AP151,coder1_YH!X152)</f>
        <v>NA</v>
      </c>
      <c r="AQ152" s="345">
        <f>IF(coder1_YH!Y152="",AQ151,coder1_YH!Y152)</f>
        <v>0.66700000000000004</v>
      </c>
      <c r="AR152" t="str">
        <f>coder1_YH!AB152</f>
        <v>0 = Researcher-developed/adapted curriculum</v>
      </c>
      <c r="AS152" s="345" t="str">
        <f>IF(coder1_YH!AC152 = "", AS151,IF(coder1_YH!AC152="BAU","BAU",LEFT(coder1_YH!AC152)))</f>
        <v>0</v>
      </c>
      <c r="AT152" s="345" t="str">
        <f>IF(coder1_YH!AD152 = "", AT151,IF(coder1_YH!AD152="BAU","BAU",LEFT(coder1_YH!AD152)))</f>
        <v>0</v>
      </c>
      <c r="AU152" s="345" t="str">
        <f>IF(coder1_YH!AE152 = "", AU151,IF(coder1_YH!AE152="BAU","BAU",LEFT(coder1_YH!AE152)))</f>
        <v>1</v>
      </c>
      <c r="AV152" s="345">
        <f>IF(coder1_YH!AF152="",AV151,coder1_YH!AF152)</f>
        <v>6800</v>
      </c>
      <c r="AW152" s="345">
        <f t="shared" si="57"/>
        <v>113.33333333333333</v>
      </c>
      <c r="AX152" s="345">
        <f>IF(coder1_YH!AG152="",AX151,coder1_YH!AG152)</f>
        <v>160</v>
      </c>
      <c r="AY152" s="345">
        <f>IF(coder1_YH!AH152="",AY151,coder1_YH!AH152)</f>
        <v>42.5</v>
      </c>
      <c r="AZ152" s="345" t="str">
        <f>IF(coder1_YH!AI152 = "", AZ151, IF(coder1_YH!AI152="BAU","BAU",LEFT(coder1_YH!AI152)))</f>
        <v>1</v>
      </c>
      <c r="BA152" s="384">
        <f>clean_data!Y152</f>
        <v>49</v>
      </c>
    </row>
    <row r="153" spans="1:53" x14ac:dyDescent="0.2">
      <c r="A153">
        <f>coder1_YH!B153</f>
        <v>0</v>
      </c>
      <c r="B153">
        <f>coder1_YH!C153</f>
        <v>153</v>
      </c>
      <c r="C153">
        <f>coder1_YH!D153</f>
        <v>0</v>
      </c>
      <c r="D153" t="str">
        <f>coder1_YH!E153</f>
        <v/>
      </c>
      <c r="E153" t="b">
        <f>coder1_YH!F153</f>
        <v>1</v>
      </c>
      <c r="F153" s="321" t="str">
        <f>IF(coder1_YH!G153="", clean_mod!F152, coder1_YH!G153)</f>
        <v>Little et al. 2014</v>
      </c>
      <c r="G153" s="321" t="str">
        <f t="shared" si="40"/>
        <v>127</v>
      </c>
      <c r="H153" s="321">
        <f>IF(coder1_YH!H153="", clean_mod!H152, coder1_YH!H153)</f>
        <v>127.06000000000003</v>
      </c>
      <c r="I153" s="404" t="str">
        <f t="shared" si="41"/>
        <v>2014</v>
      </c>
      <c r="J153" s="344" t="str">
        <f>IF(coder1_YH!I153="",J152,coder1_YH!I153)</f>
        <v>USA</v>
      </c>
      <c r="K153" s="345">
        <f t="shared" si="42"/>
        <v>0</v>
      </c>
      <c r="L153" s="344" t="str">
        <f>IF(coder1_YH!J153 = "",L152, coder1_YH!J153)</f>
        <v>English</v>
      </c>
      <c r="M153" s="345">
        <f t="shared" si="43"/>
        <v>0</v>
      </c>
      <c r="N153" s="345" t="str">
        <f>IF(coder1_YH!K153 = "", N152, LEFT(coder1_YH!K153,1))</f>
        <v>0</v>
      </c>
      <c r="O153" s="345" t="str">
        <f>IF(coder1_YH!L153 = "", O152, LEFT(coder1_YH!L153,1))</f>
        <v>0</v>
      </c>
      <c r="P153" s="345" t="str">
        <f>IF(coder1_YH!M153 = "", P152, LEFT(coder1_YH!M153,1))</f>
        <v>0</v>
      </c>
      <c r="Q153" s="321" t="str">
        <f>coder1_YH!P153</f>
        <v>ctl</v>
      </c>
      <c r="R153" s="321" t="str">
        <f>coder1_YH!Q153</f>
        <v>Control, South, G6</v>
      </c>
      <c r="S153" s="323" t="str">
        <f t="shared" si="44"/>
        <v/>
      </c>
      <c r="T153" s="323" t="str">
        <f t="shared" si="45"/>
        <v/>
      </c>
      <c r="U153" s="323" t="str">
        <f t="shared" si="46"/>
        <v/>
      </c>
      <c r="V153" s="323" t="str">
        <f t="shared" si="47"/>
        <v/>
      </c>
      <c r="W153" s="323">
        <f t="shared" si="48"/>
        <v>0</v>
      </c>
      <c r="X153" s="385" t="str">
        <f>IF(coder1_YH!N153 = "",X152,coder1_YH!N153)</f>
        <v>.</v>
      </c>
      <c r="Y153" s="385" t="str">
        <f>IF(coder1_YH!O153 = "",Y152,coder1_YH!O153)</f>
        <v xml:space="preserve">m </v>
      </c>
      <c r="Z153" s="385" t="str">
        <f t="shared" si="49"/>
        <v/>
      </c>
      <c r="AA153" s="385" t="str">
        <f t="shared" si="50"/>
        <v>R</v>
      </c>
      <c r="AB153" s="385" t="str">
        <f t="shared" si="51"/>
        <v>R</v>
      </c>
      <c r="AC153" s="323" t="str">
        <f t="shared" si="52"/>
        <v xml:space="preserve">.m </v>
      </c>
      <c r="AD153" s="323" t="str">
        <f t="shared" si="53"/>
        <v>R</v>
      </c>
      <c r="AF153" s="369" t="str">
        <f t="shared" si="54"/>
        <v xml:space="preserve">127.06-.m </v>
      </c>
      <c r="AG153" s="369" t="str">
        <f t="shared" si="55"/>
        <v>127.06-R</v>
      </c>
      <c r="AH153" s="344">
        <f>IF(coder1_YH!R153="",AH152,coder1_YH!R153)</f>
        <v>6</v>
      </c>
      <c r="AI153" s="344">
        <f t="shared" si="39"/>
        <v>6</v>
      </c>
      <c r="AJ153" s="345">
        <f t="shared" si="56"/>
        <v>1</v>
      </c>
      <c r="AK153" s="408">
        <f>IF(coder1_YH!S153="",AK152,coder1_YH!S153)</f>
        <v>11.5</v>
      </c>
      <c r="AL153" s="345">
        <f>IF(coder1_YH!T153="",AL152,IF(coder1_YH!T153="mixed",0.25,coder1_YH!T153))</f>
        <v>0.25</v>
      </c>
      <c r="AM153" s="345" t="str">
        <f>IF(coder1_YH!U153 = "", AM152, IF(coder1_YH!U153="mixed","NA",coder1_YH!U153))</f>
        <v>NA</v>
      </c>
      <c r="AN153" s="345">
        <f>IF(coder1_YH!V153="",AN152,coder1_YH!V153)</f>
        <v>0.76900000000000002</v>
      </c>
      <c r="AO153" s="345" t="str">
        <f>IF(coder1_YH!W153="",AO152,coder1_YH!W153)</f>
        <v>NA</v>
      </c>
      <c r="AP153" s="345" t="str">
        <f>IF(coder1_YH!X153="",AP152,coder1_YH!X153)</f>
        <v>NA</v>
      </c>
      <c r="AQ153" s="345">
        <f>IF(coder1_YH!Y153="",AQ152,coder1_YH!Y153)</f>
        <v>0.66700000000000004</v>
      </c>
      <c r="AR153" t="str">
        <f>coder1_YH!AB153</f>
        <v>2 = District/State curriculum</v>
      </c>
      <c r="AS153" s="345" t="str">
        <f>IF(coder1_YH!AC153 = "", AS152,IF(coder1_YH!AC153="BAU","BAU",LEFT(coder1_YH!AC153)))</f>
        <v>BAU</v>
      </c>
      <c r="AT153" s="345" t="str">
        <f>IF(coder1_YH!AD153 = "", AT152,IF(coder1_YH!AD153="BAU","BAU",LEFT(coder1_YH!AD153)))</f>
        <v>BAU</v>
      </c>
      <c r="AU153" s="345" t="str">
        <f>IF(coder1_YH!AE153 = "", AU152,IF(coder1_YH!AE153="BAU","BAU",LEFT(coder1_YH!AE153)))</f>
        <v>BAU</v>
      </c>
      <c r="AV153" s="345" t="str">
        <f>IF(coder1_YH!AF153="",AV152,coder1_YH!AF153)</f>
        <v>BAU</v>
      </c>
      <c r="AW153" s="345" t="str">
        <f t="shared" si="57"/>
        <v>BAU</v>
      </c>
      <c r="AX153" s="345" t="str">
        <f>IF(coder1_YH!AG153="",AX152,coder1_YH!AG153)</f>
        <v>BAU</v>
      </c>
      <c r="AY153" s="345" t="str">
        <f>IF(coder1_YH!AH153="",AY152,coder1_YH!AH153)</f>
        <v>BAU</v>
      </c>
      <c r="AZ153" s="345" t="str">
        <f>IF(coder1_YH!AI153 = "", AZ152, IF(coder1_YH!AI153="BAU","BAU",LEFT(coder1_YH!AI153)))</f>
        <v>BAU</v>
      </c>
      <c r="BA153" s="384">
        <f>clean_data!Y153</f>
        <v>47</v>
      </c>
    </row>
    <row r="154" spans="1:53" x14ac:dyDescent="0.2">
      <c r="A154">
        <f>coder1_YH!B154</f>
        <v>0</v>
      </c>
      <c r="B154">
        <f>coder1_YH!C154</f>
        <v>154</v>
      </c>
      <c r="C154">
        <f>coder1_YH!D154</f>
        <v>0</v>
      </c>
      <c r="D154" t="b">
        <f>coder1_YH!E154</f>
        <v>1</v>
      </c>
      <c r="E154" t="b">
        <f>coder1_YH!F154</f>
        <v>1</v>
      </c>
      <c r="F154" s="321" t="str">
        <f>IF(coder1_YH!G154="", clean_mod!F153, coder1_YH!G154)</f>
        <v>Little et al. 2014</v>
      </c>
      <c r="G154" s="321" t="str">
        <f t="shared" si="40"/>
        <v>127</v>
      </c>
      <c r="H154" s="321">
        <f>IF(coder1_YH!H154="", clean_mod!H153, coder1_YH!H154)</f>
        <v>127.07000000000004</v>
      </c>
      <c r="I154" s="404" t="str">
        <f t="shared" si="41"/>
        <v>2014</v>
      </c>
      <c r="J154" s="344" t="str">
        <f>IF(coder1_YH!I154="",J153,coder1_YH!I154)</f>
        <v>USA</v>
      </c>
      <c r="K154" s="345">
        <f t="shared" si="42"/>
        <v>0</v>
      </c>
      <c r="L154" s="344" t="str">
        <f>IF(coder1_YH!J154 = "",L153, coder1_YH!J154)</f>
        <v>English</v>
      </c>
      <c r="M154" s="345">
        <f t="shared" si="43"/>
        <v>0</v>
      </c>
      <c r="N154" s="345" t="str">
        <f>IF(coder1_YH!K154 = "", N153, LEFT(coder1_YH!K154,1))</f>
        <v>0</v>
      </c>
      <c r="O154" s="345" t="str">
        <f>IF(coder1_YH!L154 = "", O153, LEFT(coder1_YH!L154,1))</f>
        <v>0</v>
      </c>
      <c r="P154" s="345" t="str">
        <f>IF(coder1_YH!M154 = "", P153, LEFT(coder1_YH!M154,1))</f>
        <v>0</v>
      </c>
      <c r="Q154" s="321">
        <f>coder1_YH!P154</f>
        <v>1</v>
      </c>
      <c r="R154" s="321" t="str">
        <f>coder1_YH!Q154</f>
        <v>SEM-R,   South, G7</v>
      </c>
      <c r="S154" s="323" t="str">
        <f t="shared" si="44"/>
        <v>N</v>
      </c>
      <c r="T154" s="323" t="str">
        <f t="shared" si="45"/>
        <v/>
      </c>
      <c r="U154" s="323" t="str">
        <f t="shared" si="46"/>
        <v/>
      </c>
      <c r="V154" s="323" t="str">
        <f t="shared" si="47"/>
        <v/>
      </c>
      <c r="W154" s="323">
        <f t="shared" si="48"/>
        <v>1</v>
      </c>
      <c r="X154" s="385" t="str">
        <f>IF(coder1_YH!N154 = "",X153,coder1_YH!N154)</f>
        <v>N</v>
      </c>
      <c r="Y154" s="385" t="str">
        <f>IF(coder1_YH!O154 = "",Y153,coder1_YH!O154)</f>
        <v xml:space="preserve">m </v>
      </c>
      <c r="Z154" s="385" t="str">
        <f t="shared" si="49"/>
        <v>M</v>
      </c>
      <c r="AA154" s="385" t="str">
        <f t="shared" si="50"/>
        <v>R</v>
      </c>
      <c r="AB154" s="385" t="str">
        <f t="shared" si="51"/>
        <v>MR</v>
      </c>
      <c r="AC154" s="323" t="str">
        <f t="shared" si="52"/>
        <v xml:space="preserve">Nm </v>
      </c>
      <c r="AD154" s="323" t="str">
        <f t="shared" si="53"/>
        <v>N_R</v>
      </c>
      <c r="AE154" s="323">
        <f>IF(Y154="cm", 1,0)</f>
        <v>0</v>
      </c>
      <c r="AF154" s="369" t="str">
        <f t="shared" si="54"/>
        <v xml:space="preserve">127.07-Nm </v>
      </c>
      <c r="AG154" s="369" t="str">
        <f t="shared" si="55"/>
        <v>127.07-N_R</v>
      </c>
      <c r="AH154" s="344">
        <f>IF(coder1_YH!R154="",AH153,coder1_YH!R154)</f>
        <v>7</v>
      </c>
      <c r="AI154" s="344">
        <f t="shared" si="39"/>
        <v>7</v>
      </c>
      <c r="AJ154" s="345">
        <f t="shared" si="56"/>
        <v>1</v>
      </c>
      <c r="AK154" s="408">
        <f>IF(coder1_YH!S154="",AK153,coder1_YH!S154)</f>
        <v>12.5</v>
      </c>
      <c r="AL154" s="345">
        <f>IF(coder1_YH!T154="",AL153,IF(coder1_YH!T154="mixed",0.25,coder1_YH!T154))</f>
        <v>0.25</v>
      </c>
      <c r="AM154" s="345" t="str">
        <f>IF(coder1_YH!U154 = "", AM153, IF(coder1_YH!U154="mixed","NA",coder1_YH!U154))</f>
        <v>NA</v>
      </c>
      <c r="AN154" s="345">
        <f>IF(coder1_YH!V154="",AN153,coder1_YH!V154)</f>
        <v>0.76900000000000002</v>
      </c>
      <c r="AO154" s="345" t="str">
        <f>IF(coder1_YH!W154="",AO153,coder1_YH!W154)</f>
        <v>NA</v>
      </c>
      <c r="AP154" s="345" t="str">
        <f>IF(coder1_YH!X154="",AP153,coder1_YH!X154)</f>
        <v>NA</v>
      </c>
      <c r="AQ154" s="345">
        <f>IF(coder1_YH!Y154="",AQ153,coder1_YH!Y154)</f>
        <v>0.66700000000000004</v>
      </c>
      <c r="AR154" t="str">
        <f>coder1_YH!AB154</f>
        <v>0 = Researcher-developed/adapted curriculum</v>
      </c>
      <c r="AS154" s="345" t="str">
        <f>IF(coder1_YH!AC154 = "", AS153,IF(coder1_YH!AC154="BAU","BAU",LEFT(coder1_YH!AC154)))</f>
        <v>0</v>
      </c>
      <c r="AT154" s="345" t="str">
        <f>IF(coder1_YH!AD154 = "", AT153,IF(coder1_YH!AD154="BAU","BAU",LEFT(coder1_YH!AD154)))</f>
        <v>0</v>
      </c>
      <c r="AU154" s="345" t="str">
        <f>IF(coder1_YH!AE154 = "", AU153,IF(coder1_YH!AE154="BAU","BAU",LEFT(coder1_YH!AE154)))</f>
        <v>1</v>
      </c>
      <c r="AV154" s="345">
        <f>IF(coder1_YH!AF154="",AV153,coder1_YH!AF154)</f>
        <v>6800</v>
      </c>
      <c r="AW154" s="345">
        <f t="shared" si="57"/>
        <v>113.33333333333333</v>
      </c>
      <c r="AX154" s="345">
        <f>IF(coder1_YH!AG154="",AX153,coder1_YH!AG154)</f>
        <v>160</v>
      </c>
      <c r="AY154" s="345">
        <f>IF(coder1_YH!AH154="",AY153,coder1_YH!AH154)</f>
        <v>42.5</v>
      </c>
      <c r="AZ154" s="345" t="str">
        <f>IF(coder1_YH!AI154 = "", AZ153, IF(coder1_YH!AI154="BAU","BAU",LEFT(coder1_YH!AI154)))</f>
        <v>1</v>
      </c>
      <c r="BA154" s="384">
        <f>clean_data!Y154</f>
        <v>40</v>
      </c>
    </row>
    <row r="155" spans="1:53" x14ac:dyDescent="0.2">
      <c r="A155">
        <f>coder1_YH!B155</f>
        <v>0</v>
      </c>
      <c r="B155">
        <f>coder1_YH!C155</f>
        <v>155</v>
      </c>
      <c r="C155">
        <f>coder1_YH!D155</f>
        <v>0</v>
      </c>
      <c r="D155" t="str">
        <f>coder1_YH!E155</f>
        <v/>
      </c>
      <c r="E155" t="b">
        <f>coder1_YH!F155</f>
        <v>1</v>
      </c>
      <c r="F155" s="321" t="str">
        <f>IF(coder1_YH!G155="", clean_mod!F154, coder1_YH!G155)</f>
        <v>Little et al. 2014</v>
      </c>
      <c r="G155" s="321" t="str">
        <f t="shared" si="40"/>
        <v>127</v>
      </c>
      <c r="H155" s="321">
        <f>IF(coder1_YH!H155="", clean_mod!H154, coder1_YH!H155)</f>
        <v>127.07000000000004</v>
      </c>
      <c r="I155" s="404" t="str">
        <f t="shared" si="41"/>
        <v>2014</v>
      </c>
      <c r="J155" s="344" t="str">
        <f>IF(coder1_YH!I155="",J154,coder1_YH!I155)</f>
        <v>USA</v>
      </c>
      <c r="K155" s="345">
        <f t="shared" si="42"/>
        <v>0</v>
      </c>
      <c r="L155" s="344" t="str">
        <f>IF(coder1_YH!J155 = "",L154, coder1_YH!J155)</f>
        <v>English</v>
      </c>
      <c r="M155" s="345">
        <f t="shared" si="43"/>
        <v>0</v>
      </c>
      <c r="N155" s="345" t="str">
        <f>IF(coder1_YH!K155 = "", N154, LEFT(coder1_YH!K155,1))</f>
        <v>0</v>
      </c>
      <c r="O155" s="345" t="str">
        <f>IF(coder1_YH!L155 = "", O154, LEFT(coder1_YH!L155,1))</f>
        <v>0</v>
      </c>
      <c r="P155" s="345" t="str">
        <f>IF(coder1_YH!M155 = "", P154, LEFT(coder1_YH!M155,1))</f>
        <v>0</v>
      </c>
      <c r="Q155" s="321" t="str">
        <f>coder1_YH!P155</f>
        <v>ctl</v>
      </c>
      <c r="R155" s="321" t="str">
        <f>coder1_YH!Q155</f>
        <v>Control, South, G7</v>
      </c>
      <c r="S155" s="323" t="str">
        <f t="shared" si="44"/>
        <v/>
      </c>
      <c r="T155" s="323" t="str">
        <f t="shared" si="45"/>
        <v/>
      </c>
      <c r="U155" s="323" t="str">
        <f t="shared" si="46"/>
        <v/>
      </c>
      <c r="V155" s="323" t="str">
        <f t="shared" si="47"/>
        <v/>
      </c>
      <c r="W155" s="323">
        <f t="shared" si="48"/>
        <v>0</v>
      </c>
      <c r="X155" s="385" t="str">
        <f>IF(coder1_YH!N155 = "",X154,coder1_YH!N155)</f>
        <v>.</v>
      </c>
      <c r="Y155" s="385" t="str">
        <f>IF(coder1_YH!O155 = "",Y154,coder1_YH!O155)</f>
        <v xml:space="preserve">m </v>
      </c>
      <c r="Z155" s="385" t="str">
        <f t="shared" si="49"/>
        <v/>
      </c>
      <c r="AA155" s="385" t="str">
        <f t="shared" si="50"/>
        <v>R</v>
      </c>
      <c r="AB155" s="385" t="str">
        <f t="shared" si="51"/>
        <v>R</v>
      </c>
      <c r="AC155" s="323" t="str">
        <f t="shared" si="52"/>
        <v xml:space="preserve">.m </v>
      </c>
      <c r="AD155" s="323" t="str">
        <f t="shared" si="53"/>
        <v>R</v>
      </c>
      <c r="AF155" s="369" t="str">
        <f t="shared" si="54"/>
        <v xml:space="preserve">127.07-.m </v>
      </c>
      <c r="AG155" s="369" t="str">
        <f t="shared" si="55"/>
        <v>127.07-R</v>
      </c>
      <c r="AH155" s="344">
        <f>IF(coder1_YH!R155="",AH154,coder1_YH!R155)</f>
        <v>7</v>
      </c>
      <c r="AI155" s="344">
        <f t="shared" si="39"/>
        <v>7</v>
      </c>
      <c r="AJ155" s="345">
        <f t="shared" si="56"/>
        <v>1</v>
      </c>
      <c r="AK155" s="408">
        <f>IF(coder1_YH!S155="",AK154,coder1_YH!S155)</f>
        <v>12.5</v>
      </c>
      <c r="AL155" s="345">
        <f>IF(coder1_YH!T155="",AL154,IF(coder1_YH!T155="mixed",0.25,coder1_YH!T155))</f>
        <v>0.25</v>
      </c>
      <c r="AM155" s="345" t="str">
        <f>IF(coder1_YH!U155 = "", AM154, IF(coder1_YH!U155="mixed","NA",coder1_YH!U155))</f>
        <v>NA</v>
      </c>
      <c r="AN155" s="345">
        <f>IF(coder1_YH!V155="",AN154,coder1_YH!V155)</f>
        <v>0.76900000000000002</v>
      </c>
      <c r="AO155" s="345" t="str">
        <f>IF(coder1_YH!W155="",AO154,coder1_YH!W155)</f>
        <v>NA</v>
      </c>
      <c r="AP155" s="345" t="str">
        <f>IF(coder1_YH!X155="",AP154,coder1_YH!X155)</f>
        <v>NA</v>
      </c>
      <c r="AQ155" s="345">
        <f>IF(coder1_YH!Y155="",AQ154,coder1_YH!Y155)</f>
        <v>0.66700000000000004</v>
      </c>
      <c r="AR155" t="str">
        <f>coder1_YH!AB155</f>
        <v>2 = District/State curriculum</v>
      </c>
      <c r="AS155" s="345" t="str">
        <f>IF(coder1_YH!AC155 = "", AS154,IF(coder1_YH!AC155="BAU","BAU",LEFT(coder1_YH!AC155)))</f>
        <v>BAU</v>
      </c>
      <c r="AT155" s="345" t="str">
        <f>IF(coder1_YH!AD155 = "", AT154,IF(coder1_YH!AD155="BAU","BAU",LEFT(coder1_YH!AD155)))</f>
        <v>BAU</v>
      </c>
      <c r="AU155" s="345" t="str">
        <f>IF(coder1_YH!AE155 = "", AU154,IF(coder1_YH!AE155="BAU","BAU",LEFT(coder1_YH!AE155)))</f>
        <v>BAU</v>
      </c>
      <c r="AV155" s="345" t="str">
        <f>IF(coder1_YH!AF155="",AV154,coder1_YH!AF155)</f>
        <v>BAU</v>
      </c>
      <c r="AW155" s="345" t="str">
        <f t="shared" si="57"/>
        <v>BAU</v>
      </c>
      <c r="AX155" s="345" t="str">
        <f>IF(coder1_YH!AG155="",AX154,coder1_YH!AG155)</f>
        <v>BAU</v>
      </c>
      <c r="AY155" s="345" t="str">
        <f>IF(coder1_YH!AH155="",AY154,coder1_YH!AH155)</f>
        <v>BAU</v>
      </c>
      <c r="AZ155" s="345" t="str">
        <f>IF(coder1_YH!AI155 = "", AZ154, IF(coder1_YH!AI155="BAU","BAU",LEFT(coder1_YH!AI155)))</f>
        <v>BAU</v>
      </c>
      <c r="BA155" s="384">
        <f>clean_data!Y155</f>
        <v>36</v>
      </c>
    </row>
    <row r="156" spans="1:53" x14ac:dyDescent="0.2">
      <c r="A156">
        <f>coder1_YH!B156</f>
        <v>0</v>
      </c>
      <c r="B156">
        <f>coder1_YH!C156</f>
        <v>156</v>
      </c>
      <c r="C156">
        <f>coder1_YH!D156</f>
        <v>0</v>
      </c>
      <c r="D156" t="b">
        <f>coder1_YH!E156</f>
        <v>1</v>
      </c>
      <c r="E156" t="b">
        <f>coder1_YH!F156</f>
        <v>1</v>
      </c>
      <c r="F156" s="321" t="str">
        <f>IF(coder1_YH!G156="", clean_mod!F155, coder1_YH!G156)</f>
        <v>Little et al. 2014</v>
      </c>
      <c r="G156" s="321" t="str">
        <f t="shared" si="40"/>
        <v>127</v>
      </c>
      <c r="H156" s="321">
        <f>IF(coder1_YH!H156="", clean_mod!H155, coder1_YH!H156)</f>
        <v>127.08000000000004</v>
      </c>
      <c r="I156" s="404" t="str">
        <f t="shared" si="41"/>
        <v>2014</v>
      </c>
      <c r="J156" s="344" t="str">
        <f>IF(coder1_YH!I156="",J155,coder1_YH!I156)</f>
        <v>USA</v>
      </c>
      <c r="K156" s="345">
        <f t="shared" si="42"/>
        <v>0</v>
      </c>
      <c r="L156" s="344" t="str">
        <f>IF(coder1_YH!J156 = "",L155, coder1_YH!J156)</f>
        <v>English</v>
      </c>
      <c r="M156" s="345">
        <f t="shared" si="43"/>
        <v>0</v>
      </c>
      <c r="N156" s="345" t="str">
        <f>IF(coder1_YH!K156 = "", N155, LEFT(coder1_YH!K156,1))</f>
        <v>0</v>
      </c>
      <c r="O156" s="345" t="str">
        <f>IF(coder1_YH!L156 = "", O155, LEFT(coder1_YH!L156,1))</f>
        <v>0</v>
      </c>
      <c r="P156" s="345" t="str">
        <f>IF(coder1_YH!M156 = "", P155, LEFT(coder1_YH!M156,1))</f>
        <v>0</v>
      </c>
      <c r="Q156" s="321">
        <f>coder1_YH!P156</f>
        <v>1</v>
      </c>
      <c r="R156" s="321" t="str">
        <f>coder1_YH!Q156</f>
        <v>SEM-R,   South, G8</v>
      </c>
      <c r="S156" s="323" t="str">
        <f t="shared" si="44"/>
        <v>N</v>
      </c>
      <c r="T156" s="323" t="str">
        <f t="shared" si="45"/>
        <v/>
      </c>
      <c r="U156" s="323" t="str">
        <f t="shared" si="46"/>
        <v/>
      </c>
      <c r="V156" s="323" t="str">
        <f t="shared" si="47"/>
        <v/>
      </c>
      <c r="W156" s="323">
        <f t="shared" si="48"/>
        <v>1</v>
      </c>
      <c r="X156" s="385" t="str">
        <f>IF(coder1_YH!N156 = "",X155,coder1_YH!N156)</f>
        <v>N</v>
      </c>
      <c r="Y156" s="385" t="str">
        <f>IF(coder1_YH!O156 = "",Y155,coder1_YH!O156)</f>
        <v xml:space="preserve">m </v>
      </c>
      <c r="Z156" s="385" t="str">
        <f t="shared" si="49"/>
        <v>M</v>
      </c>
      <c r="AA156" s="385" t="str">
        <f t="shared" si="50"/>
        <v>R</v>
      </c>
      <c r="AB156" s="385" t="str">
        <f t="shared" si="51"/>
        <v>MR</v>
      </c>
      <c r="AC156" s="323" t="str">
        <f t="shared" si="52"/>
        <v xml:space="preserve">Nm </v>
      </c>
      <c r="AD156" s="323" t="str">
        <f t="shared" si="53"/>
        <v>N_R</v>
      </c>
      <c r="AE156" s="323">
        <f>IF(Y156="cm", 1,0)</f>
        <v>0</v>
      </c>
      <c r="AF156" s="369" t="str">
        <f t="shared" si="54"/>
        <v xml:space="preserve">127.08-Nm </v>
      </c>
      <c r="AG156" s="369" t="str">
        <f t="shared" si="55"/>
        <v>127.08-N_R</v>
      </c>
      <c r="AH156" s="344">
        <f>IF(coder1_YH!R156="",AH155,coder1_YH!R156)</f>
        <v>8</v>
      </c>
      <c r="AI156" s="344">
        <f t="shared" si="39"/>
        <v>8</v>
      </c>
      <c r="AJ156" s="345">
        <f t="shared" si="56"/>
        <v>1</v>
      </c>
      <c r="AK156" s="408">
        <f>IF(coder1_YH!S156="",AK155,coder1_YH!S156)</f>
        <v>13.5</v>
      </c>
      <c r="AL156" s="345">
        <f>IF(coder1_YH!T156="",AL155,IF(coder1_YH!T156="mixed",0.25,coder1_YH!T156))</f>
        <v>0.25</v>
      </c>
      <c r="AM156" s="345" t="str">
        <f>IF(coder1_YH!U156 = "", AM155, IF(coder1_YH!U156="mixed","NA",coder1_YH!U156))</f>
        <v>NA</v>
      </c>
      <c r="AN156" s="345">
        <f>IF(coder1_YH!V156="",AN155,coder1_YH!V156)</f>
        <v>0.76900000000000002</v>
      </c>
      <c r="AO156" s="345" t="str">
        <f>IF(coder1_YH!W156="",AO155,coder1_YH!W156)</f>
        <v>NA</v>
      </c>
      <c r="AP156" s="345" t="str">
        <f>IF(coder1_YH!X156="",AP155,coder1_YH!X156)</f>
        <v>NA</v>
      </c>
      <c r="AQ156" s="345">
        <f>IF(coder1_YH!Y156="",AQ155,coder1_YH!Y156)</f>
        <v>0.66700000000000004</v>
      </c>
      <c r="AR156" t="str">
        <f>coder1_YH!AB156</f>
        <v>0 = Researcher-developed/adapted curriculum</v>
      </c>
      <c r="AS156" s="345" t="str">
        <f>IF(coder1_YH!AC156 = "", AS155,IF(coder1_YH!AC156="BAU","BAU",LEFT(coder1_YH!AC156)))</f>
        <v>0</v>
      </c>
      <c r="AT156" s="345" t="str">
        <f>IF(coder1_YH!AD156 = "", AT155,IF(coder1_YH!AD156="BAU","BAU",LEFT(coder1_YH!AD156)))</f>
        <v>0</v>
      </c>
      <c r="AU156" s="345" t="str">
        <f>IF(coder1_YH!AE156 = "", AU155,IF(coder1_YH!AE156="BAU","BAU",LEFT(coder1_YH!AE156)))</f>
        <v>1</v>
      </c>
      <c r="AV156" s="345">
        <f>IF(coder1_YH!AF156="",AV155,coder1_YH!AF156)</f>
        <v>6800</v>
      </c>
      <c r="AW156" s="345">
        <f t="shared" si="57"/>
        <v>113.33333333333333</v>
      </c>
      <c r="AX156" s="345">
        <f>IF(coder1_YH!AG156="",AX155,coder1_YH!AG156)</f>
        <v>160</v>
      </c>
      <c r="AY156" s="345">
        <f>IF(coder1_YH!AH156="",AY155,coder1_YH!AH156)</f>
        <v>42.5</v>
      </c>
      <c r="AZ156" s="345" t="str">
        <f>IF(coder1_YH!AI156 = "", AZ155, IF(coder1_YH!AI156="BAU","BAU",LEFT(coder1_YH!AI156)))</f>
        <v>1</v>
      </c>
      <c r="BA156" s="384">
        <f>clean_data!Y156</f>
        <v>43</v>
      </c>
    </row>
    <row r="157" spans="1:53" x14ac:dyDescent="0.2">
      <c r="A157">
        <f>coder1_YH!B157</f>
        <v>0</v>
      </c>
      <c r="B157">
        <f>coder1_YH!C157</f>
        <v>157</v>
      </c>
      <c r="C157">
        <f>coder1_YH!D157</f>
        <v>0</v>
      </c>
      <c r="D157" t="str">
        <f>coder1_YH!E157</f>
        <v/>
      </c>
      <c r="E157" t="b">
        <f>coder1_YH!F157</f>
        <v>1</v>
      </c>
      <c r="F157" s="321" t="str">
        <f>IF(coder1_YH!G157="", clean_mod!F156, coder1_YH!G157)</f>
        <v>Little et al. 2014</v>
      </c>
      <c r="G157" s="321" t="str">
        <f t="shared" si="40"/>
        <v>127</v>
      </c>
      <c r="H157" s="321">
        <f>IF(coder1_YH!H157="", clean_mod!H156, coder1_YH!H157)</f>
        <v>127.08000000000004</v>
      </c>
      <c r="I157" s="404" t="str">
        <f t="shared" si="41"/>
        <v>2014</v>
      </c>
      <c r="J157" s="344" t="str">
        <f>IF(coder1_YH!I157="",J156,coder1_YH!I157)</f>
        <v>USA</v>
      </c>
      <c r="K157" s="345">
        <f t="shared" si="42"/>
        <v>0</v>
      </c>
      <c r="L157" s="344" t="str">
        <f>IF(coder1_YH!J157 = "",L156, coder1_YH!J157)</f>
        <v>English</v>
      </c>
      <c r="M157" s="345">
        <f t="shared" si="43"/>
        <v>0</v>
      </c>
      <c r="N157" s="345" t="str">
        <f>IF(coder1_YH!K157 = "", N156, LEFT(coder1_YH!K157,1))</f>
        <v>0</v>
      </c>
      <c r="O157" s="345" t="str">
        <f>IF(coder1_YH!L157 = "", O156, LEFT(coder1_YH!L157,1))</f>
        <v>0</v>
      </c>
      <c r="P157" s="345" t="str">
        <f>IF(coder1_YH!M157 = "", P156, LEFT(coder1_YH!M157,1))</f>
        <v>0</v>
      </c>
      <c r="Q157" s="321" t="str">
        <f>coder1_YH!P157</f>
        <v>ctl</v>
      </c>
      <c r="R157" s="321" t="str">
        <f>coder1_YH!Q157</f>
        <v>Control, South, G8</v>
      </c>
      <c r="S157" s="323" t="str">
        <f t="shared" si="44"/>
        <v/>
      </c>
      <c r="T157" s="323" t="str">
        <f t="shared" si="45"/>
        <v/>
      </c>
      <c r="U157" s="323" t="str">
        <f t="shared" si="46"/>
        <v/>
      </c>
      <c r="V157" s="323" t="str">
        <f t="shared" si="47"/>
        <v/>
      </c>
      <c r="W157" s="323">
        <f t="shared" si="48"/>
        <v>0</v>
      </c>
      <c r="X157" s="385" t="str">
        <f>IF(coder1_YH!N157 = "",X156,coder1_YH!N157)</f>
        <v>.</v>
      </c>
      <c r="Y157" s="385" t="str">
        <f>IF(coder1_YH!O157 = "",Y156,coder1_YH!O157)</f>
        <v xml:space="preserve">m </v>
      </c>
      <c r="Z157" s="385" t="str">
        <f t="shared" si="49"/>
        <v/>
      </c>
      <c r="AA157" s="385" t="str">
        <f t="shared" si="50"/>
        <v>R</v>
      </c>
      <c r="AB157" s="385" t="str">
        <f t="shared" si="51"/>
        <v>R</v>
      </c>
      <c r="AC157" s="323" t="str">
        <f t="shared" si="52"/>
        <v xml:space="preserve">.m </v>
      </c>
      <c r="AD157" s="323" t="str">
        <f t="shared" si="53"/>
        <v>R</v>
      </c>
      <c r="AF157" s="369" t="str">
        <f t="shared" si="54"/>
        <v xml:space="preserve">127.08-.m </v>
      </c>
      <c r="AG157" s="369" t="str">
        <f t="shared" si="55"/>
        <v>127.08-R</v>
      </c>
      <c r="AH157" s="344">
        <f>IF(coder1_YH!R157="",AH156,coder1_YH!R157)</f>
        <v>8</v>
      </c>
      <c r="AI157" s="344">
        <f t="shared" si="39"/>
        <v>8</v>
      </c>
      <c r="AJ157" s="345">
        <f t="shared" si="56"/>
        <v>1</v>
      </c>
      <c r="AK157" s="408">
        <f>IF(coder1_YH!S157="",AK156,coder1_YH!S157)</f>
        <v>13.5</v>
      </c>
      <c r="AL157" s="345">
        <f>IF(coder1_YH!T157="",AL156,IF(coder1_YH!T157="mixed",0.25,coder1_YH!T157))</f>
        <v>0.25</v>
      </c>
      <c r="AM157" s="345" t="str">
        <f>IF(coder1_YH!U157 = "", AM156, IF(coder1_YH!U157="mixed","NA",coder1_YH!U157))</f>
        <v>NA</v>
      </c>
      <c r="AN157" s="345">
        <f>IF(coder1_YH!V157="",AN156,coder1_YH!V157)</f>
        <v>0.76900000000000002</v>
      </c>
      <c r="AO157" s="345" t="str">
        <f>IF(coder1_YH!W157="",AO156,coder1_YH!W157)</f>
        <v>NA</v>
      </c>
      <c r="AP157" s="345" t="str">
        <f>IF(coder1_YH!X157="",AP156,coder1_YH!X157)</f>
        <v>NA</v>
      </c>
      <c r="AQ157" s="345">
        <f>IF(coder1_YH!Y157="",AQ156,coder1_YH!Y157)</f>
        <v>0.66700000000000004</v>
      </c>
      <c r="AR157" t="str">
        <f>coder1_YH!AB157</f>
        <v>2 = District/State curriculum</v>
      </c>
      <c r="AS157" s="345" t="str">
        <f>IF(coder1_YH!AC157 = "", AS156,IF(coder1_YH!AC157="BAU","BAU",LEFT(coder1_YH!AC157)))</f>
        <v>BAU</v>
      </c>
      <c r="AT157" s="345" t="str">
        <f>IF(coder1_YH!AD157 = "", AT156,IF(coder1_YH!AD157="BAU","BAU",LEFT(coder1_YH!AD157)))</f>
        <v>BAU</v>
      </c>
      <c r="AU157" s="345" t="str">
        <f>IF(coder1_YH!AE157 = "", AU156,IF(coder1_YH!AE157="BAU","BAU",LEFT(coder1_YH!AE157)))</f>
        <v>BAU</v>
      </c>
      <c r="AV157" s="345" t="str">
        <f>IF(coder1_YH!AF157="",AV156,coder1_YH!AF157)</f>
        <v>BAU</v>
      </c>
      <c r="AW157" s="345" t="str">
        <f t="shared" si="57"/>
        <v>BAU</v>
      </c>
      <c r="AX157" s="345" t="str">
        <f>IF(coder1_YH!AG157="",AX156,coder1_YH!AG157)</f>
        <v>BAU</v>
      </c>
      <c r="AY157" s="345" t="str">
        <f>IF(coder1_YH!AH157="",AY156,coder1_YH!AH157)</f>
        <v>BAU</v>
      </c>
      <c r="AZ157" s="345" t="str">
        <f>IF(coder1_YH!AI157 = "", AZ156, IF(coder1_YH!AI157="BAU","BAU",LEFT(coder1_YH!AI157)))</f>
        <v>BAU</v>
      </c>
      <c r="BA157" s="384">
        <f>clean_data!Y157</f>
        <v>41</v>
      </c>
    </row>
    <row r="158" spans="1:53" x14ac:dyDescent="0.2">
      <c r="A158">
        <f>coder1_YH!B158</f>
        <v>0</v>
      </c>
      <c r="B158">
        <f>coder1_YH!C158</f>
        <v>158</v>
      </c>
      <c r="C158">
        <f>coder1_YH!D158</f>
        <v>0</v>
      </c>
      <c r="D158" t="b">
        <f>coder1_YH!E158</f>
        <v>1</v>
      </c>
      <c r="E158" t="b">
        <f>coder1_YH!F158</f>
        <v>1</v>
      </c>
      <c r="F158" s="321" t="str">
        <f>IF(coder1_YH!G158="", clean_mod!F157, coder1_YH!G158)</f>
        <v>Little et al. 2014</v>
      </c>
      <c r="G158" s="321" t="str">
        <f t="shared" si="40"/>
        <v>127</v>
      </c>
      <c r="H158" s="321">
        <f>IF(coder1_YH!H158="", clean_mod!H157, coder1_YH!H158)</f>
        <v>127.09000000000005</v>
      </c>
      <c r="I158" s="404" t="str">
        <f t="shared" si="41"/>
        <v>2014</v>
      </c>
      <c r="J158" s="344" t="str">
        <f>IF(coder1_YH!I158="",J157,coder1_YH!I158)</f>
        <v>USA</v>
      </c>
      <c r="K158" s="345">
        <f t="shared" si="42"/>
        <v>0</v>
      </c>
      <c r="L158" s="344" t="str">
        <f>IF(coder1_YH!J158 = "",L157, coder1_YH!J158)</f>
        <v>English</v>
      </c>
      <c r="M158" s="345">
        <f t="shared" si="43"/>
        <v>0</v>
      </c>
      <c r="N158" s="345" t="str">
        <f>IF(coder1_YH!K158 = "", N157, LEFT(coder1_YH!K158,1))</f>
        <v>0</v>
      </c>
      <c r="O158" s="345" t="str">
        <f>IF(coder1_YH!L158 = "", O157, LEFT(coder1_YH!L158,1))</f>
        <v>0</v>
      </c>
      <c r="P158" s="345" t="str">
        <f>IF(coder1_YH!M158 = "", P157, LEFT(coder1_YH!M158,1))</f>
        <v>0</v>
      </c>
      <c r="Q158" s="321">
        <f>coder1_YH!P158</f>
        <v>1</v>
      </c>
      <c r="R158" s="321" t="str">
        <f>coder1_YH!Q158</f>
        <v>SEM-R,   North, G6</v>
      </c>
      <c r="S158" s="323" t="str">
        <f t="shared" si="44"/>
        <v>N</v>
      </c>
      <c r="T158" s="323" t="str">
        <f t="shared" si="45"/>
        <v/>
      </c>
      <c r="U158" s="323" t="str">
        <f t="shared" si="46"/>
        <v/>
      </c>
      <c r="V158" s="323" t="str">
        <f t="shared" si="47"/>
        <v/>
      </c>
      <c r="W158" s="323">
        <f t="shared" si="48"/>
        <v>1</v>
      </c>
      <c r="X158" s="385" t="str">
        <f>IF(coder1_YH!N158 = "",X157,coder1_YH!N158)</f>
        <v>N</v>
      </c>
      <c r="Y158" s="385" t="str">
        <f>IF(coder1_YH!O158 = "",Y157,coder1_YH!O158)</f>
        <v xml:space="preserve">m </v>
      </c>
      <c r="Z158" s="385" t="str">
        <f t="shared" si="49"/>
        <v>M</v>
      </c>
      <c r="AA158" s="385" t="str">
        <f t="shared" si="50"/>
        <v>R</v>
      </c>
      <c r="AB158" s="385" t="str">
        <f t="shared" si="51"/>
        <v>MR</v>
      </c>
      <c r="AC158" s="323" t="str">
        <f t="shared" si="52"/>
        <v xml:space="preserve">Nm </v>
      </c>
      <c r="AD158" s="323" t="str">
        <f t="shared" si="53"/>
        <v>N_R</v>
      </c>
      <c r="AE158" s="323">
        <f>IF(Y158="cm", 1,0)</f>
        <v>0</v>
      </c>
      <c r="AF158" s="369" t="str">
        <f t="shared" si="54"/>
        <v xml:space="preserve">127.09-Nm </v>
      </c>
      <c r="AG158" s="369" t="str">
        <f t="shared" si="55"/>
        <v>127.09-N_R</v>
      </c>
      <c r="AH158" s="344">
        <f>IF(coder1_YH!R158="",AH157,coder1_YH!R158)</f>
        <v>6</v>
      </c>
      <c r="AI158" s="344">
        <f t="shared" si="39"/>
        <v>6</v>
      </c>
      <c r="AJ158" s="345">
        <f t="shared" si="56"/>
        <v>1</v>
      </c>
      <c r="AK158" s="408">
        <f>IF(coder1_YH!S158="",AK157,coder1_YH!S158)</f>
        <v>11.5</v>
      </c>
      <c r="AL158" s="345">
        <f>IF(coder1_YH!T158="",AL157,IF(coder1_YH!T158="mixed",0.25,coder1_YH!T158))</f>
        <v>0.25</v>
      </c>
      <c r="AM158" s="345" t="str">
        <f>IF(coder1_YH!U158 = "", AM157, IF(coder1_YH!U158="mixed","NA",coder1_YH!U158))</f>
        <v>NA</v>
      </c>
      <c r="AN158" s="345">
        <f>IF(coder1_YH!V158="",AN157,coder1_YH!V158)</f>
        <v>0.66200000000000003</v>
      </c>
      <c r="AO158" s="345" t="str">
        <f>IF(coder1_YH!W158="",AO157,coder1_YH!W158)</f>
        <v>NA</v>
      </c>
      <c r="AP158" s="345" t="str">
        <f>IF(coder1_YH!X158="",AP157,coder1_YH!X158)</f>
        <v>NA</v>
      </c>
      <c r="AQ158" s="345">
        <f>IF(coder1_YH!Y158="",AQ157,coder1_YH!Y158)</f>
        <v>0.85000000000000009</v>
      </c>
      <c r="AR158" t="str">
        <f>coder1_YH!AB158</f>
        <v>0 = Researcher-developed/adapted curriculum</v>
      </c>
      <c r="AS158" s="345" t="str">
        <f>IF(coder1_YH!AC158 = "", AS157,IF(coder1_YH!AC158="BAU","BAU",LEFT(coder1_YH!AC158)))</f>
        <v>0</v>
      </c>
      <c r="AT158" s="345" t="str">
        <f>IF(coder1_YH!AD158 = "", AT157,IF(coder1_YH!AD158="BAU","BAU",LEFT(coder1_YH!AD158)))</f>
        <v>0</v>
      </c>
      <c r="AU158" s="345" t="str">
        <f>IF(coder1_YH!AE158 = "", AU157,IF(coder1_YH!AE158="BAU","BAU",LEFT(coder1_YH!AE158)))</f>
        <v>1</v>
      </c>
      <c r="AV158" s="345">
        <f>IF(coder1_YH!AF158="",AV157,coder1_YH!AF158)</f>
        <v>6800</v>
      </c>
      <c r="AW158" s="345">
        <f t="shared" si="57"/>
        <v>113.33333333333333</v>
      </c>
      <c r="AX158" s="345">
        <f>IF(coder1_YH!AG158="",AX157,coder1_YH!AG158)</f>
        <v>160</v>
      </c>
      <c r="AY158" s="345">
        <f>IF(coder1_YH!AH158="",AY157,coder1_YH!AH158)</f>
        <v>42.5</v>
      </c>
      <c r="AZ158" s="345" t="str">
        <f>IF(coder1_YH!AI158 = "", AZ157, IF(coder1_YH!AI158="BAU","BAU",LEFT(coder1_YH!AI158)))</f>
        <v>1</v>
      </c>
      <c r="BA158" s="384">
        <f>clean_data!Y158</f>
        <v>109</v>
      </c>
    </row>
    <row r="159" spans="1:53" x14ac:dyDescent="0.2">
      <c r="A159">
        <f>coder1_YH!B159</f>
        <v>0</v>
      </c>
      <c r="B159">
        <f>coder1_YH!C159</f>
        <v>159</v>
      </c>
      <c r="C159">
        <f>coder1_YH!D159</f>
        <v>0</v>
      </c>
      <c r="D159" t="str">
        <f>coder1_YH!E159</f>
        <v/>
      </c>
      <c r="E159" t="b">
        <f>coder1_YH!F159</f>
        <v>1</v>
      </c>
      <c r="F159" s="321" t="str">
        <f>IF(coder1_YH!G159="", clean_mod!F158, coder1_YH!G159)</f>
        <v>Little et al. 2014</v>
      </c>
      <c r="G159" s="321" t="str">
        <f t="shared" si="40"/>
        <v>127</v>
      </c>
      <c r="H159" s="321">
        <f>IF(coder1_YH!H159="", clean_mod!H158, coder1_YH!H159)</f>
        <v>127.09000000000005</v>
      </c>
      <c r="I159" s="404" t="str">
        <f t="shared" si="41"/>
        <v>2014</v>
      </c>
      <c r="J159" s="344" t="str">
        <f>IF(coder1_YH!I159="",J158,coder1_YH!I159)</f>
        <v>USA</v>
      </c>
      <c r="K159" s="345">
        <f t="shared" si="42"/>
        <v>0</v>
      </c>
      <c r="L159" s="344" t="str">
        <f>IF(coder1_YH!J159 = "",L158, coder1_YH!J159)</f>
        <v>English</v>
      </c>
      <c r="M159" s="345">
        <f t="shared" si="43"/>
        <v>0</v>
      </c>
      <c r="N159" s="345" t="str">
        <f>IF(coder1_YH!K159 = "", N158, LEFT(coder1_YH!K159,1))</f>
        <v>0</v>
      </c>
      <c r="O159" s="345" t="str">
        <f>IF(coder1_YH!L159 = "", O158, LEFT(coder1_YH!L159,1))</f>
        <v>0</v>
      </c>
      <c r="P159" s="345" t="str">
        <f>IF(coder1_YH!M159 = "", P158, LEFT(coder1_YH!M159,1))</f>
        <v>0</v>
      </c>
      <c r="Q159" s="321" t="str">
        <f>coder1_YH!P159</f>
        <v>ctl</v>
      </c>
      <c r="R159" s="321" t="str">
        <f>coder1_YH!Q159</f>
        <v>Control, North G6</v>
      </c>
      <c r="S159" s="323" t="str">
        <f t="shared" si="44"/>
        <v/>
      </c>
      <c r="T159" s="323" t="str">
        <f t="shared" si="45"/>
        <v/>
      </c>
      <c r="U159" s="323" t="str">
        <f t="shared" si="46"/>
        <v/>
      </c>
      <c r="V159" s="323" t="str">
        <f t="shared" si="47"/>
        <v/>
      </c>
      <c r="W159" s="323">
        <f t="shared" si="48"/>
        <v>0</v>
      </c>
      <c r="X159" s="385" t="str">
        <f>IF(coder1_YH!N159 = "",X158,coder1_YH!N159)</f>
        <v>.</v>
      </c>
      <c r="Y159" s="385" t="str">
        <f>IF(coder1_YH!O159 = "",Y158,coder1_YH!O159)</f>
        <v xml:space="preserve">m </v>
      </c>
      <c r="Z159" s="385" t="str">
        <f t="shared" si="49"/>
        <v/>
      </c>
      <c r="AA159" s="385" t="str">
        <f t="shared" si="50"/>
        <v>R</v>
      </c>
      <c r="AB159" s="385" t="str">
        <f t="shared" si="51"/>
        <v>R</v>
      </c>
      <c r="AC159" s="323" t="str">
        <f t="shared" si="52"/>
        <v xml:space="preserve">.m </v>
      </c>
      <c r="AD159" s="323" t="str">
        <f t="shared" si="53"/>
        <v>R</v>
      </c>
      <c r="AF159" s="369" t="str">
        <f t="shared" si="54"/>
        <v xml:space="preserve">127.09-.m </v>
      </c>
      <c r="AG159" s="369" t="str">
        <f t="shared" si="55"/>
        <v>127.09-R</v>
      </c>
      <c r="AH159" s="344">
        <f>IF(coder1_YH!R159="",AH158,coder1_YH!R159)</f>
        <v>6</v>
      </c>
      <c r="AI159" s="344">
        <f t="shared" si="39"/>
        <v>6</v>
      </c>
      <c r="AJ159" s="345">
        <f t="shared" si="56"/>
        <v>1</v>
      </c>
      <c r="AK159" s="408">
        <f>IF(coder1_YH!S159="",AK158,coder1_YH!S159)</f>
        <v>11.5</v>
      </c>
      <c r="AL159" s="345">
        <f>IF(coder1_YH!T159="",AL158,IF(coder1_YH!T159="mixed",0.25,coder1_YH!T159))</f>
        <v>0.25</v>
      </c>
      <c r="AM159" s="345" t="str">
        <f>IF(coder1_YH!U159 = "", AM158, IF(coder1_YH!U159="mixed","NA",coder1_YH!U159))</f>
        <v>NA</v>
      </c>
      <c r="AN159" s="345">
        <f>IF(coder1_YH!V159="",AN158,coder1_YH!V159)</f>
        <v>0.66200000000000003</v>
      </c>
      <c r="AO159" s="345" t="str">
        <f>IF(coder1_YH!W159="",AO158,coder1_YH!W159)</f>
        <v>NA</v>
      </c>
      <c r="AP159" s="345" t="str">
        <f>IF(coder1_YH!X159="",AP158,coder1_YH!X159)</f>
        <v>NA</v>
      </c>
      <c r="AQ159" s="345">
        <f>IF(coder1_YH!Y159="",AQ158,coder1_YH!Y159)</f>
        <v>0.85000000000000009</v>
      </c>
      <c r="AR159" t="str">
        <f>coder1_YH!AB159</f>
        <v>2 = District/State curriculum</v>
      </c>
      <c r="AS159" s="345" t="str">
        <f>IF(coder1_YH!AC159 = "", AS158,IF(coder1_YH!AC159="BAU","BAU",LEFT(coder1_YH!AC159)))</f>
        <v>BAU</v>
      </c>
      <c r="AT159" s="345" t="str">
        <f>IF(coder1_YH!AD159 = "", AT158,IF(coder1_YH!AD159="BAU","BAU",LEFT(coder1_YH!AD159)))</f>
        <v>BAU</v>
      </c>
      <c r="AU159" s="345" t="str">
        <f>IF(coder1_YH!AE159 = "", AU158,IF(coder1_YH!AE159="BAU","BAU",LEFT(coder1_YH!AE159)))</f>
        <v>BAU</v>
      </c>
      <c r="AV159" s="345" t="str">
        <f>IF(coder1_YH!AF159="",AV158,coder1_YH!AF159)</f>
        <v>BAU</v>
      </c>
      <c r="AW159" s="345" t="str">
        <f t="shared" si="57"/>
        <v>BAU</v>
      </c>
      <c r="AX159" s="345" t="str">
        <f>IF(coder1_YH!AG159="",AX158,coder1_YH!AG159)</f>
        <v>BAU</v>
      </c>
      <c r="AY159" s="345" t="str">
        <f>IF(coder1_YH!AH159="",AY158,coder1_YH!AH159)</f>
        <v>BAU</v>
      </c>
      <c r="AZ159" s="345" t="str">
        <f>IF(coder1_YH!AI159 = "", AZ158, IF(coder1_YH!AI159="BAU","BAU",LEFT(coder1_YH!AI159)))</f>
        <v>BAU</v>
      </c>
      <c r="BA159" s="384">
        <f>clean_data!Y159</f>
        <v>53</v>
      </c>
    </row>
    <row r="160" spans="1:53" x14ac:dyDescent="0.2">
      <c r="A160">
        <f>coder1_YH!B160</f>
        <v>0</v>
      </c>
      <c r="B160">
        <f>coder1_YH!C160</f>
        <v>160</v>
      </c>
      <c r="C160">
        <f>coder1_YH!D160</f>
        <v>0</v>
      </c>
      <c r="D160" t="b">
        <f>coder1_YH!E160</f>
        <v>1</v>
      </c>
      <c r="E160" t="b">
        <f>coder1_YH!F160</f>
        <v>1</v>
      </c>
      <c r="F160" s="321" t="str">
        <f>IF(coder1_YH!G160="", clean_mod!F159, coder1_YH!G160)</f>
        <v>Little et al. 2014</v>
      </c>
      <c r="G160" s="321" t="str">
        <f t="shared" si="40"/>
        <v>127</v>
      </c>
      <c r="H160" s="321">
        <f>IF(coder1_YH!H160="", clean_mod!H159, coder1_YH!H160)</f>
        <v>127.10000000000005</v>
      </c>
      <c r="I160" s="404" t="str">
        <f t="shared" si="41"/>
        <v>2014</v>
      </c>
      <c r="J160" s="344" t="str">
        <f>IF(coder1_YH!I160="",J159,coder1_YH!I160)</f>
        <v>USA</v>
      </c>
      <c r="K160" s="345">
        <f t="shared" si="42"/>
        <v>0</v>
      </c>
      <c r="L160" s="344" t="str">
        <f>IF(coder1_YH!J160 = "",L159, coder1_YH!J160)</f>
        <v>English</v>
      </c>
      <c r="M160" s="345">
        <f t="shared" si="43"/>
        <v>0</v>
      </c>
      <c r="N160" s="345" t="str">
        <f>IF(coder1_YH!K160 = "", N159, LEFT(coder1_YH!K160,1))</f>
        <v>0</v>
      </c>
      <c r="O160" s="345" t="str">
        <f>IF(coder1_YH!L160 = "", O159, LEFT(coder1_YH!L160,1))</f>
        <v>0</v>
      </c>
      <c r="P160" s="345" t="str">
        <f>IF(coder1_YH!M160 = "", P159, LEFT(coder1_YH!M160,1))</f>
        <v>0</v>
      </c>
      <c r="Q160" s="321">
        <f>coder1_YH!P160</f>
        <v>1</v>
      </c>
      <c r="R160" s="321" t="str">
        <f>coder1_YH!Q160</f>
        <v>SEM-R,   North, G7</v>
      </c>
      <c r="S160" s="323" t="str">
        <f t="shared" si="44"/>
        <v>N</v>
      </c>
      <c r="T160" s="323" t="str">
        <f t="shared" si="45"/>
        <v/>
      </c>
      <c r="U160" s="323" t="str">
        <f t="shared" si="46"/>
        <v/>
      </c>
      <c r="V160" s="323" t="str">
        <f t="shared" si="47"/>
        <v/>
      </c>
      <c r="W160" s="323">
        <f t="shared" si="48"/>
        <v>1</v>
      </c>
      <c r="X160" s="385" t="str">
        <f>IF(coder1_YH!N160 = "",X159,coder1_YH!N160)</f>
        <v>N</v>
      </c>
      <c r="Y160" s="385" t="str">
        <f>IF(coder1_YH!O160 = "",Y159,coder1_YH!O160)</f>
        <v xml:space="preserve">m </v>
      </c>
      <c r="Z160" s="385" t="str">
        <f t="shared" si="49"/>
        <v>M</v>
      </c>
      <c r="AA160" s="385" t="str">
        <f t="shared" si="50"/>
        <v>R</v>
      </c>
      <c r="AB160" s="385" t="str">
        <f t="shared" si="51"/>
        <v>MR</v>
      </c>
      <c r="AC160" s="323" t="str">
        <f t="shared" si="52"/>
        <v xml:space="preserve">Nm </v>
      </c>
      <c r="AD160" s="323" t="str">
        <f t="shared" si="53"/>
        <v>N_R</v>
      </c>
      <c r="AE160" s="323">
        <f>IF(Y160="cm", 1,0)</f>
        <v>0</v>
      </c>
      <c r="AF160" s="369" t="str">
        <f t="shared" si="54"/>
        <v xml:space="preserve">127.1-Nm </v>
      </c>
      <c r="AG160" s="369" t="str">
        <f t="shared" si="55"/>
        <v>127.1-N_R</v>
      </c>
      <c r="AH160" s="344">
        <f>IF(coder1_YH!R160="",AH159,coder1_YH!R160)</f>
        <v>7</v>
      </c>
      <c r="AI160" s="344">
        <f t="shared" si="39"/>
        <v>7</v>
      </c>
      <c r="AJ160" s="345">
        <f t="shared" si="56"/>
        <v>1</v>
      </c>
      <c r="AK160" s="408">
        <f>IF(coder1_YH!S160="",AK159,coder1_YH!S160)</f>
        <v>12.5</v>
      </c>
      <c r="AL160" s="345">
        <f>IF(coder1_YH!T160="",AL159,IF(coder1_YH!T160="mixed",0.25,coder1_YH!T160))</f>
        <v>0.25</v>
      </c>
      <c r="AM160" s="345" t="str">
        <f>IF(coder1_YH!U160 = "", AM159, IF(coder1_YH!U160="mixed","NA",coder1_YH!U160))</f>
        <v>NA</v>
      </c>
      <c r="AN160" s="345">
        <f>IF(coder1_YH!V160="",AN159,coder1_YH!V160)</f>
        <v>0.66200000000000003</v>
      </c>
      <c r="AO160" s="345" t="str">
        <f>IF(coder1_YH!W160="",AO159,coder1_YH!W160)</f>
        <v>NA</v>
      </c>
      <c r="AP160" s="345" t="str">
        <f>IF(coder1_YH!X160="",AP159,coder1_YH!X160)</f>
        <v>NA</v>
      </c>
      <c r="AQ160" s="345">
        <f>IF(coder1_YH!Y160="",AQ159,coder1_YH!Y160)</f>
        <v>0.85000000000000009</v>
      </c>
      <c r="AR160" t="str">
        <f>coder1_YH!AB160</f>
        <v>0 = Researcher-developed/adapted curriculum</v>
      </c>
      <c r="AS160" s="345" t="str">
        <f>IF(coder1_YH!AC160 = "", AS159,IF(coder1_YH!AC160="BAU","BAU",LEFT(coder1_YH!AC160)))</f>
        <v>0</v>
      </c>
      <c r="AT160" s="345" t="str">
        <f>IF(coder1_YH!AD160 = "", AT159,IF(coder1_YH!AD160="BAU","BAU",LEFT(coder1_YH!AD160)))</f>
        <v>0</v>
      </c>
      <c r="AU160" s="345" t="str">
        <f>IF(coder1_YH!AE160 = "", AU159,IF(coder1_YH!AE160="BAU","BAU",LEFT(coder1_YH!AE160)))</f>
        <v>1</v>
      </c>
      <c r="AV160" s="345">
        <f>IF(coder1_YH!AF160="",AV159,coder1_YH!AF160)</f>
        <v>6800</v>
      </c>
      <c r="AW160" s="345">
        <f t="shared" si="57"/>
        <v>113.33333333333333</v>
      </c>
      <c r="AX160" s="345">
        <f>IF(coder1_YH!AG160="",AX159,coder1_YH!AG160)</f>
        <v>160</v>
      </c>
      <c r="AY160" s="345">
        <f>IF(coder1_YH!AH160="",AY159,coder1_YH!AH160)</f>
        <v>42.5</v>
      </c>
      <c r="AZ160" s="345" t="str">
        <f>IF(coder1_YH!AI160 = "", AZ159, IF(coder1_YH!AI160="BAU","BAU",LEFT(coder1_YH!AI160)))</f>
        <v>1</v>
      </c>
      <c r="BA160" s="384">
        <f>clean_data!Y160</f>
        <v>58</v>
      </c>
    </row>
    <row r="161" spans="1:53" x14ac:dyDescent="0.2">
      <c r="A161">
        <f>coder1_YH!B161</f>
        <v>0</v>
      </c>
      <c r="B161">
        <f>coder1_YH!C161</f>
        <v>161</v>
      </c>
      <c r="C161">
        <f>coder1_YH!D161</f>
        <v>0</v>
      </c>
      <c r="D161" t="str">
        <f>coder1_YH!E161</f>
        <v/>
      </c>
      <c r="E161" t="b">
        <f>coder1_YH!F161</f>
        <v>1</v>
      </c>
      <c r="F161" s="321" t="str">
        <f>IF(coder1_YH!G161="", clean_mod!F160, coder1_YH!G161)</f>
        <v>Little et al. 2014</v>
      </c>
      <c r="G161" s="321" t="str">
        <f t="shared" si="40"/>
        <v>127</v>
      </c>
      <c r="H161" s="321">
        <f>IF(coder1_YH!H161="", clean_mod!H160, coder1_YH!H161)</f>
        <v>127.10000000000005</v>
      </c>
      <c r="I161" s="404" t="str">
        <f t="shared" si="41"/>
        <v>2014</v>
      </c>
      <c r="J161" s="344" t="str">
        <f>IF(coder1_YH!I161="",J160,coder1_YH!I161)</f>
        <v>USA</v>
      </c>
      <c r="K161" s="345">
        <f t="shared" si="42"/>
        <v>0</v>
      </c>
      <c r="L161" s="344" t="str">
        <f>IF(coder1_YH!J161 = "",L160, coder1_YH!J161)</f>
        <v>English</v>
      </c>
      <c r="M161" s="345">
        <f t="shared" si="43"/>
        <v>0</v>
      </c>
      <c r="N161" s="345" t="str">
        <f>IF(coder1_YH!K161 = "", N160, LEFT(coder1_YH!K161,1))</f>
        <v>0</v>
      </c>
      <c r="O161" s="345" t="str">
        <f>IF(coder1_YH!L161 = "", O160, LEFT(coder1_YH!L161,1))</f>
        <v>0</v>
      </c>
      <c r="P161" s="345" t="str">
        <f>IF(coder1_YH!M161 = "", P160, LEFT(coder1_YH!M161,1))</f>
        <v>0</v>
      </c>
      <c r="Q161" s="321" t="str">
        <f>coder1_YH!P161</f>
        <v>ctl</v>
      </c>
      <c r="R161" s="321" t="str">
        <f>coder1_YH!Q161</f>
        <v>Control, North G7</v>
      </c>
      <c r="S161" s="323" t="str">
        <f t="shared" si="44"/>
        <v/>
      </c>
      <c r="T161" s="323" t="str">
        <f t="shared" si="45"/>
        <v/>
      </c>
      <c r="U161" s="323" t="str">
        <f t="shared" si="46"/>
        <v/>
      </c>
      <c r="V161" s="323" t="str">
        <f t="shared" si="47"/>
        <v/>
      </c>
      <c r="W161" s="323">
        <f t="shared" si="48"/>
        <v>0</v>
      </c>
      <c r="X161" s="385" t="str">
        <f>IF(coder1_YH!N161 = "",X160,coder1_YH!N161)</f>
        <v>.</v>
      </c>
      <c r="Y161" s="385" t="str">
        <f>IF(coder1_YH!O161 = "",Y160,coder1_YH!O161)</f>
        <v xml:space="preserve">m </v>
      </c>
      <c r="Z161" s="385" t="str">
        <f t="shared" si="49"/>
        <v/>
      </c>
      <c r="AA161" s="385" t="str">
        <f t="shared" si="50"/>
        <v>R</v>
      </c>
      <c r="AB161" s="385" t="str">
        <f t="shared" si="51"/>
        <v>R</v>
      </c>
      <c r="AC161" s="323" t="str">
        <f t="shared" si="52"/>
        <v xml:space="preserve">.m </v>
      </c>
      <c r="AD161" s="323" t="str">
        <f t="shared" si="53"/>
        <v>R</v>
      </c>
      <c r="AF161" s="369" t="str">
        <f t="shared" si="54"/>
        <v xml:space="preserve">127.1-.m </v>
      </c>
      <c r="AG161" s="369" t="str">
        <f t="shared" si="55"/>
        <v>127.1-R</v>
      </c>
      <c r="AH161" s="344">
        <f>IF(coder1_YH!R161="",AH160,coder1_YH!R161)</f>
        <v>7</v>
      </c>
      <c r="AI161" s="344">
        <f t="shared" si="39"/>
        <v>7</v>
      </c>
      <c r="AJ161" s="345">
        <f t="shared" si="56"/>
        <v>1</v>
      </c>
      <c r="AK161" s="408">
        <f>IF(coder1_YH!S161="",AK160,coder1_YH!S161)</f>
        <v>12.5</v>
      </c>
      <c r="AL161" s="345">
        <f>IF(coder1_YH!T161="",AL160,IF(coder1_YH!T161="mixed",0.25,coder1_YH!T161))</f>
        <v>0.25</v>
      </c>
      <c r="AM161" s="345" t="str">
        <f>IF(coder1_YH!U161 = "", AM160, IF(coder1_YH!U161="mixed","NA",coder1_YH!U161))</f>
        <v>NA</v>
      </c>
      <c r="AN161" s="345">
        <f>IF(coder1_YH!V161="",AN160,coder1_YH!V161)</f>
        <v>0.66200000000000003</v>
      </c>
      <c r="AO161" s="345" t="str">
        <f>IF(coder1_YH!W161="",AO160,coder1_YH!W161)</f>
        <v>NA</v>
      </c>
      <c r="AP161" s="345" t="str">
        <f>IF(coder1_YH!X161="",AP160,coder1_YH!X161)</f>
        <v>NA</v>
      </c>
      <c r="AQ161" s="345">
        <f>IF(coder1_YH!Y161="",AQ160,coder1_YH!Y161)</f>
        <v>0.85000000000000009</v>
      </c>
      <c r="AR161" t="str">
        <f>coder1_YH!AB161</f>
        <v>2 = District/State curriculum</v>
      </c>
      <c r="AS161" s="345" t="str">
        <f>IF(coder1_YH!AC161 = "", AS160,IF(coder1_YH!AC161="BAU","BAU",LEFT(coder1_YH!AC161)))</f>
        <v>BAU</v>
      </c>
      <c r="AT161" s="345" t="str">
        <f>IF(coder1_YH!AD161 = "", AT160,IF(coder1_YH!AD161="BAU","BAU",LEFT(coder1_YH!AD161)))</f>
        <v>BAU</v>
      </c>
      <c r="AU161" s="345" t="str">
        <f>IF(coder1_YH!AE161 = "", AU160,IF(coder1_YH!AE161="BAU","BAU",LEFT(coder1_YH!AE161)))</f>
        <v>BAU</v>
      </c>
      <c r="AV161" s="345" t="str">
        <f>IF(coder1_YH!AF161="",AV160,coder1_YH!AF161)</f>
        <v>BAU</v>
      </c>
      <c r="AW161" s="345" t="str">
        <f t="shared" si="57"/>
        <v>BAU</v>
      </c>
      <c r="AX161" s="345" t="str">
        <f>IF(coder1_YH!AG161="",AX160,coder1_YH!AG161)</f>
        <v>BAU</v>
      </c>
      <c r="AY161" s="345" t="str">
        <f>IF(coder1_YH!AH161="",AY160,coder1_YH!AH161)</f>
        <v>BAU</v>
      </c>
      <c r="AZ161" s="345" t="str">
        <f>IF(coder1_YH!AI161 = "", AZ160, IF(coder1_YH!AI161="BAU","BAU",LEFT(coder1_YH!AI161)))</f>
        <v>BAU</v>
      </c>
      <c r="BA161" s="384">
        <f>clean_data!Y161</f>
        <v>53</v>
      </c>
    </row>
    <row r="162" spans="1:53" x14ac:dyDescent="0.2">
      <c r="A162">
        <f>coder1_YH!B162</f>
        <v>0</v>
      </c>
      <c r="B162">
        <f>coder1_YH!C162</f>
        <v>162</v>
      </c>
      <c r="C162">
        <f>coder1_YH!D162</f>
        <v>0</v>
      </c>
      <c r="D162" t="b">
        <f>coder1_YH!E162</f>
        <v>1</v>
      </c>
      <c r="E162" t="b">
        <f>coder1_YH!F162</f>
        <v>1</v>
      </c>
      <c r="F162" s="321" t="str">
        <f>IF(coder1_YH!G162="", clean_mod!F161, coder1_YH!G162)</f>
        <v>Little et al. 2014</v>
      </c>
      <c r="G162" s="321" t="str">
        <f t="shared" si="40"/>
        <v>127</v>
      </c>
      <c r="H162" s="321">
        <f>IF(coder1_YH!H162="", clean_mod!H161, coder1_YH!H162)</f>
        <v>127.11000000000006</v>
      </c>
      <c r="I162" s="404" t="str">
        <f t="shared" si="41"/>
        <v>2014</v>
      </c>
      <c r="J162" s="344" t="str">
        <f>IF(coder1_YH!I162="",J161,coder1_YH!I162)</f>
        <v>USA</v>
      </c>
      <c r="K162" s="345">
        <f t="shared" si="42"/>
        <v>0</v>
      </c>
      <c r="L162" s="344" t="str">
        <f>IF(coder1_YH!J162 = "",L161, coder1_YH!J162)</f>
        <v>English</v>
      </c>
      <c r="M162" s="345">
        <f t="shared" si="43"/>
        <v>0</v>
      </c>
      <c r="N162" s="345" t="str">
        <f>IF(coder1_YH!K162 = "", N161, LEFT(coder1_YH!K162,1))</f>
        <v>0</v>
      </c>
      <c r="O162" s="345" t="str">
        <f>IF(coder1_YH!L162 = "", O161, LEFT(coder1_YH!L162,1))</f>
        <v>0</v>
      </c>
      <c r="P162" s="345" t="str">
        <f>IF(coder1_YH!M162 = "", P161, LEFT(coder1_YH!M162,1))</f>
        <v>0</v>
      </c>
      <c r="Q162" s="321">
        <f>coder1_YH!P162</f>
        <v>1</v>
      </c>
      <c r="R162" s="321" t="str">
        <f>coder1_YH!Q162</f>
        <v>SEM-R,   North, G8</v>
      </c>
      <c r="S162" s="323" t="str">
        <f t="shared" si="44"/>
        <v>N</v>
      </c>
      <c r="T162" s="323" t="str">
        <f t="shared" si="45"/>
        <v/>
      </c>
      <c r="U162" s="323" t="str">
        <f t="shared" si="46"/>
        <v/>
      </c>
      <c r="V162" s="323" t="str">
        <f t="shared" si="47"/>
        <v/>
      </c>
      <c r="W162" s="323">
        <f t="shared" si="48"/>
        <v>1</v>
      </c>
      <c r="X162" s="385" t="str">
        <f>IF(coder1_YH!N162 = "",X161,coder1_YH!N162)</f>
        <v>N</v>
      </c>
      <c r="Y162" s="385" t="str">
        <f>IF(coder1_YH!O162 = "",Y161,coder1_YH!O162)</f>
        <v xml:space="preserve">m </v>
      </c>
      <c r="Z162" s="385" t="str">
        <f t="shared" si="49"/>
        <v>M</v>
      </c>
      <c r="AA162" s="385" t="str">
        <f t="shared" si="50"/>
        <v>R</v>
      </c>
      <c r="AB162" s="385" t="str">
        <f t="shared" si="51"/>
        <v>MR</v>
      </c>
      <c r="AC162" s="323" t="str">
        <f t="shared" si="52"/>
        <v xml:space="preserve">Nm </v>
      </c>
      <c r="AD162" s="323" t="str">
        <f t="shared" si="53"/>
        <v>N_R</v>
      </c>
      <c r="AE162" s="323">
        <f>IF(Y162="cm", 1,0)</f>
        <v>0</v>
      </c>
      <c r="AF162" s="369" t="str">
        <f t="shared" si="54"/>
        <v xml:space="preserve">127.11-Nm </v>
      </c>
      <c r="AG162" s="369" t="str">
        <f t="shared" si="55"/>
        <v>127.11-N_R</v>
      </c>
      <c r="AH162" s="344">
        <f>IF(coder1_YH!R162="",AH161,coder1_YH!R162)</f>
        <v>8</v>
      </c>
      <c r="AI162" s="344">
        <f t="shared" si="39"/>
        <v>8</v>
      </c>
      <c r="AJ162" s="345">
        <f t="shared" si="56"/>
        <v>1</v>
      </c>
      <c r="AK162" s="408">
        <f>IF(coder1_YH!S162="",AK161,coder1_YH!S162)</f>
        <v>13.5</v>
      </c>
      <c r="AL162" s="345">
        <f>IF(coder1_YH!T162="",AL161,IF(coder1_YH!T162="mixed",0.25,coder1_YH!T162))</f>
        <v>0.25</v>
      </c>
      <c r="AM162" s="345" t="str">
        <f>IF(coder1_YH!U162 = "", AM161, IF(coder1_YH!U162="mixed","NA",coder1_YH!U162))</f>
        <v>NA</v>
      </c>
      <c r="AN162" s="345">
        <f>IF(coder1_YH!V162="",AN161,coder1_YH!V162)</f>
        <v>0.66200000000000003</v>
      </c>
      <c r="AO162" s="345" t="str">
        <f>IF(coder1_YH!W162="",AO161,coder1_YH!W162)</f>
        <v>NA</v>
      </c>
      <c r="AP162" s="345" t="str">
        <f>IF(coder1_YH!X162="",AP161,coder1_YH!X162)</f>
        <v>NA</v>
      </c>
      <c r="AQ162" s="345">
        <f>IF(coder1_YH!Y162="",AQ161,coder1_YH!Y162)</f>
        <v>0.85000000000000009</v>
      </c>
      <c r="AR162" t="str">
        <f>coder1_YH!AB162</f>
        <v>0 = Researcher-developed/adapted curriculum</v>
      </c>
      <c r="AS162" s="345" t="str">
        <f>IF(coder1_YH!AC162 = "", AS161,IF(coder1_YH!AC162="BAU","BAU",LEFT(coder1_YH!AC162)))</f>
        <v>0</v>
      </c>
      <c r="AT162" s="345" t="str">
        <f>IF(coder1_YH!AD162 = "", AT161,IF(coder1_YH!AD162="BAU","BAU",LEFT(coder1_YH!AD162)))</f>
        <v>0</v>
      </c>
      <c r="AU162" s="345" t="str">
        <f>IF(coder1_YH!AE162 = "", AU161,IF(coder1_YH!AE162="BAU","BAU",LEFT(coder1_YH!AE162)))</f>
        <v>1</v>
      </c>
      <c r="AV162" s="345">
        <f>IF(coder1_YH!AF162="",AV161,coder1_YH!AF162)</f>
        <v>6800</v>
      </c>
      <c r="AW162" s="345">
        <f t="shared" si="57"/>
        <v>113.33333333333333</v>
      </c>
      <c r="AX162" s="345">
        <f>IF(coder1_YH!AG162="",AX161,coder1_YH!AG162)</f>
        <v>160</v>
      </c>
      <c r="AY162" s="345">
        <f>IF(coder1_YH!AH162="",AY161,coder1_YH!AH162)</f>
        <v>42.5</v>
      </c>
      <c r="AZ162" s="345" t="str">
        <f>IF(coder1_YH!AI162 = "", AZ161, IF(coder1_YH!AI162="BAU","BAU",LEFT(coder1_YH!AI162)))</f>
        <v>1</v>
      </c>
      <c r="BA162" s="384">
        <f>clean_data!Y162</f>
        <v>56</v>
      </c>
    </row>
    <row r="163" spans="1:53" x14ac:dyDescent="0.2">
      <c r="A163">
        <f>coder1_YH!B163</f>
        <v>0</v>
      </c>
      <c r="B163">
        <f>coder1_YH!C163</f>
        <v>163</v>
      </c>
      <c r="C163">
        <f>coder1_YH!D163</f>
        <v>0</v>
      </c>
      <c r="D163" t="str">
        <f>coder1_YH!E163</f>
        <v/>
      </c>
      <c r="E163" t="b">
        <f>coder1_YH!F163</f>
        <v>1</v>
      </c>
      <c r="F163" s="321" t="str">
        <f>IF(coder1_YH!G163="", clean_mod!F162, coder1_YH!G163)</f>
        <v>Little et al. 2014</v>
      </c>
      <c r="G163" s="321" t="str">
        <f t="shared" si="40"/>
        <v>127</v>
      </c>
      <c r="H163" s="321">
        <f>IF(coder1_YH!H163="", clean_mod!H162, coder1_YH!H163)</f>
        <v>127.11000000000006</v>
      </c>
      <c r="I163" s="404" t="str">
        <f t="shared" si="41"/>
        <v>2014</v>
      </c>
      <c r="J163" s="344" t="str">
        <f>IF(coder1_YH!I163="",J162,coder1_YH!I163)</f>
        <v>USA</v>
      </c>
      <c r="K163" s="345">
        <f t="shared" si="42"/>
        <v>0</v>
      </c>
      <c r="L163" s="344" t="str">
        <f>IF(coder1_YH!J163 = "",L162, coder1_YH!J163)</f>
        <v>English</v>
      </c>
      <c r="M163" s="345">
        <f t="shared" si="43"/>
        <v>0</v>
      </c>
      <c r="N163" s="345" t="str">
        <f>IF(coder1_YH!K163 = "", N162, LEFT(coder1_YH!K163,1))</f>
        <v>0</v>
      </c>
      <c r="O163" s="345" t="str">
        <f>IF(coder1_YH!L163 = "", O162, LEFT(coder1_YH!L163,1))</f>
        <v>0</v>
      </c>
      <c r="P163" s="345" t="str">
        <f>IF(coder1_YH!M163 = "", P162, LEFT(coder1_YH!M163,1))</f>
        <v>0</v>
      </c>
      <c r="Q163" s="321" t="str">
        <f>coder1_YH!P163</f>
        <v>ctl</v>
      </c>
      <c r="R163" s="321" t="str">
        <f>coder1_YH!Q163</f>
        <v>Control, North, G8</v>
      </c>
      <c r="S163" s="323" t="str">
        <f t="shared" si="44"/>
        <v/>
      </c>
      <c r="T163" s="323" t="str">
        <f t="shared" si="45"/>
        <v/>
      </c>
      <c r="U163" s="323" t="str">
        <f t="shared" si="46"/>
        <v/>
      </c>
      <c r="V163" s="323" t="str">
        <f t="shared" si="47"/>
        <v/>
      </c>
      <c r="W163" s="323">
        <f t="shared" si="48"/>
        <v>0</v>
      </c>
      <c r="X163" s="385" t="str">
        <f>IF(coder1_YH!N163 = "",X162,coder1_YH!N163)</f>
        <v>.</v>
      </c>
      <c r="Y163" s="385" t="str">
        <f>IF(coder1_YH!O163 = "",Y162,coder1_YH!O163)</f>
        <v xml:space="preserve">m </v>
      </c>
      <c r="Z163" s="385" t="str">
        <f t="shared" si="49"/>
        <v/>
      </c>
      <c r="AA163" s="385" t="str">
        <f t="shared" si="50"/>
        <v>R</v>
      </c>
      <c r="AB163" s="385" t="str">
        <f t="shared" si="51"/>
        <v>R</v>
      </c>
      <c r="AC163" s="323" t="str">
        <f t="shared" si="52"/>
        <v xml:space="preserve">.m </v>
      </c>
      <c r="AD163" s="323" t="str">
        <f t="shared" si="53"/>
        <v>R</v>
      </c>
      <c r="AF163" s="369" t="str">
        <f t="shared" si="54"/>
        <v xml:space="preserve">127.11-.m </v>
      </c>
      <c r="AG163" s="369" t="str">
        <f t="shared" si="55"/>
        <v>127.11-R</v>
      </c>
      <c r="AH163" s="344">
        <f>IF(coder1_YH!R163="",AH162,coder1_YH!R163)</f>
        <v>8</v>
      </c>
      <c r="AI163" s="344">
        <f t="shared" si="39"/>
        <v>8</v>
      </c>
      <c r="AJ163" s="345">
        <f t="shared" si="56"/>
        <v>1</v>
      </c>
      <c r="AK163" s="408">
        <f>IF(coder1_YH!S163="",AK162,coder1_YH!S163)</f>
        <v>13.5</v>
      </c>
      <c r="AL163" s="345">
        <f>IF(coder1_YH!T163="",AL162,IF(coder1_YH!T163="mixed",0.25,coder1_YH!T163))</f>
        <v>0.25</v>
      </c>
      <c r="AM163" s="345" t="str">
        <f>IF(coder1_YH!U163 = "", AM162, IF(coder1_YH!U163="mixed","NA",coder1_YH!U163))</f>
        <v>NA</v>
      </c>
      <c r="AN163" s="345">
        <f>IF(coder1_YH!V163="",AN162,coder1_YH!V163)</f>
        <v>0.66200000000000003</v>
      </c>
      <c r="AO163" s="345" t="str">
        <f>IF(coder1_YH!W163="",AO162,coder1_YH!W163)</f>
        <v>NA</v>
      </c>
      <c r="AP163" s="345" t="str">
        <f>IF(coder1_YH!X163="",AP162,coder1_YH!X163)</f>
        <v>NA</v>
      </c>
      <c r="AQ163" s="345">
        <f>IF(coder1_YH!Y163="",AQ162,coder1_YH!Y163)</f>
        <v>0.85000000000000009</v>
      </c>
      <c r="AR163" t="str">
        <f>coder1_YH!AB163</f>
        <v>2 = District/State curriculum</v>
      </c>
      <c r="AS163" s="345" t="str">
        <f>IF(coder1_YH!AC163 = "", AS162,IF(coder1_YH!AC163="BAU","BAU",LEFT(coder1_YH!AC163)))</f>
        <v>BAU</v>
      </c>
      <c r="AT163" s="345" t="str">
        <f>IF(coder1_YH!AD163 = "", AT162,IF(coder1_YH!AD163="BAU","BAU",LEFT(coder1_YH!AD163)))</f>
        <v>BAU</v>
      </c>
      <c r="AU163" s="345" t="str">
        <f>IF(coder1_YH!AE163 = "", AU162,IF(coder1_YH!AE163="BAU","BAU",LEFT(coder1_YH!AE163)))</f>
        <v>BAU</v>
      </c>
      <c r="AV163" s="345" t="str">
        <f>IF(coder1_YH!AF163="",AV162,coder1_YH!AF163)</f>
        <v>BAU</v>
      </c>
      <c r="AW163" s="345" t="str">
        <f t="shared" si="57"/>
        <v>BAU</v>
      </c>
      <c r="AX163" s="345" t="str">
        <f>IF(coder1_YH!AG163="",AX162,coder1_YH!AG163)</f>
        <v>BAU</v>
      </c>
      <c r="AY163" s="345" t="str">
        <f>IF(coder1_YH!AH163="",AY162,coder1_YH!AH163)</f>
        <v>BAU</v>
      </c>
      <c r="AZ163" s="345" t="str">
        <f>IF(coder1_YH!AI163 = "", AZ162, IF(coder1_YH!AI163="BAU","BAU",LEFT(coder1_YH!AI163)))</f>
        <v>BAU</v>
      </c>
      <c r="BA163" s="384">
        <f>clean_data!Y163</f>
        <v>55</v>
      </c>
    </row>
    <row r="164" spans="1:53" x14ac:dyDescent="0.2">
      <c r="A164">
        <f>coder1_YH!B164</f>
        <v>0</v>
      </c>
      <c r="B164">
        <f>coder1_YH!C164</f>
        <v>164</v>
      </c>
      <c r="C164" t="b">
        <f>coder1_YH!D164</f>
        <v>1</v>
      </c>
      <c r="D164" t="b">
        <f>coder1_YH!E164</f>
        <v>1</v>
      </c>
      <c r="E164" t="b">
        <f>coder1_YH!F164</f>
        <v>1</v>
      </c>
      <c r="F164" s="321" t="str">
        <f>IF(coder1_YH!G164="", clean_mod!F163, coder1_YH!G164)</f>
        <v>Guthrie &amp; Klauda, 2014</v>
      </c>
      <c r="G164" s="321" t="str">
        <f t="shared" si="40"/>
        <v>128</v>
      </c>
      <c r="H164" s="321">
        <f>IF(coder1_YH!H164="", clean_mod!H163, coder1_YH!H164)</f>
        <v>128</v>
      </c>
      <c r="I164" s="404" t="str">
        <f t="shared" si="41"/>
        <v>2014</v>
      </c>
      <c r="J164" s="344" t="str">
        <f>IF(coder1_YH!I164="",J163,coder1_YH!I164)</f>
        <v>USA</v>
      </c>
      <c r="K164" s="345">
        <f t="shared" si="42"/>
        <v>0</v>
      </c>
      <c r="L164" s="344" t="str">
        <f>IF(coder1_YH!J164 = "",L163, coder1_YH!J164)</f>
        <v>English</v>
      </c>
      <c r="M164" s="345">
        <f t="shared" si="43"/>
        <v>0</v>
      </c>
      <c r="N164" s="345" t="str">
        <f>IF(coder1_YH!K164 = "", N163, LEFT(coder1_YH!K164,1))</f>
        <v>0</v>
      </c>
      <c r="O164" s="345" t="str">
        <f>IF(coder1_YH!L164 = "", O163, LEFT(coder1_YH!L164,1))</f>
        <v>0</v>
      </c>
      <c r="P164" s="345" t="str">
        <f>IF(coder1_YH!M164 = "", P163, LEFT(coder1_YH!M164,1))</f>
        <v>1</v>
      </c>
      <c r="Q164" s="321">
        <f>coder1_YH!P164</f>
        <v>1</v>
      </c>
      <c r="R164" s="321" t="str">
        <f>coder1_YH!Q164</f>
        <v>CORI (time 1-2)</v>
      </c>
      <c r="S164" s="323" t="str">
        <f t="shared" si="44"/>
        <v>N</v>
      </c>
      <c r="T164" s="323" t="str">
        <f t="shared" si="45"/>
        <v>V</v>
      </c>
      <c r="U164" s="323" t="str">
        <f t="shared" si="46"/>
        <v/>
      </c>
      <c r="V164" s="323" t="str">
        <f t="shared" si="47"/>
        <v/>
      </c>
      <c r="W164" s="323">
        <f t="shared" si="48"/>
        <v>2</v>
      </c>
      <c r="X164" s="385" t="str">
        <f>IF(coder1_YH!N164 = "",X163,coder1_YH!N164)</f>
        <v>NV</v>
      </c>
      <c r="Y164" s="385" t="str">
        <f>IF(coder1_YH!O164 = "",Y163,coder1_YH!O164)</f>
        <v>cm</v>
      </c>
      <c r="Z164" s="385" t="str">
        <f t="shared" si="49"/>
        <v>M</v>
      </c>
      <c r="AA164" s="385" t="str">
        <f t="shared" si="50"/>
        <v>R</v>
      </c>
      <c r="AB164" s="385" t="str">
        <f t="shared" si="51"/>
        <v>MR</v>
      </c>
      <c r="AC164" s="323" t="str">
        <f t="shared" si="52"/>
        <v>NVcm</v>
      </c>
      <c r="AD164" s="323" t="str">
        <f t="shared" si="53"/>
        <v>NV_R</v>
      </c>
      <c r="AE164" s="323">
        <f>IF(Y164="cm", 1,0)</f>
        <v>1</v>
      </c>
      <c r="AF164" s="369" t="str">
        <f t="shared" si="54"/>
        <v>128-NVcm</v>
      </c>
      <c r="AG164" s="369" t="str">
        <f t="shared" si="55"/>
        <v>128-NV_R</v>
      </c>
      <c r="AH164" s="344">
        <f>IF(coder1_YH!R164="",AH163,coder1_YH!R164)</f>
        <v>7</v>
      </c>
      <c r="AI164" s="344">
        <f t="shared" si="39"/>
        <v>7</v>
      </c>
      <c r="AJ164" s="345">
        <f t="shared" si="56"/>
        <v>1</v>
      </c>
      <c r="AK164" s="408">
        <f>IF(coder1_YH!S164="",AK163,coder1_YH!S164)</f>
        <v>12.5</v>
      </c>
      <c r="AL164" s="345">
        <f>IF(coder1_YH!T164="",AL163,IF(coder1_YH!T164="mixed",0.25,coder1_YH!T164))</f>
        <v>0.25</v>
      </c>
      <c r="AM164" s="345" t="str">
        <f>IF(coder1_YH!U164 = "", AM163, IF(coder1_YH!U164="mixed","NA",coder1_YH!U164))</f>
        <v>NA</v>
      </c>
      <c r="AN164" s="345">
        <f>IF(coder1_YH!V164="",AN163,coder1_YH!V164)</f>
        <v>0.20300000000000001</v>
      </c>
      <c r="AO164" s="345">
        <f>IF(coder1_YH!W164="",AO163,coder1_YH!W164)</f>
        <v>0.01</v>
      </c>
      <c r="AP164" s="345">
        <f>IF(coder1_YH!X164="",AP163,coder1_YH!X164)</f>
        <v>0.47</v>
      </c>
      <c r="AQ164" s="345">
        <f>IF(coder1_YH!Y164="",AQ163,coder1_YH!Y164)</f>
        <v>0.21099999999999997</v>
      </c>
      <c r="AR164" t="str">
        <f>coder1_YH!AB164</f>
        <v>0 = Researcher-developed/adapted curriculum</v>
      </c>
      <c r="AS164" s="345" t="str">
        <f>IF(coder1_YH!AC164 = "", AS163,IF(coder1_YH!AC164="BAU","BAU",LEFT(coder1_YH!AC164)))</f>
        <v>0</v>
      </c>
      <c r="AT164" s="345" t="str">
        <f>IF(coder1_YH!AD164 = "", AT163,IF(coder1_YH!AD164="BAU","BAU",LEFT(coder1_YH!AD164)))</f>
        <v>0</v>
      </c>
      <c r="AU164" s="345" t="str">
        <f>IF(coder1_YH!AE164 = "", AU163,IF(coder1_YH!AE164="BAU","BAU",LEFT(coder1_YH!AE164)))</f>
        <v>1</v>
      </c>
      <c r="AV164" s="345">
        <f>IF(coder1_YH!AF164="",AV163,coder1_YH!AF164)</f>
        <v>1800</v>
      </c>
      <c r="AW164" s="345">
        <f t="shared" si="57"/>
        <v>30</v>
      </c>
      <c r="AX164" s="345">
        <f>IF(coder1_YH!AG164="",AX163,coder1_YH!AG164)</f>
        <v>20</v>
      </c>
      <c r="AY164" s="345">
        <f>IF(coder1_YH!AH164="",AY163,coder1_YH!AH164)</f>
        <v>90</v>
      </c>
      <c r="AZ164" s="345" t="str">
        <f>IF(coder1_YH!AI164 = "", AZ163, IF(coder1_YH!AI164="BAU","BAU",LEFT(coder1_YH!AI164)))</f>
        <v>1</v>
      </c>
      <c r="BA164" s="384">
        <f>clean_data!Y164</f>
        <v>269</v>
      </c>
    </row>
    <row r="165" spans="1:53" x14ac:dyDescent="0.2">
      <c r="A165">
        <f>coder1_YH!B165</f>
        <v>0</v>
      </c>
      <c r="B165">
        <f>coder1_YH!C165</f>
        <v>165</v>
      </c>
      <c r="C165">
        <f>coder1_YH!D165</f>
        <v>0</v>
      </c>
      <c r="D165" t="str">
        <f>coder1_YH!E165</f>
        <v/>
      </c>
      <c r="E165" t="b">
        <f>coder1_YH!F165</f>
        <v>1</v>
      </c>
      <c r="F165" s="321" t="str">
        <f>IF(coder1_YH!G165="", clean_mod!F164, coder1_YH!G165)</f>
        <v>Guthrie &amp; Klauda, 2014</v>
      </c>
      <c r="G165" s="321" t="str">
        <f t="shared" si="40"/>
        <v>128</v>
      </c>
      <c r="H165" s="321">
        <f>IF(coder1_YH!H165="", clean_mod!H164, coder1_YH!H165)</f>
        <v>128</v>
      </c>
      <c r="I165" s="404" t="str">
        <f t="shared" si="41"/>
        <v>2014</v>
      </c>
      <c r="J165" s="344" t="str">
        <f>IF(coder1_YH!I165="",J164,coder1_YH!I165)</f>
        <v>USA</v>
      </c>
      <c r="K165" s="345">
        <f t="shared" si="42"/>
        <v>0</v>
      </c>
      <c r="L165" s="344" t="str">
        <f>IF(coder1_YH!J165 = "",L164, coder1_YH!J165)</f>
        <v>English</v>
      </c>
      <c r="M165" s="345">
        <f t="shared" si="43"/>
        <v>0</v>
      </c>
      <c r="N165" s="345" t="str">
        <f>IF(coder1_YH!K165 = "", N164, LEFT(coder1_YH!K165,1))</f>
        <v>0</v>
      </c>
      <c r="O165" s="345" t="str">
        <f>IF(coder1_YH!L165 = "", O164, LEFT(coder1_YH!L165,1))</f>
        <v>0</v>
      </c>
      <c r="P165" s="345" t="str">
        <f>IF(coder1_YH!M165 = "", P164, LEFT(coder1_YH!M165,1))</f>
        <v>1</v>
      </c>
      <c r="Q165" s="321" t="str">
        <f>coder1_YH!P165</f>
        <v>ctl</v>
      </c>
      <c r="R165" s="321" t="str">
        <f>coder1_YH!Q165</f>
        <v>TI (time 1-2)</v>
      </c>
      <c r="S165" s="323" t="str">
        <f t="shared" si="44"/>
        <v/>
      </c>
      <c r="T165" s="323" t="str">
        <f t="shared" si="45"/>
        <v/>
      </c>
      <c r="U165" s="323" t="str">
        <f t="shared" si="46"/>
        <v/>
      </c>
      <c r="V165" s="323" t="str">
        <f t="shared" si="47"/>
        <v/>
      </c>
      <c r="W165" s="323">
        <f t="shared" si="48"/>
        <v>0</v>
      </c>
      <c r="X165" s="385" t="str">
        <f>IF(coder1_YH!N165 = "",X164,coder1_YH!N165)</f>
        <v>.</v>
      </c>
      <c r="Y165" s="385" t="str">
        <f>IF(coder1_YH!O165 = "",Y164,coder1_YH!O165)</f>
        <v xml:space="preserve">m </v>
      </c>
      <c r="Z165" s="385" t="str">
        <f t="shared" si="49"/>
        <v/>
      </c>
      <c r="AA165" s="385" t="str">
        <f t="shared" si="50"/>
        <v>R</v>
      </c>
      <c r="AB165" s="385" t="str">
        <f t="shared" si="51"/>
        <v>R</v>
      </c>
      <c r="AC165" s="323" t="str">
        <f t="shared" si="52"/>
        <v xml:space="preserve">.m </v>
      </c>
      <c r="AD165" s="323" t="str">
        <f t="shared" si="53"/>
        <v>R</v>
      </c>
      <c r="AF165" s="369" t="str">
        <f t="shared" si="54"/>
        <v xml:space="preserve">128-.m </v>
      </c>
      <c r="AG165" s="369" t="str">
        <f t="shared" si="55"/>
        <v>128-R</v>
      </c>
      <c r="AH165" s="344">
        <f>IF(coder1_YH!R165="",AH164,coder1_YH!R165)</f>
        <v>7</v>
      </c>
      <c r="AI165" s="344">
        <f t="shared" si="39"/>
        <v>7</v>
      </c>
      <c r="AJ165" s="345">
        <f t="shared" si="56"/>
        <v>1</v>
      </c>
      <c r="AK165" s="408">
        <f>IF(coder1_YH!S165="",AK164,coder1_YH!S165)</f>
        <v>12.5</v>
      </c>
      <c r="AL165" s="345">
        <f>IF(coder1_YH!T165="",AL164,IF(coder1_YH!T165="mixed",0.25,coder1_YH!T165))</f>
        <v>0.25</v>
      </c>
      <c r="AM165" s="345" t="str">
        <f>IF(coder1_YH!U165 = "", AM164, IF(coder1_YH!U165="mixed","NA",coder1_YH!U165))</f>
        <v>NA</v>
      </c>
      <c r="AN165" s="345">
        <f>IF(coder1_YH!V165="",AN164,coder1_YH!V165)</f>
        <v>0.20300000000000001</v>
      </c>
      <c r="AO165" s="345">
        <f>IF(coder1_YH!W165="",AO164,coder1_YH!W165)</f>
        <v>0.01</v>
      </c>
      <c r="AP165" s="345">
        <f>IF(coder1_YH!X165="",AP164,coder1_YH!X165)</f>
        <v>0.47</v>
      </c>
      <c r="AQ165" s="345">
        <f>IF(coder1_YH!Y165="",AQ164,coder1_YH!Y165)</f>
        <v>0.21099999999999997</v>
      </c>
      <c r="AR165" t="str">
        <f>coder1_YH!AB165</f>
        <v>1 = Published/Commercially available curriculum</v>
      </c>
      <c r="AS165" s="345" t="str">
        <f>IF(coder1_YH!AC165 = "", AS164,IF(coder1_YH!AC165="BAU","BAU",LEFT(coder1_YH!AC165)))</f>
        <v>BAU</v>
      </c>
      <c r="AT165" s="345" t="str">
        <f>IF(coder1_YH!AD165 = "", AT164,IF(coder1_YH!AD165="BAU","BAU",LEFT(coder1_YH!AD165)))</f>
        <v>0</v>
      </c>
      <c r="AU165" s="345" t="str">
        <f>IF(coder1_YH!AE165 = "", AU164,IF(coder1_YH!AE165="BAU","BAU",LEFT(coder1_YH!AE165)))</f>
        <v>1</v>
      </c>
      <c r="AV165" s="345">
        <f>IF(coder1_YH!AF165="",AV164,coder1_YH!AF165)</f>
        <v>1800</v>
      </c>
      <c r="AW165" s="345">
        <f t="shared" si="57"/>
        <v>30</v>
      </c>
      <c r="AX165" s="345">
        <f>IF(coder1_YH!AG165="",AX164,coder1_YH!AG165)</f>
        <v>20</v>
      </c>
      <c r="AY165" s="345">
        <f>IF(coder1_YH!AH165="",AY164,coder1_YH!AH165)</f>
        <v>90</v>
      </c>
      <c r="AZ165" s="345" t="str">
        <f>IF(coder1_YH!AI165 = "", AZ164, IF(coder1_YH!AI165="BAU","BAU",LEFT(coder1_YH!AI165)))</f>
        <v>BAU</v>
      </c>
      <c r="BA165" s="384">
        <f>clean_data!Y165</f>
        <v>288</v>
      </c>
    </row>
    <row r="166" spans="1:53" x14ac:dyDescent="0.2">
      <c r="A166">
        <f>coder1_YH!B166</f>
        <v>0</v>
      </c>
      <c r="B166">
        <f>coder1_YH!C166</f>
        <v>166</v>
      </c>
      <c r="C166" t="b">
        <f>coder1_YH!D166</f>
        <v>1</v>
      </c>
      <c r="D166" t="b">
        <f>coder1_YH!E166</f>
        <v>1</v>
      </c>
      <c r="E166" t="b">
        <f>coder1_YH!F166</f>
        <v>1</v>
      </c>
      <c r="F166" s="321" t="str">
        <f>IF(coder1_YH!G166="", clean_mod!F165, coder1_YH!G166)</f>
        <v>Guthrie et al., 1998</v>
      </c>
      <c r="G166" s="321" t="str">
        <f t="shared" si="40"/>
        <v>129</v>
      </c>
      <c r="H166" s="321">
        <f>IF(coder1_YH!H166="", clean_mod!H165, coder1_YH!H166)</f>
        <v>129.1</v>
      </c>
      <c r="I166" s="404" t="str">
        <f t="shared" si="41"/>
        <v>1998</v>
      </c>
      <c r="J166" s="344" t="str">
        <f>IF(coder1_YH!I166="",J165,coder1_YH!I166)</f>
        <v>USA</v>
      </c>
      <c r="K166" s="345">
        <f t="shared" si="42"/>
        <v>0</v>
      </c>
      <c r="L166" s="344" t="str">
        <f>IF(coder1_YH!J166 = "",L165, coder1_YH!J166)</f>
        <v>English</v>
      </c>
      <c r="M166" s="345">
        <f t="shared" si="43"/>
        <v>0</v>
      </c>
      <c r="N166" s="345" t="str">
        <f>IF(coder1_YH!K166 = "", N165, LEFT(coder1_YH!K166,1))</f>
        <v>0</v>
      </c>
      <c r="O166" s="345" t="str">
        <f>IF(coder1_YH!L166 = "", O165, LEFT(coder1_YH!L166,1))</f>
        <v>0</v>
      </c>
      <c r="P166" s="345" t="str">
        <f>IF(coder1_YH!M166 = "", P165, LEFT(coder1_YH!M166,1))</f>
        <v>1</v>
      </c>
      <c r="Q166" s="321">
        <f>coder1_YH!P166</f>
        <v>1</v>
      </c>
      <c r="R166" s="321" t="str">
        <f>coder1_YH!Q166</f>
        <v>CORI (Grade3)</v>
      </c>
      <c r="S166" s="323" t="str">
        <f t="shared" si="44"/>
        <v>N</v>
      </c>
      <c r="T166" s="323" t="str">
        <f t="shared" si="45"/>
        <v/>
      </c>
      <c r="U166" s="323" t="str">
        <f t="shared" si="46"/>
        <v/>
      </c>
      <c r="V166" s="323" t="str">
        <f t="shared" si="47"/>
        <v/>
      </c>
      <c r="W166" s="323">
        <f t="shared" si="48"/>
        <v>1</v>
      </c>
      <c r="X166" s="385" t="str">
        <f>IF(coder1_YH!N166 = "",X165,coder1_YH!N166)</f>
        <v>N</v>
      </c>
      <c r="Y166" s="385" t="str">
        <f>IF(coder1_YH!O166 = "",Y165,coder1_YH!O166)</f>
        <v xml:space="preserve">m </v>
      </c>
      <c r="Z166" s="385" t="str">
        <f t="shared" si="49"/>
        <v>M</v>
      </c>
      <c r="AA166" s="385" t="str">
        <f t="shared" si="50"/>
        <v>R</v>
      </c>
      <c r="AB166" s="385" t="str">
        <f t="shared" si="51"/>
        <v>MR</v>
      </c>
      <c r="AC166" s="323" t="str">
        <f t="shared" si="52"/>
        <v xml:space="preserve">Nm </v>
      </c>
      <c r="AD166" s="323" t="str">
        <f t="shared" si="53"/>
        <v>N_R</v>
      </c>
      <c r="AE166" s="323">
        <f>IF(Y166="cm", 1,0)</f>
        <v>0</v>
      </c>
      <c r="AF166" s="369" t="str">
        <f t="shared" si="54"/>
        <v xml:space="preserve">129.1-Nm </v>
      </c>
      <c r="AG166" s="369" t="str">
        <f t="shared" si="55"/>
        <v>129.1-N_R</v>
      </c>
      <c r="AH166" s="344">
        <f>IF(coder1_YH!R166="",AH165,coder1_YH!R166)</f>
        <v>3</v>
      </c>
      <c r="AI166" s="344">
        <f t="shared" si="39"/>
        <v>3</v>
      </c>
      <c r="AJ166" s="345">
        <f t="shared" si="56"/>
        <v>0</v>
      </c>
      <c r="AK166" s="408">
        <f>IF(coder1_YH!S166="",AK165,coder1_YH!S166)</f>
        <v>8.5</v>
      </c>
      <c r="AL166" s="345">
        <f>IF(coder1_YH!T166="",AL165,IF(coder1_YH!T166="mixed",0.25,coder1_YH!T166))</f>
        <v>1</v>
      </c>
      <c r="AM166" s="345" t="str">
        <f>IF(coder1_YH!U166 = "", AM165, IF(coder1_YH!U166="mixed","NA",coder1_YH!U166))</f>
        <v>NA</v>
      </c>
      <c r="AN166" s="345" t="str">
        <f>IF(coder1_YH!V166="",AN165,coder1_YH!V166)</f>
        <v>NA</v>
      </c>
      <c r="AO166" s="345" t="str">
        <f>IF(coder1_YH!W166="",AO165,coder1_YH!W166)</f>
        <v>NA</v>
      </c>
      <c r="AP166" s="345">
        <f>IF(coder1_YH!X166="",AP165,coder1_YH!X166)</f>
        <v>0.5</v>
      </c>
      <c r="AQ166" s="345">
        <f>IF(coder1_YH!Y166="",AQ165,coder1_YH!Y166)</f>
        <v>0.78</v>
      </c>
      <c r="AR166" t="str">
        <f>coder1_YH!AB166</f>
        <v>0 = Researcher-developed/adapted curriculum</v>
      </c>
      <c r="AS166" s="345" t="str">
        <f>IF(coder1_YH!AC166 = "", AS165,IF(coder1_YH!AC166="BAU","BAU",LEFT(coder1_YH!AC166)))</f>
        <v>0</v>
      </c>
      <c r="AT166" s="345" t="str">
        <f>IF(coder1_YH!AD166 = "", AT165,IF(coder1_YH!AD166="BAU","BAU",LEFT(coder1_YH!AD166)))</f>
        <v>0</v>
      </c>
      <c r="AU166" s="345" t="str">
        <f>IF(coder1_YH!AE166 = "", AU165,IF(coder1_YH!AE166="BAU","BAU",LEFT(coder1_YH!AE166)))</f>
        <v>1</v>
      </c>
      <c r="AV166" s="345">
        <f>IF(coder1_YH!AF166="",AV165,coder1_YH!AF166)</f>
        <v>7650</v>
      </c>
      <c r="AW166" s="345">
        <f t="shared" si="57"/>
        <v>127.5</v>
      </c>
      <c r="AX166" s="345">
        <f>IF(coder1_YH!AG166="",AX165,coder1_YH!AG166)</f>
        <v>85</v>
      </c>
      <c r="AY166" s="345">
        <f>IF(coder1_YH!AH166="",AY165,coder1_YH!AH166)</f>
        <v>90</v>
      </c>
      <c r="AZ166" s="345" t="str">
        <f>IF(coder1_YH!AI166 = "", AZ165, IF(coder1_YH!AI166="BAU","BAU",LEFT(coder1_YH!AI166)))</f>
        <v>1</v>
      </c>
      <c r="BA166" s="384">
        <f>clean_data!Y166</f>
        <v>48</v>
      </c>
    </row>
    <row r="167" spans="1:53" x14ac:dyDescent="0.2">
      <c r="A167">
        <f>coder1_YH!B167</f>
        <v>0</v>
      </c>
      <c r="B167">
        <f>coder1_YH!C167</f>
        <v>167</v>
      </c>
      <c r="C167">
        <f>coder1_YH!D167</f>
        <v>0</v>
      </c>
      <c r="D167" t="str">
        <f>coder1_YH!E167</f>
        <v/>
      </c>
      <c r="E167" t="str">
        <f>coder1_YH!F167</f>
        <v/>
      </c>
      <c r="F167" s="321" t="str">
        <f>IF(coder1_YH!G167="", clean_mod!F166, coder1_YH!G167)</f>
        <v>Guthrie et al., 1998</v>
      </c>
      <c r="G167" s="321" t="str">
        <f t="shared" si="40"/>
        <v>129</v>
      </c>
      <c r="H167" s="321">
        <f>IF(coder1_YH!H167="", clean_mod!H166, coder1_YH!H167)</f>
        <v>129.1</v>
      </c>
      <c r="I167" s="404" t="str">
        <f t="shared" si="41"/>
        <v>1998</v>
      </c>
      <c r="J167" s="344" t="str">
        <f>IF(coder1_YH!I167="",J166,coder1_YH!I167)</f>
        <v>USA</v>
      </c>
      <c r="K167" s="345">
        <f t="shared" si="42"/>
        <v>0</v>
      </c>
      <c r="L167" s="344" t="str">
        <f>IF(coder1_YH!J167 = "",L166, coder1_YH!J167)</f>
        <v>English</v>
      </c>
      <c r="M167" s="345">
        <f t="shared" si="43"/>
        <v>0</v>
      </c>
      <c r="N167" s="345" t="str">
        <f>IF(coder1_YH!K167 = "", N166, LEFT(coder1_YH!K167,1))</f>
        <v>0</v>
      </c>
      <c r="O167" s="345" t="str">
        <f>IF(coder1_YH!L167 = "", O166, LEFT(coder1_YH!L167,1))</f>
        <v>0</v>
      </c>
      <c r="P167" s="345" t="str">
        <f>IF(coder1_YH!M167 = "", P166, LEFT(coder1_YH!M167,1))</f>
        <v>1</v>
      </c>
      <c r="Q167" s="321">
        <f>coder1_YH!P167</f>
        <v>0</v>
      </c>
      <c r="R167" s="321">
        <f>coder1_YH!Q167</f>
        <v>0</v>
      </c>
      <c r="S167" s="323" t="str">
        <f t="shared" si="44"/>
        <v>N</v>
      </c>
      <c r="T167" s="323" t="str">
        <f t="shared" si="45"/>
        <v/>
      </c>
      <c r="U167" s="323" t="str">
        <f t="shared" si="46"/>
        <v/>
      </c>
      <c r="V167" s="323" t="str">
        <f t="shared" si="47"/>
        <v/>
      </c>
      <c r="W167" s="323">
        <f t="shared" si="48"/>
        <v>1</v>
      </c>
      <c r="X167" s="385" t="str">
        <f>IF(coder1_YH!N167 = "",X166,coder1_YH!N167)</f>
        <v>N</v>
      </c>
      <c r="Y167" s="385" t="str">
        <f>IF(coder1_YH!O167 = "",Y166,coder1_YH!O167)</f>
        <v xml:space="preserve">m </v>
      </c>
      <c r="Z167" s="385" t="str">
        <f t="shared" si="49"/>
        <v>M</v>
      </c>
      <c r="AA167" s="385" t="str">
        <f t="shared" si="50"/>
        <v>R</v>
      </c>
      <c r="AB167" s="385" t="str">
        <f t="shared" si="51"/>
        <v>MR</v>
      </c>
      <c r="AC167" s="323" t="str">
        <f t="shared" si="52"/>
        <v xml:space="preserve">Nm </v>
      </c>
      <c r="AD167" s="323" t="str">
        <f t="shared" si="53"/>
        <v>N_R</v>
      </c>
      <c r="AF167" s="369" t="str">
        <f t="shared" si="54"/>
        <v xml:space="preserve">129.1-Nm </v>
      </c>
      <c r="AG167" s="369" t="str">
        <f t="shared" si="55"/>
        <v>129.1-N_R</v>
      </c>
      <c r="AH167" s="344">
        <f>IF(coder1_YH!R167="",AH166,coder1_YH!R167)</f>
        <v>3</v>
      </c>
      <c r="AI167" s="344">
        <f t="shared" si="39"/>
        <v>3</v>
      </c>
      <c r="AJ167" s="345">
        <f t="shared" si="56"/>
        <v>0</v>
      </c>
      <c r="AK167" s="408">
        <f>IF(coder1_YH!S167="",AK166,coder1_YH!S167)</f>
        <v>8.5</v>
      </c>
      <c r="AL167" s="345">
        <f>IF(coder1_YH!T167="",AL166,IF(coder1_YH!T167="mixed",0.25,coder1_YH!T167))</f>
        <v>1</v>
      </c>
      <c r="AM167" s="345" t="str">
        <f>IF(coder1_YH!U167 = "", AM166, IF(coder1_YH!U167="mixed","NA",coder1_YH!U167))</f>
        <v>NA</v>
      </c>
      <c r="AN167" s="345" t="str">
        <f>IF(coder1_YH!V167="",AN166,coder1_YH!V167)</f>
        <v>NA</v>
      </c>
      <c r="AO167" s="345" t="str">
        <f>IF(coder1_YH!W167="",AO166,coder1_YH!W167)</f>
        <v>NA</v>
      </c>
      <c r="AP167" s="345">
        <f>IF(coder1_YH!X167="",AP166,coder1_YH!X167)</f>
        <v>0.5</v>
      </c>
      <c r="AQ167" s="345">
        <f>IF(coder1_YH!Y167="",AQ166,coder1_YH!Y167)</f>
        <v>0.78</v>
      </c>
      <c r="AR167">
        <f>coder1_YH!AB167</f>
        <v>0</v>
      </c>
      <c r="AS167" s="345" t="str">
        <f>IF(coder1_YH!AC167 = "", AS166,IF(coder1_YH!AC167="BAU","BAU",LEFT(coder1_YH!AC167)))</f>
        <v>0</v>
      </c>
      <c r="AT167" s="345" t="str">
        <f>IF(coder1_YH!AD167 = "", AT166,IF(coder1_YH!AD167="BAU","BAU",LEFT(coder1_YH!AD167)))</f>
        <v>0</v>
      </c>
      <c r="AU167" s="345" t="str">
        <f>IF(coder1_YH!AE167 = "", AU166,IF(coder1_YH!AE167="BAU","BAU",LEFT(coder1_YH!AE167)))</f>
        <v>1</v>
      </c>
      <c r="AV167" s="345">
        <f>IF(coder1_YH!AF167="",AV166,coder1_YH!AF167)</f>
        <v>7650</v>
      </c>
      <c r="AW167" s="345">
        <f t="shared" si="57"/>
        <v>127.5</v>
      </c>
      <c r="AX167" s="345">
        <f>IF(coder1_YH!AG167="",AX166,coder1_YH!AG167)</f>
        <v>85</v>
      </c>
      <c r="AY167" s="345">
        <f>IF(coder1_YH!AH167="",AY166,coder1_YH!AH167)</f>
        <v>90</v>
      </c>
      <c r="AZ167" s="345" t="str">
        <f>IF(coder1_YH!AI167 = "", AZ166, IF(coder1_YH!AI167="BAU","BAU",LEFT(coder1_YH!AI167)))</f>
        <v>1</v>
      </c>
      <c r="BA167" s="384">
        <f>clean_data!Y167</f>
        <v>48</v>
      </c>
    </row>
    <row r="168" spans="1:53" x14ac:dyDescent="0.2">
      <c r="A168">
        <f>coder1_YH!B168</f>
        <v>0</v>
      </c>
      <c r="B168">
        <f>coder1_YH!C168</f>
        <v>168</v>
      </c>
      <c r="C168">
        <f>coder1_YH!D168</f>
        <v>0</v>
      </c>
      <c r="D168" t="str">
        <f>coder1_YH!E168</f>
        <v/>
      </c>
      <c r="E168" t="str">
        <f>coder1_YH!F168</f>
        <v/>
      </c>
      <c r="F168" s="321" t="str">
        <f>IF(coder1_YH!G168="", clean_mod!F167, coder1_YH!G168)</f>
        <v>Guthrie et al., 1998</v>
      </c>
      <c r="G168" s="321" t="str">
        <f t="shared" si="40"/>
        <v>129</v>
      </c>
      <c r="H168" s="321">
        <f>IF(coder1_YH!H168="", clean_mod!H167, coder1_YH!H168)</f>
        <v>129.1</v>
      </c>
      <c r="I168" s="404" t="str">
        <f t="shared" si="41"/>
        <v>1998</v>
      </c>
      <c r="J168" s="344" t="str">
        <f>IF(coder1_YH!I168="",J167,coder1_YH!I168)</f>
        <v>USA</v>
      </c>
      <c r="K168" s="345">
        <f t="shared" si="42"/>
        <v>0</v>
      </c>
      <c r="L168" s="344" t="str">
        <f>IF(coder1_YH!J168 = "",L167, coder1_YH!J168)</f>
        <v>English</v>
      </c>
      <c r="M168" s="345">
        <f t="shared" si="43"/>
        <v>0</v>
      </c>
      <c r="N168" s="345" t="str">
        <f>IF(coder1_YH!K168 = "", N167, LEFT(coder1_YH!K168,1))</f>
        <v>0</v>
      </c>
      <c r="O168" s="345" t="str">
        <f>IF(coder1_YH!L168 = "", O167, LEFT(coder1_YH!L168,1))</f>
        <v>0</v>
      </c>
      <c r="P168" s="345" t="str">
        <f>IF(coder1_YH!M168 = "", P167, LEFT(coder1_YH!M168,1))</f>
        <v>1</v>
      </c>
      <c r="Q168" s="321">
        <f>coder1_YH!P168</f>
        <v>0</v>
      </c>
      <c r="R168" s="321">
        <f>coder1_YH!Q168</f>
        <v>0</v>
      </c>
      <c r="S168" s="323" t="str">
        <f t="shared" si="44"/>
        <v>N</v>
      </c>
      <c r="T168" s="323" t="str">
        <f t="shared" si="45"/>
        <v/>
      </c>
      <c r="U168" s="323" t="str">
        <f t="shared" si="46"/>
        <v/>
      </c>
      <c r="V168" s="323" t="str">
        <f t="shared" si="47"/>
        <v/>
      </c>
      <c r="W168" s="323">
        <f t="shared" si="48"/>
        <v>1</v>
      </c>
      <c r="X168" s="385" t="str">
        <f>IF(coder1_YH!N168 = "",X167,coder1_YH!N168)</f>
        <v>N</v>
      </c>
      <c r="Y168" s="385" t="str">
        <f>IF(coder1_YH!O168 = "",Y167,coder1_YH!O168)</f>
        <v xml:space="preserve">m </v>
      </c>
      <c r="Z168" s="385" t="str">
        <f t="shared" si="49"/>
        <v>M</v>
      </c>
      <c r="AA168" s="385" t="str">
        <f t="shared" si="50"/>
        <v>R</v>
      </c>
      <c r="AB168" s="385" t="str">
        <f t="shared" si="51"/>
        <v>MR</v>
      </c>
      <c r="AC168" s="323" t="str">
        <f t="shared" si="52"/>
        <v xml:space="preserve">Nm </v>
      </c>
      <c r="AD168" s="323" t="str">
        <f t="shared" si="53"/>
        <v>N_R</v>
      </c>
      <c r="AF168" s="369" t="str">
        <f t="shared" si="54"/>
        <v xml:space="preserve">129.1-Nm </v>
      </c>
      <c r="AG168" s="369" t="str">
        <f t="shared" si="55"/>
        <v>129.1-N_R</v>
      </c>
      <c r="AH168" s="344">
        <f>IF(coder1_YH!R168="",AH167,coder1_YH!R168)</f>
        <v>3</v>
      </c>
      <c r="AI168" s="344">
        <f t="shared" si="39"/>
        <v>3</v>
      </c>
      <c r="AJ168" s="345">
        <f t="shared" si="56"/>
        <v>0</v>
      </c>
      <c r="AK168" s="408">
        <f>IF(coder1_YH!S168="",AK167,coder1_YH!S168)</f>
        <v>8.5</v>
      </c>
      <c r="AL168" s="345">
        <f>IF(coder1_YH!T168="",AL167,IF(coder1_YH!T168="mixed",0.25,coder1_YH!T168))</f>
        <v>1</v>
      </c>
      <c r="AM168" s="345" t="str">
        <f>IF(coder1_YH!U168 = "", AM167, IF(coder1_YH!U168="mixed","NA",coder1_YH!U168))</f>
        <v>NA</v>
      </c>
      <c r="AN168" s="345" t="str">
        <f>IF(coder1_YH!V168="",AN167,coder1_YH!V168)</f>
        <v>NA</v>
      </c>
      <c r="AO168" s="345" t="str">
        <f>IF(coder1_YH!W168="",AO167,coder1_YH!W168)</f>
        <v>NA</v>
      </c>
      <c r="AP168" s="345">
        <f>IF(coder1_YH!X168="",AP167,coder1_YH!X168)</f>
        <v>0.5</v>
      </c>
      <c r="AQ168" s="345">
        <f>IF(coder1_YH!Y168="",AQ167,coder1_YH!Y168)</f>
        <v>0.78</v>
      </c>
      <c r="AR168">
        <f>coder1_YH!AB168</f>
        <v>0</v>
      </c>
      <c r="AS168" s="345" t="str">
        <f>IF(coder1_YH!AC168 = "", AS167,IF(coder1_YH!AC168="BAU","BAU",LEFT(coder1_YH!AC168)))</f>
        <v>0</v>
      </c>
      <c r="AT168" s="345" t="str">
        <f>IF(coder1_YH!AD168 = "", AT167,IF(coder1_YH!AD168="BAU","BAU",LEFT(coder1_YH!AD168)))</f>
        <v>0</v>
      </c>
      <c r="AU168" s="345" t="str">
        <f>IF(coder1_YH!AE168 = "", AU167,IF(coder1_YH!AE168="BAU","BAU",LEFT(coder1_YH!AE168)))</f>
        <v>1</v>
      </c>
      <c r="AV168" s="345">
        <f>IF(coder1_YH!AF168="",AV167,coder1_YH!AF168)</f>
        <v>7650</v>
      </c>
      <c r="AW168" s="345">
        <f t="shared" si="57"/>
        <v>127.5</v>
      </c>
      <c r="AX168" s="345">
        <f>IF(coder1_YH!AG168="",AX167,coder1_YH!AG168)</f>
        <v>85</v>
      </c>
      <c r="AY168" s="345">
        <f>IF(coder1_YH!AH168="",AY167,coder1_YH!AH168)</f>
        <v>90</v>
      </c>
      <c r="AZ168" s="345" t="str">
        <f>IF(coder1_YH!AI168 = "", AZ167, IF(coder1_YH!AI168="BAU","BAU",LEFT(coder1_YH!AI168)))</f>
        <v>1</v>
      </c>
      <c r="BA168" s="384">
        <f>clean_data!Y168</f>
        <v>48</v>
      </c>
    </row>
    <row r="169" spans="1:53" x14ac:dyDescent="0.2">
      <c r="A169">
        <f>coder1_YH!B169</f>
        <v>0</v>
      </c>
      <c r="B169">
        <f>coder1_YH!C169</f>
        <v>169</v>
      </c>
      <c r="C169">
        <f>coder1_YH!D169</f>
        <v>0</v>
      </c>
      <c r="D169" t="str">
        <f>coder1_YH!E169</f>
        <v/>
      </c>
      <c r="E169" t="str">
        <f>coder1_YH!F169</f>
        <v/>
      </c>
      <c r="F169" s="321" t="str">
        <f>IF(coder1_YH!G169="", clean_mod!F168, coder1_YH!G169)</f>
        <v>Guthrie et al., 1998</v>
      </c>
      <c r="G169" s="321" t="str">
        <f t="shared" si="40"/>
        <v>129</v>
      </c>
      <c r="H169" s="321">
        <f>IF(coder1_YH!H169="", clean_mod!H168, coder1_YH!H169)</f>
        <v>129.1</v>
      </c>
      <c r="I169" s="404" t="str">
        <f t="shared" si="41"/>
        <v>1998</v>
      </c>
      <c r="J169" s="344" t="str">
        <f>IF(coder1_YH!I169="",J168,coder1_YH!I169)</f>
        <v>USA</v>
      </c>
      <c r="K169" s="345">
        <f t="shared" si="42"/>
        <v>0</v>
      </c>
      <c r="L169" s="344" t="str">
        <f>IF(coder1_YH!J169 = "",L168, coder1_YH!J169)</f>
        <v>English</v>
      </c>
      <c r="M169" s="345">
        <f t="shared" si="43"/>
        <v>0</v>
      </c>
      <c r="N169" s="345" t="str">
        <f>IF(coder1_YH!K169 = "", N168, LEFT(coder1_YH!K169,1))</f>
        <v>0</v>
      </c>
      <c r="O169" s="345" t="str">
        <f>IF(coder1_YH!L169 = "", O168, LEFT(coder1_YH!L169,1))</f>
        <v>0</v>
      </c>
      <c r="P169" s="345" t="str">
        <f>IF(coder1_YH!M169 = "", P168, LEFT(coder1_YH!M169,1))</f>
        <v>1</v>
      </c>
      <c r="Q169" s="321">
        <f>coder1_YH!P169</f>
        <v>0</v>
      </c>
      <c r="R169" s="321">
        <f>coder1_YH!Q169</f>
        <v>0</v>
      </c>
      <c r="S169" s="323" t="str">
        <f t="shared" si="44"/>
        <v>N</v>
      </c>
      <c r="T169" s="323" t="str">
        <f t="shared" si="45"/>
        <v/>
      </c>
      <c r="U169" s="323" t="str">
        <f t="shared" si="46"/>
        <v/>
      </c>
      <c r="V169" s="323" t="str">
        <f t="shared" si="47"/>
        <v/>
      </c>
      <c r="W169" s="323">
        <f t="shared" si="48"/>
        <v>1</v>
      </c>
      <c r="X169" s="385" t="str">
        <f>IF(coder1_YH!N169 = "",X168,coder1_YH!N169)</f>
        <v>N</v>
      </c>
      <c r="Y169" s="385" t="str">
        <f>IF(coder1_YH!O169 = "",Y168,coder1_YH!O169)</f>
        <v xml:space="preserve">m </v>
      </c>
      <c r="Z169" s="385" t="str">
        <f t="shared" si="49"/>
        <v>M</v>
      </c>
      <c r="AA169" s="385" t="str">
        <f t="shared" si="50"/>
        <v>R</v>
      </c>
      <c r="AB169" s="385" t="str">
        <f t="shared" si="51"/>
        <v>MR</v>
      </c>
      <c r="AC169" s="323" t="str">
        <f t="shared" si="52"/>
        <v xml:space="preserve">Nm </v>
      </c>
      <c r="AD169" s="323" t="str">
        <f t="shared" si="53"/>
        <v>N_R</v>
      </c>
      <c r="AF169" s="369" t="str">
        <f t="shared" si="54"/>
        <v xml:space="preserve">129.1-Nm </v>
      </c>
      <c r="AG169" s="369" t="str">
        <f t="shared" si="55"/>
        <v>129.1-N_R</v>
      </c>
      <c r="AH169" s="344">
        <f>IF(coder1_YH!R169="",AH168,coder1_YH!R169)</f>
        <v>3</v>
      </c>
      <c r="AI169" s="344">
        <f t="shared" si="39"/>
        <v>3</v>
      </c>
      <c r="AJ169" s="345">
        <f t="shared" si="56"/>
        <v>0</v>
      </c>
      <c r="AK169" s="408">
        <f>IF(coder1_YH!S169="",AK168,coder1_YH!S169)</f>
        <v>8.5</v>
      </c>
      <c r="AL169" s="345">
        <f>IF(coder1_YH!T169="",AL168,IF(coder1_YH!T169="mixed",0.25,coder1_YH!T169))</f>
        <v>1</v>
      </c>
      <c r="AM169" s="345" t="str">
        <f>IF(coder1_YH!U169 = "", AM168, IF(coder1_YH!U169="mixed","NA",coder1_YH!U169))</f>
        <v>NA</v>
      </c>
      <c r="AN169" s="345" t="str">
        <f>IF(coder1_YH!V169="",AN168,coder1_YH!V169)</f>
        <v>NA</v>
      </c>
      <c r="AO169" s="345" t="str">
        <f>IF(coder1_YH!W169="",AO168,coder1_YH!W169)</f>
        <v>NA</v>
      </c>
      <c r="AP169" s="345">
        <f>IF(coder1_YH!X169="",AP168,coder1_YH!X169)</f>
        <v>0.5</v>
      </c>
      <c r="AQ169" s="345">
        <f>IF(coder1_YH!Y169="",AQ168,coder1_YH!Y169)</f>
        <v>0.78</v>
      </c>
      <c r="AR169">
        <f>coder1_YH!AB169</f>
        <v>0</v>
      </c>
      <c r="AS169" s="345" t="str">
        <f>IF(coder1_YH!AC169 = "", AS168,IF(coder1_YH!AC169="BAU","BAU",LEFT(coder1_YH!AC169)))</f>
        <v>0</v>
      </c>
      <c r="AT169" s="345" t="str">
        <f>IF(coder1_YH!AD169 = "", AT168,IF(coder1_YH!AD169="BAU","BAU",LEFT(coder1_YH!AD169)))</f>
        <v>0</v>
      </c>
      <c r="AU169" s="345" t="str">
        <f>IF(coder1_YH!AE169 = "", AU168,IF(coder1_YH!AE169="BAU","BAU",LEFT(coder1_YH!AE169)))</f>
        <v>1</v>
      </c>
      <c r="AV169" s="345">
        <f>IF(coder1_YH!AF169="",AV168,coder1_YH!AF169)</f>
        <v>7650</v>
      </c>
      <c r="AW169" s="345">
        <f t="shared" si="57"/>
        <v>127.5</v>
      </c>
      <c r="AX169" s="345">
        <f>IF(coder1_YH!AG169="",AX168,coder1_YH!AG169)</f>
        <v>85</v>
      </c>
      <c r="AY169" s="345">
        <f>IF(coder1_YH!AH169="",AY168,coder1_YH!AH169)</f>
        <v>90</v>
      </c>
      <c r="AZ169" s="345" t="str">
        <f>IF(coder1_YH!AI169 = "", AZ168, IF(coder1_YH!AI169="BAU","BAU",LEFT(coder1_YH!AI169)))</f>
        <v>1</v>
      </c>
      <c r="BA169" s="384" t="str">
        <f>clean_data!Y169</f>
        <v>NA</v>
      </c>
    </row>
    <row r="170" spans="1:53" x14ac:dyDescent="0.2">
      <c r="A170">
        <f>coder1_YH!B170</f>
        <v>0</v>
      </c>
      <c r="B170">
        <f>coder1_YH!C170</f>
        <v>170</v>
      </c>
      <c r="C170">
        <f>coder1_YH!D170</f>
        <v>0</v>
      </c>
      <c r="D170" t="str">
        <f>coder1_YH!E170</f>
        <v/>
      </c>
      <c r="E170" t="str">
        <f>coder1_YH!F170</f>
        <v/>
      </c>
      <c r="F170" s="321" t="str">
        <f>IF(coder1_YH!G170="", clean_mod!F169, coder1_YH!G170)</f>
        <v>Guthrie et al., 1998</v>
      </c>
      <c r="G170" s="321" t="str">
        <f t="shared" si="40"/>
        <v>129</v>
      </c>
      <c r="H170" s="321">
        <f>IF(coder1_YH!H170="", clean_mod!H169, coder1_YH!H170)</f>
        <v>129.1</v>
      </c>
      <c r="I170" s="404" t="str">
        <f t="shared" si="41"/>
        <v>1998</v>
      </c>
      <c r="J170" s="344" t="str">
        <f>IF(coder1_YH!I170="",J169,coder1_YH!I170)</f>
        <v>USA</v>
      </c>
      <c r="K170" s="345">
        <f t="shared" si="42"/>
        <v>0</v>
      </c>
      <c r="L170" s="344" t="str">
        <f>IF(coder1_YH!J170 = "",L169, coder1_YH!J170)</f>
        <v>English</v>
      </c>
      <c r="M170" s="345">
        <f t="shared" si="43"/>
        <v>0</v>
      </c>
      <c r="N170" s="345" t="str">
        <f>IF(coder1_YH!K170 = "", N169, LEFT(coder1_YH!K170,1))</f>
        <v>0</v>
      </c>
      <c r="O170" s="345" t="str">
        <f>IF(coder1_YH!L170 = "", O169, LEFT(coder1_YH!L170,1))</f>
        <v>0</v>
      </c>
      <c r="P170" s="345" t="str">
        <f>IF(coder1_YH!M170 = "", P169, LEFT(coder1_YH!M170,1))</f>
        <v>1</v>
      </c>
      <c r="Q170" s="321">
        <f>coder1_YH!P170</f>
        <v>0</v>
      </c>
      <c r="R170" s="321">
        <f>coder1_YH!Q170</f>
        <v>0</v>
      </c>
      <c r="S170" s="323" t="str">
        <f t="shared" si="44"/>
        <v>N</v>
      </c>
      <c r="T170" s="323" t="str">
        <f t="shared" si="45"/>
        <v/>
      </c>
      <c r="U170" s="323" t="str">
        <f t="shared" si="46"/>
        <v/>
      </c>
      <c r="V170" s="323" t="str">
        <f t="shared" si="47"/>
        <v/>
      </c>
      <c r="W170" s="323">
        <f t="shared" si="48"/>
        <v>1</v>
      </c>
      <c r="X170" s="385" t="str">
        <f>IF(coder1_YH!N170 = "",X169,coder1_YH!N170)</f>
        <v>N</v>
      </c>
      <c r="Y170" s="385" t="str">
        <f>IF(coder1_YH!O170 = "",Y169,coder1_YH!O170)</f>
        <v xml:space="preserve">m </v>
      </c>
      <c r="Z170" s="385" t="str">
        <f t="shared" si="49"/>
        <v>M</v>
      </c>
      <c r="AA170" s="385" t="str">
        <f t="shared" si="50"/>
        <v>R</v>
      </c>
      <c r="AB170" s="385" t="str">
        <f t="shared" si="51"/>
        <v>MR</v>
      </c>
      <c r="AC170" s="323" t="str">
        <f t="shared" si="52"/>
        <v xml:space="preserve">Nm </v>
      </c>
      <c r="AD170" s="323" t="str">
        <f t="shared" si="53"/>
        <v>N_R</v>
      </c>
      <c r="AF170" s="369" t="str">
        <f t="shared" si="54"/>
        <v xml:space="preserve">129.1-Nm </v>
      </c>
      <c r="AG170" s="369" t="str">
        <f t="shared" si="55"/>
        <v>129.1-N_R</v>
      </c>
      <c r="AH170" s="344">
        <f>IF(coder1_YH!R170="",AH169,coder1_YH!R170)</f>
        <v>3</v>
      </c>
      <c r="AI170" s="344">
        <f t="shared" si="39"/>
        <v>3</v>
      </c>
      <c r="AJ170" s="345">
        <f t="shared" si="56"/>
        <v>0</v>
      </c>
      <c r="AK170" s="408">
        <f>IF(coder1_YH!S170="",AK169,coder1_YH!S170)</f>
        <v>8.5</v>
      </c>
      <c r="AL170" s="345">
        <f>IF(coder1_YH!T170="",AL169,IF(coder1_YH!T170="mixed",0.25,coder1_YH!T170))</f>
        <v>1</v>
      </c>
      <c r="AM170" s="345" t="str">
        <f>IF(coder1_YH!U170 = "", AM169, IF(coder1_YH!U170="mixed","NA",coder1_YH!U170))</f>
        <v>NA</v>
      </c>
      <c r="AN170" s="345" t="str">
        <f>IF(coder1_YH!V170="",AN169,coder1_YH!V170)</f>
        <v>NA</v>
      </c>
      <c r="AO170" s="345" t="str">
        <f>IF(coder1_YH!W170="",AO169,coder1_YH!W170)</f>
        <v>NA</v>
      </c>
      <c r="AP170" s="345">
        <f>IF(coder1_YH!X170="",AP169,coder1_YH!X170)</f>
        <v>0.5</v>
      </c>
      <c r="AQ170" s="345">
        <f>IF(coder1_YH!Y170="",AQ169,coder1_YH!Y170)</f>
        <v>0.78</v>
      </c>
      <c r="AR170">
        <f>coder1_YH!AB170</f>
        <v>0</v>
      </c>
      <c r="AS170" s="345" t="str">
        <f>IF(coder1_YH!AC170 = "", AS169,IF(coder1_YH!AC170="BAU","BAU",LEFT(coder1_YH!AC170)))</f>
        <v>0</v>
      </c>
      <c r="AT170" s="345" t="str">
        <f>IF(coder1_YH!AD170 = "", AT169,IF(coder1_YH!AD170="BAU","BAU",LEFT(coder1_YH!AD170)))</f>
        <v>0</v>
      </c>
      <c r="AU170" s="345" t="str">
        <f>IF(coder1_YH!AE170 = "", AU169,IF(coder1_YH!AE170="BAU","BAU",LEFT(coder1_YH!AE170)))</f>
        <v>1</v>
      </c>
      <c r="AV170" s="345">
        <f>IF(coder1_YH!AF170="",AV169,coder1_YH!AF170)</f>
        <v>7650</v>
      </c>
      <c r="AW170" s="345">
        <f t="shared" si="57"/>
        <v>127.5</v>
      </c>
      <c r="AX170" s="345">
        <f>IF(coder1_YH!AG170="",AX169,coder1_YH!AG170)</f>
        <v>85</v>
      </c>
      <c r="AY170" s="345">
        <f>IF(coder1_YH!AH170="",AY169,coder1_YH!AH170)</f>
        <v>90</v>
      </c>
      <c r="AZ170" s="345" t="str">
        <f>IF(coder1_YH!AI170 = "", AZ169, IF(coder1_YH!AI170="BAU","BAU",LEFT(coder1_YH!AI170)))</f>
        <v>1</v>
      </c>
      <c r="BA170" s="384" t="str">
        <f>clean_data!Y170</f>
        <v>NA</v>
      </c>
    </row>
    <row r="171" spans="1:53" x14ac:dyDescent="0.2">
      <c r="A171">
        <f>coder1_YH!B171</f>
        <v>0</v>
      </c>
      <c r="B171">
        <f>coder1_YH!C171</f>
        <v>171</v>
      </c>
      <c r="C171">
        <f>coder1_YH!D171</f>
        <v>0</v>
      </c>
      <c r="D171" t="str">
        <f>coder1_YH!E171</f>
        <v/>
      </c>
      <c r="E171" t="b">
        <f>coder1_YH!F171</f>
        <v>1</v>
      </c>
      <c r="F171" s="321" t="str">
        <f>IF(coder1_YH!G171="", clean_mod!F170, coder1_YH!G171)</f>
        <v>Guthrie et al., 1998</v>
      </c>
      <c r="G171" s="321" t="str">
        <f t="shared" si="40"/>
        <v>129</v>
      </c>
      <c r="H171" s="321">
        <f>IF(coder1_YH!H171="", clean_mod!H170, coder1_YH!H171)</f>
        <v>129.1</v>
      </c>
      <c r="I171" s="404" t="str">
        <f t="shared" si="41"/>
        <v>1998</v>
      </c>
      <c r="J171" s="344" t="str">
        <f>IF(coder1_YH!I171="",J170,coder1_YH!I171)</f>
        <v>USA</v>
      </c>
      <c r="K171" s="345">
        <f t="shared" si="42"/>
        <v>0</v>
      </c>
      <c r="L171" s="344" t="str">
        <f>IF(coder1_YH!J171 = "",L170, coder1_YH!J171)</f>
        <v>English</v>
      </c>
      <c r="M171" s="345">
        <f t="shared" si="43"/>
        <v>0</v>
      </c>
      <c r="N171" s="345" t="str">
        <f>IF(coder1_YH!K171 = "", N170, LEFT(coder1_YH!K171,1))</f>
        <v>0</v>
      </c>
      <c r="O171" s="345" t="str">
        <f>IF(coder1_YH!L171 = "", O170, LEFT(coder1_YH!L171,1))</f>
        <v>0</v>
      </c>
      <c r="P171" s="345" t="str">
        <f>IF(coder1_YH!M171 = "", P170, LEFT(coder1_YH!M171,1))</f>
        <v>1</v>
      </c>
      <c r="Q171" s="321" t="str">
        <f>coder1_YH!P171</f>
        <v>ctl</v>
      </c>
      <c r="R171" s="321" t="str">
        <f>coder1_YH!Q171</f>
        <v>Traditional (Grade3)</v>
      </c>
      <c r="S171" s="323" t="str">
        <f t="shared" si="44"/>
        <v/>
      </c>
      <c r="T171" s="323" t="str">
        <f t="shared" si="45"/>
        <v/>
      </c>
      <c r="U171" s="323" t="str">
        <f t="shared" si="46"/>
        <v/>
      </c>
      <c r="V171" s="323" t="str">
        <f t="shared" si="47"/>
        <v/>
      </c>
      <c r="W171" s="323">
        <f t="shared" si="48"/>
        <v>0</v>
      </c>
      <c r="X171" s="385" t="str">
        <f>IF(coder1_YH!N171 = "",X170,coder1_YH!N171)</f>
        <v>.</v>
      </c>
      <c r="Y171" s="385" t="str">
        <f>IF(coder1_YH!O171 = "",Y170,coder1_YH!O171)</f>
        <v>.</v>
      </c>
      <c r="Z171" s="385" t="str">
        <f t="shared" si="49"/>
        <v/>
      </c>
      <c r="AA171" s="385" t="str">
        <f t="shared" si="50"/>
        <v>BAU</v>
      </c>
      <c r="AB171" s="385" t="str">
        <f t="shared" si="51"/>
        <v>BAU</v>
      </c>
      <c r="AC171" s="323" t="str">
        <f t="shared" si="52"/>
        <v>..</v>
      </c>
      <c r="AD171" s="323" t="str">
        <f t="shared" si="53"/>
        <v>BAU</v>
      </c>
      <c r="AF171" s="369" t="str">
        <f t="shared" si="54"/>
        <v>129.1-..</v>
      </c>
      <c r="AG171" s="369" t="str">
        <f t="shared" si="55"/>
        <v>129.1-BAU</v>
      </c>
      <c r="AH171" s="344">
        <f>IF(coder1_YH!R171="",AH170,coder1_YH!R171)</f>
        <v>3</v>
      </c>
      <c r="AI171" s="344">
        <f t="shared" si="39"/>
        <v>3</v>
      </c>
      <c r="AJ171" s="345">
        <f t="shared" si="56"/>
        <v>0</v>
      </c>
      <c r="AK171" s="408">
        <f>IF(coder1_YH!S171="",AK170,coder1_YH!S171)</f>
        <v>8.5</v>
      </c>
      <c r="AL171" s="345">
        <f>IF(coder1_YH!T171="",AL170,IF(coder1_YH!T171="mixed",0.25,coder1_YH!T171))</f>
        <v>1</v>
      </c>
      <c r="AM171" s="345" t="str">
        <f>IF(coder1_YH!U171 = "", AM170, IF(coder1_YH!U171="mixed","NA",coder1_YH!U171))</f>
        <v>NA</v>
      </c>
      <c r="AN171" s="345" t="str">
        <f>IF(coder1_YH!V171="",AN170,coder1_YH!V171)</f>
        <v>NA</v>
      </c>
      <c r="AO171" s="345" t="str">
        <f>IF(coder1_YH!W171="",AO170,coder1_YH!W171)</f>
        <v>NA</v>
      </c>
      <c r="AP171" s="345">
        <f>IF(coder1_YH!X171="",AP170,coder1_YH!X171)</f>
        <v>0.5</v>
      </c>
      <c r="AQ171" s="345">
        <f>IF(coder1_YH!Y171="",AQ170,coder1_YH!Y171)</f>
        <v>0.78</v>
      </c>
      <c r="AR171" t="str">
        <f>coder1_YH!AB171</f>
        <v>1 = Published/Commercially available curriculum</v>
      </c>
      <c r="AS171" s="345" t="str">
        <f>IF(coder1_YH!AC171 = "", AS170,IF(coder1_YH!AC171="BAU","BAU",LEFT(coder1_YH!AC171)))</f>
        <v>0</v>
      </c>
      <c r="AT171" s="345" t="str">
        <f>IF(coder1_YH!AD171 = "", AT170,IF(coder1_YH!AD171="BAU","BAU",LEFT(coder1_YH!AD171)))</f>
        <v>BAU</v>
      </c>
      <c r="AU171" s="345" t="str">
        <f>IF(coder1_YH!AE171 = "", AU170,IF(coder1_YH!AE171="BAU","BAU",LEFT(coder1_YH!AE171)))</f>
        <v>1</v>
      </c>
      <c r="AV171" s="345" t="str">
        <f>IF(coder1_YH!AF171="",AV170,coder1_YH!AF171)</f>
        <v>BAU</v>
      </c>
      <c r="AW171" s="345" t="str">
        <f t="shared" si="57"/>
        <v>BAU</v>
      </c>
      <c r="AX171" s="345" t="str">
        <f>IF(coder1_YH!AG171="",AX170,coder1_YH!AG171)</f>
        <v>BAU</v>
      </c>
      <c r="AY171" s="345" t="str">
        <f>IF(coder1_YH!AH171="",AY170,coder1_YH!AH171)</f>
        <v>BAU</v>
      </c>
      <c r="AZ171" s="345" t="str">
        <f>IF(coder1_YH!AI171 = "", AZ170, IF(coder1_YH!AI171="BAU","BAU",LEFT(coder1_YH!AI171)))</f>
        <v>BAU</v>
      </c>
      <c r="BA171" s="384">
        <f>clean_data!Y171</f>
        <v>42</v>
      </c>
    </row>
    <row r="172" spans="1:53" x14ac:dyDescent="0.2">
      <c r="A172">
        <f>coder1_YH!B172</f>
        <v>0</v>
      </c>
      <c r="B172">
        <f>coder1_YH!C172</f>
        <v>172</v>
      </c>
      <c r="C172">
        <f>coder1_YH!D172</f>
        <v>0</v>
      </c>
      <c r="D172" t="str">
        <f>coder1_YH!E172</f>
        <v/>
      </c>
      <c r="E172" t="str">
        <f>coder1_YH!F172</f>
        <v/>
      </c>
      <c r="F172" s="321" t="str">
        <f>IF(coder1_YH!G172="", clean_mod!F171, coder1_YH!G172)</f>
        <v>Guthrie et al., 1998</v>
      </c>
      <c r="G172" s="321" t="str">
        <f t="shared" si="40"/>
        <v>129</v>
      </c>
      <c r="H172" s="321">
        <f>IF(coder1_YH!H172="", clean_mod!H171, coder1_YH!H172)</f>
        <v>129.1</v>
      </c>
      <c r="I172" s="404" t="str">
        <f t="shared" ref="I172:I197" si="58">RIGHT(F172,4)</f>
        <v>1998</v>
      </c>
      <c r="J172" s="344" t="str">
        <f>IF(coder1_YH!I172="",J171,coder1_YH!I172)</f>
        <v>USA</v>
      </c>
      <c r="K172" s="345">
        <f t="shared" si="42"/>
        <v>0</v>
      </c>
      <c r="L172" s="344" t="str">
        <f>IF(coder1_YH!J172 = "",L171, coder1_YH!J172)</f>
        <v>English</v>
      </c>
      <c r="M172" s="345">
        <f t="shared" si="43"/>
        <v>0</v>
      </c>
      <c r="N172" s="345" t="str">
        <f>IF(coder1_YH!K172 = "", N171, LEFT(coder1_YH!K172,1))</f>
        <v>0</v>
      </c>
      <c r="O172" s="345" t="str">
        <f>IF(coder1_YH!L172 = "", O171, LEFT(coder1_YH!L172,1))</f>
        <v>0</v>
      </c>
      <c r="P172" s="345" t="str">
        <f>IF(coder1_YH!M172 = "", P171, LEFT(coder1_YH!M172,1))</f>
        <v>1</v>
      </c>
      <c r="Q172" s="321">
        <f>coder1_YH!P172</f>
        <v>0</v>
      </c>
      <c r="R172" s="321">
        <f>coder1_YH!Q172</f>
        <v>0</v>
      </c>
      <c r="S172" s="323" t="str">
        <f t="shared" si="44"/>
        <v/>
      </c>
      <c r="T172" s="323" t="str">
        <f t="shared" si="45"/>
        <v/>
      </c>
      <c r="U172" s="323" t="str">
        <f t="shared" si="46"/>
        <v/>
      </c>
      <c r="V172" s="323" t="str">
        <f t="shared" si="47"/>
        <v/>
      </c>
      <c r="W172" s="323">
        <f t="shared" si="48"/>
        <v>0</v>
      </c>
      <c r="X172" s="385" t="str">
        <f>IF(coder1_YH!N172 = "",X171,coder1_YH!N172)</f>
        <v>.</v>
      </c>
      <c r="Y172" s="385" t="str">
        <f>IF(coder1_YH!O172 = "",Y171,coder1_YH!O172)</f>
        <v>.</v>
      </c>
      <c r="Z172" s="385" t="str">
        <f t="shared" si="49"/>
        <v/>
      </c>
      <c r="AA172" s="385" t="str">
        <f t="shared" si="50"/>
        <v>BAU</v>
      </c>
      <c r="AB172" s="385" t="str">
        <f t="shared" si="51"/>
        <v>BAU</v>
      </c>
      <c r="AC172" s="323" t="str">
        <f t="shared" si="52"/>
        <v>..</v>
      </c>
      <c r="AD172" s="323" t="str">
        <f t="shared" si="53"/>
        <v>BAU</v>
      </c>
      <c r="AF172" s="369" t="str">
        <f t="shared" si="54"/>
        <v>129.1-..</v>
      </c>
      <c r="AG172" s="369" t="str">
        <f t="shared" si="55"/>
        <v>129.1-BAU</v>
      </c>
      <c r="AH172" s="344">
        <f>IF(coder1_YH!R172="",AH171,coder1_YH!R172)</f>
        <v>3</v>
      </c>
      <c r="AI172" s="344">
        <f t="shared" si="39"/>
        <v>3</v>
      </c>
      <c r="AJ172" s="345">
        <f t="shared" si="56"/>
        <v>0</v>
      </c>
      <c r="AK172" s="408">
        <f>IF(coder1_YH!S172="",AK171,coder1_YH!S172)</f>
        <v>8.5</v>
      </c>
      <c r="AL172" s="345">
        <f>IF(coder1_YH!T172="",AL171,IF(coder1_YH!T172="mixed",0.25,coder1_YH!T172))</f>
        <v>1</v>
      </c>
      <c r="AM172" s="345" t="str">
        <f>IF(coder1_YH!U172 = "", AM171, IF(coder1_YH!U172="mixed","NA",coder1_YH!U172))</f>
        <v>NA</v>
      </c>
      <c r="AN172" s="345" t="str">
        <f>IF(coder1_YH!V172="",AN171,coder1_YH!V172)</f>
        <v>NA</v>
      </c>
      <c r="AO172" s="345" t="str">
        <f>IF(coder1_YH!W172="",AO171,coder1_YH!W172)</f>
        <v>NA</v>
      </c>
      <c r="AP172" s="345">
        <f>IF(coder1_YH!X172="",AP171,coder1_YH!X172)</f>
        <v>0.5</v>
      </c>
      <c r="AQ172" s="345">
        <f>IF(coder1_YH!Y172="",AQ171,coder1_YH!Y172)</f>
        <v>0.78</v>
      </c>
      <c r="AR172">
        <f>coder1_YH!AB172</f>
        <v>0</v>
      </c>
      <c r="AS172" s="345" t="str">
        <f>IF(coder1_YH!AC172 = "", AS171,IF(coder1_YH!AC172="BAU","BAU",LEFT(coder1_YH!AC172)))</f>
        <v>0</v>
      </c>
      <c r="AT172" s="345" t="str">
        <f>IF(coder1_YH!AD172 = "", AT171,IF(coder1_YH!AD172="BAU","BAU",LEFT(coder1_YH!AD172)))</f>
        <v>BAU</v>
      </c>
      <c r="AU172" s="345" t="str">
        <f>IF(coder1_YH!AE172 = "", AU171,IF(coder1_YH!AE172="BAU","BAU",LEFT(coder1_YH!AE172)))</f>
        <v>1</v>
      </c>
      <c r="AV172" s="345" t="str">
        <f>IF(coder1_YH!AF172="",AV171,coder1_YH!AF172)</f>
        <v>BAU</v>
      </c>
      <c r="AW172" s="345" t="str">
        <f t="shared" si="57"/>
        <v>BAU</v>
      </c>
      <c r="AX172" s="345" t="str">
        <f>IF(coder1_YH!AG172="",AX171,coder1_YH!AG172)</f>
        <v>BAU</v>
      </c>
      <c r="AY172" s="345" t="str">
        <f>IF(coder1_YH!AH172="",AY171,coder1_YH!AH172)</f>
        <v>BAU</v>
      </c>
      <c r="AZ172" s="345" t="str">
        <f>IF(coder1_YH!AI172 = "", AZ171, IF(coder1_YH!AI172="BAU","BAU",LEFT(coder1_YH!AI172)))</f>
        <v>BAU</v>
      </c>
      <c r="BA172" s="384">
        <f>clean_data!Y172</f>
        <v>42</v>
      </c>
    </row>
    <row r="173" spans="1:53" x14ac:dyDescent="0.2">
      <c r="A173">
        <f>coder1_YH!B173</f>
        <v>0</v>
      </c>
      <c r="B173">
        <f>coder1_YH!C173</f>
        <v>173</v>
      </c>
      <c r="C173">
        <f>coder1_YH!D173</f>
        <v>0</v>
      </c>
      <c r="D173" t="str">
        <f>coder1_YH!E173</f>
        <v/>
      </c>
      <c r="E173" t="str">
        <f>coder1_YH!F173</f>
        <v/>
      </c>
      <c r="F173" s="321" t="str">
        <f>IF(coder1_YH!G173="", clean_mod!F172, coder1_YH!G173)</f>
        <v>Guthrie et al., 1998</v>
      </c>
      <c r="G173" s="321" t="str">
        <f t="shared" si="40"/>
        <v>129</v>
      </c>
      <c r="H173" s="321">
        <f>IF(coder1_YH!H173="", clean_mod!H172, coder1_YH!H173)</f>
        <v>129.1</v>
      </c>
      <c r="I173" s="404" t="str">
        <f t="shared" si="58"/>
        <v>1998</v>
      </c>
      <c r="J173" s="344" t="str">
        <f>IF(coder1_YH!I173="",J172,coder1_YH!I173)</f>
        <v>USA</v>
      </c>
      <c r="K173" s="345">
        <f t="shared" si="42"/>
        <v>0</v>
      </c>
      <c r="L173" s="344" t="str">
        <f>IF(coder1_YH!J173 = "",L172, coder1_YH!J173)</f>
        <v>English</v>
      </c>
      <c r="M173" s="345">
        <f t="shared" si="43"/>
        <v>0</v>
      </c>
      <c r="N173" s="345" t="str">
        <f>IF(coder1_YH!K173 = "", N172, LEFT(coder1_YH!K173,1))</f>
        <v>0</v>
      </c>
      <c r="O173" s="345" t="str">
        <f>IF(coder1_YH!L173 = "", O172, LEFT(coder1_YH!L173,1))</f>
        <v>0</v>
      </c>
      <c r="P173" s="345" t="str">
        <f>IF(coder1_YH!M173 = "", P172, LEFT(coder1_YH!M173,1))</f>
        <v>1</v>
      </c>
      <c r="Q173" s="321">
        <f>coder1_YH!P173</f>
        <v>0</v>
      </c>
      <c r="R173" s="321">
        <f>coder1_YH!Q173</f>
        <v>0</v>
      </c>
      <c r="S173" s="323" t="str">
        <f t="shared" si="44"/>
        <v/>
      </c>
      <c r="T173" s="323" t="str">
        <f t="shared" si="45"/>
        <v/>
      </c>
      <c r="U173" s="323" t="str">
        <f t="shared" si="46"/>
        <v/>
      </c>
      <c r="V173" s="323" t="str">
        <f t="shared" si="47"/>
        <v/>
      </c>
      <c r="W173" s="323">
        <f t="shared" si="48"/>
        <v>0</v>
      </c>
      <c r="X173" s="385" t="str">
        <f>IF(coder1_YH!N173 = "",X172,coder1_YH!N173)</f>
        <v>.</v>
      </c>
      <c r="Y173" s="385" t="str">
        <f>IF(coder1_YH!O173 = "",Y172,coder1_YH!O173)</f>
        <v>.</v>
      </c>
      <c r="Z173" s="385" t="str">
        <f t="shared" si="49"/>
        <v/>
      </c>
      <c r="AA173" s="385" t="str">
        <f t="shared" si="50"/>
        <v>BAU</v>
      </c>
      <c r="AB173" s="385" t="str">
        <f t="shared" si="51"/>
        <v>BAU</v>
      </c>
      <c r="AC173" s="323" t="str">
        <f t="shared" si="52"/>
        <v>..</v>
      </c>
      <c r="AD173" s="323" t="str">
        <f t="shared" si="53"/>
        <v>BAU</v>
      </c>
      <c r="AF173" s="369" t="str">
        <f t="shared" si="54"/>
        <v>129.1-..</v>
      </c>
      <c r="AG173" s="369" t="str">
        <f t="shared" si="55"/>
        <v>129.1-BAU</v>
      </c>
      <c r="AH173" s="344">
        <f>IF(coder1_YH!R173="",AH172,coder1_YH!R173)</f>
        <v>3</v>
      </c>
      <c r="AI173" s="344">
        <f t="shared" si="39"/>
        <v>3</v>
      </c>
      <c r="AJ173" s="345">
        <f t="shared" si="56"/>
        <v>0</v>
      </c>
      <c r="AK173" s="408">
        <f>IF(coder1_YH!S173="",AK172,coder1_YH!S173)</f>
        <v>8.5</v>
      </c>
      <c r="AL173" s="345">
        <f>IF(coder1_YH!T173="",AL172,IF(coder1_YH!T173="mixed",0.25,coder1_YH!T173))</f>
        <v>1</v>
      </c>
      <c r="AM173" s="345" t="str">
        <f>IF(coder1_YH!U173 = "", AM172, IF(coder1_YH!U173="mixed","NA",coder1_YH!U173))</f>
        <v>NA</v>
      </c>
      <c r="AN173" s="345" t="str">
        <f>IF(coder1_YH!V173="",AN172,coder1_YH!V173)</f>
        <v>NA</v>
      </c>
      <c r="AO173" s="345" t="str">
        <f>IF(coder1_YH!W173="",AO172,coder1_YH!W173)</f>
        <v>NA</v>
      </c>
      <c r="AP173" s="345">
        <f>IF(coder1_YH!X173="",AP172,coder1_YH!X173)</f>
        <v>0.5</v>
      </c>
      <c r="AQ173" s="345">
        <f>IF(coder1_YH!Y173="",AQ172,coder1_YH!Y173)</f>
        <v>0.78</v>
      </c>
      <c r="AR173">
        <f>coder1_YH!AB173</f>
        <v>0</v>
      </c>
      <c r="AS173" s="345" t="str">
        <f>IF(coder1_YH!AC173 = "", AS172,IF(coder1_YH!AC173="BAU","BAU",LEFT(coder1_YH!AC173)))</f>
        <v>0</v>
      </c>
      <c r="AT173" s="345" t="str">
        <f>IF(coder1_YH!AD173 = "", AT172,IF(coder1_YH!AD173="BAU","BAU",LEFT(coder1_YH!AD173)))</f>
        <v>BAU</v>
      </c>
      <c r="AU173" s="345" t="str">
        <f>IF(coder1_YH!AE173 = "", AU172,IF(coder1_YH!AE173="BAU","BAU",LEFT(coder1_YH!AE173)))</f>
        <v>1</v>
      </c>
      <c r="AV173" s="345" t="str">
        <f>IF(coder1_YH!AF173="",AV172,coder1_YH!AF173)</f>
        <v>BAU</v>
      </c>
      <c r="AW173" s="345" t="str">
        <f t="shared" si="57"/>
        <v>BAU</v>
      </c>
      <c r="AX173" s="345" t="str">
        <f>IF(coder1_YH!AG173="",AX172,coder1_YH!AG173)</f>
        <v>BAU</v>
      </c>
      <c r="AY173" s="345" t="str">
        <f>IF(coder1_YH!AH173="",AY172,coder1_YH!AH173)</f>
        <v>BAU</v>
      </c>
      <c r="AZ173" s="345" t="str">
        <f>IF(coder1_YH!AI173 = "", AZ172, IF(coder1_YH!AI173="BAU","BAU",LEFT(coder1_YH!AI173)))</f>
        <v>BAU</v>
      </c>
      <c r="BA173" s="384">
        <f>clean_data!Y173</f>
        <v>42</v>
      </c>
    </row>
    <row r="174" spans="1:53" x14ac:dyDescent="0.2">
      <c r="A174">
        <f>coder1_YH!B174</f>
        <v>0</v>
      </c>
      <c r="B174">
        <f>coder1_YH!C174</f>
        <v>174</v>
      </c>
      <c r="C174">
        <f>coder1_YH!D174</f>
        <v>0</v>
      </c>
      <c r="D174" t="str">
        <f>coder1_YH!E174</f>
        <v/>
      </c>
      <c r="E174" t="str">
        <f>coder1_YH!F174</f>
        <v/>
      </c>
      <c r="F174" s="321" t="str">
        <f>IF(coder1_YH!G174="", clean_mod!F173, coder1_YH!G174)</f>
        <v>Guthrie et al., 1998</v>
      </c>
      <c r="G174" s="321" t="str">
        <f t="shared" si="40"/>
        <v>129</v>
      </c>
      <c r="H174" s="321">
        <f>IF(coder1_YH!H174="", clean_mod!H173, coder1_YH!H174)</f>
        <v>129.1</v>
      </c>
      <c r="I174" s="404" t="str">
        <f t="shared" si="58"/>
        <v>1998</v>
      </c>
      <c r="J174" s="344" t="str">
        <f>IF(coder1_YH!I174="",J173,coder1_YH!I174)</f>
        <v>USA</v>
      </c>
      <c r="K174" s="345">
        <f t="shared" si="42"/>
        <v>0</v>
      </c>
      <c r="L174" s="344" t="str">
        <f>IF(coder1_YH!J174 = "",L173, coder1_YH!J174)</f>
        <v>English</v>
      </c>
      <c r="M174" s="345">
        <f t="shared" si="43"/>
        <v>0</v>
      </c>
      <c r="N174" s="345" t="str">
        <f>IF(coder1_YH!K174 = "", N173, LEFT(coder1_YH!K174,1))</f>
        <v>0</v>
      </c>
      <c r="O174" s="345" t="str">
        <f>IF(coder1_YH!L174 = "", O173, LEFT(coder1_YH!L174,1))</f>
        <v>0</v>
      </c>
      <c r="P174" s="345" t="str">
        <f>IF(coder1_YH!M174 = "", P173, LEFT(coder1_YH!M174,1))</f>
        <v>1</v>
      </c>
      <c r="Q174" s="321">
        <f>coder1_YH!P174</f>
        <v>0</v>
      </c>
      <c r="R174" s="321">
        <f>coder1_YH!Q174</f>
        <v>0</v>
      </c>
      <c r="S174" s="323" t="str">
        <f t="shared" si="44"/>
        <v/>
      </c>
      <c r="T174" s="323" t="str">
        <f t="shared" si="45"/>
        <v/>
      </c>
      <c r="U174" s="323" t="str">
        <f t="shared" si="46"/>
        <v/>
      </c>
      <c r="V174" s="323" t="str">
        <f t="shared" si="47"/>
        <v/>
      </c>
      <c r="W174" s="323">
        <f t="shared" si="48"/>
        <v>0</v>
      </c>
      <c r="X174" s="385" t="str">
        <f>IF(coder1_YH!N174 = "",X173,coder1_YH!N174)</f>
        <v>.</v>
      </c>
      <c r="Y174" s="385" t="str">
        <f>IF(coder1_YH!O174 = "",Y173,coder1_YH!O174)</f>
        <v>.</v>
      </c>
      <c r="Z174" s="385" t="str">
        <f t="shared" si="49"/>
        <v/>
      </c>
      <c r="AA174" s="385" t="str">
        <f t="shared" si="50"/>
        <v>BAU</v>
      </c>
      <c r="AB174" s="385" t="str">
        <f t="shared" si="51"/>
        <v>BAU</v>
      </c>
      <c r="AC174" s="323" t="str">
        <f t="shared" si="52"/>
        <v>..</v>
      </c>
      <c r="AD174" s="323" t="str">
        <f t="shared" si="53"/>
        <v>BAU</v>
      </c>
      <c r="AF174" s="369" t="str">
        <f t="shared" si="54"/>
        <v>129.1-..</v>
      </c>
      <c r="AG174" s="369" t="str">
        <f t="shared" si="55"/>
        <v>129.1-BAU</v>
      </c>
      <c r="AH174" s="344">
        <f>IF(coder1_YH!R174="",AH173,coder1_YH!R174)</f>
        <v>3</v>
      </c>
      <c r="AI174" s="344">
        <f t="shared" si="39"/>
        <v>3</v>
      </c>
      <c r="AJ174" s="345">
        <f t="shared" si="56"/>
        <v>0</v>
      </c>
      <c r="AK174" s="408">
        <f>IF(coder1_YH!S174="",AK173,coder1_YH!S174)</f>
        <v>8.5</v>
      </c>
      <c r="AL174" s="345">
        <f>IF(coder1_YH!T174="",AL173,IF(coder1_YH!T174="mixed",0.25,coder1_YH!T174))</f>
        <v>1</v>
      </c>
      <c r="AM174" s="345" t="str">
        <f>IF(coder1_YH!U174 = "", AM173, IF(coder1_YH!U174="mixed","NA",coder1_YH!U174))</f>
        <v>NA</v>
      </c>
      <c r="AN174" s="345" t="str">
        <f>IF(coder1_YH!V174="",AN173,coder1_YH!V174)</f>
        <v>NA</v>
      </c>
      <c r="AO174" s="345" t="str">
        <f>IF(coder1_YH!W174="",AO173,coder1_YH!W174)</f>
        <v>NA</v>
      </c>
      <c r="AP174" s="345">
        <f>IF(coder1_YH!X174="",AP173,coder1_YH!X174)</f>
        <v>0.5</v>
      </c>
      <c r="AQ174" s="345">
        <f>IF(coder1_YH!Y174="",AQ173,coder1_YH!Y174)</f>
        <v>0.78</v>
      </c>
      <c r="AR174">
        <f>coder1_YH!AB174</f>
        <v>0</v>
      </c>
      <c r="AS174" s="345" t="str">
        <f>IF(coder1_YH!AC174 = "", AS173,IF(coder1_YH!AC174="BAU","BAU",LEFT(coder1_YH!AC174)))</f>
        <v>0</v>
      </c>
      <c r="AT174" s="345" t="str">
        <f>IF(coder1_YH!AD174 = "", AT173,IF(coder1_YH!AD174="BAU","BAU",LEFT(coder1_YH!AD174)))</f>
        <v>BAU</v>
      </c>
      <c r="AU174" s="345" t="str">
        <f>IF(coder1_YH!AE174 = "", AU173,IF(coder1_YH!AE174="BAU","BAU",LEFT(coder1_YH!AE174)))</f>
        <v>1</v>
      </c>
      <c r="AV174" s="345" t="str">
        <f>IF(coder1_YH!AF174="",AV173,coder1_YH!AF174)</f>
        <v>BAU</v>
      </c>
      <c r="AW174" s="345" t="str">
        <f t="shared" si="57"/>
        <v>BAU</v>
      </c>
      <c r="AX174" s="345" t="str">
        <f>IF(coder1_YH!AG174="",AX173,coder1_YH!AG174)</f>
        <v>BAU</v>
      </c>
      <c r="AY174" s="345" t="str">
        <f>IF(coder1_YH!AH174="",AY173,coder1_YH!AH174)</f>
        <v>BAU</v>
      </c>
      <c r="AZ174" s="345" t="str">
        <f>IF(coder1_YH!AI174 = "", AZ173, IF(coder1_YH!AI174="BAU","BAU",LEFT(coder1_YH!AI174)))</f>
        <v>BAU</v>
      </c>
      <c r="BA174" s="384" t="str">
        <f>clean_data!Y174</f>
        <v>NA</v>
      </c>
    </row>
    <row r="175" spans="1:53" x14ac:dyDescent="0.2">
      <c r="A175">
        <f>coder1_YH!B175</f>
        <v>0</v>
      </c>
      <c r="B175">
        <f>coder1_YH!C175</f>
        <v>175</v>
      </c>
      <c r="C175">
        <f>coder1_YH!D175</f>
        <v>0</v>
      </c>
      <c r="D175" t="str">
        <f>coder1_YH!E175</f>
        <v/>
      </c>
      <c r="E175" t="str">
        <f>coder1_YH!F175</f>
        <v/>
      </c>
      <c r="F175" s="321" t="str">
        <f>IF(coder1_YH!G175="", clean_mod!F174, coder1_YH!G175)</f>
        <v>Guthrie et al., 1998</v>
      </c>
      <c r="G175" s="321" t="str">
        <f t="shared" si="40"/>
        <v>129</v>
      </c>
      <c r="H175" s="321">
        <f>IF(coder1_YH!H175="", clean_mod!H174, coder1_YH!H175)</f>
        <v>129.1</v>
      </c>
      <c r="I175" s="404" t="str">
        <f t="shared" si="58"/>
        <v>1998</v>
      </c>
      <c r="J175" s="344" t="str">
        <f>IF(coder1_YH!I175="",J174,coder1_YH!I175)</f>
        <v>USA</v>
      </c>
      <c r="K175" s="345">
        <f t="shared" si="42"/>
        <v>0</v>
      </c>
      <c r="L175" s="344" t="str">
        <f>IF(coder1_YH!J175 = "",L174, coder1_YH!J175)</f>
        <v>English</v>
      </c>
      <c r="M175" s="345">
        <f t="shared" si="43"/>
        <v>0</v>
      </c>
      <c r="N175" s="345" t="str">
        <f>IF(coder1_YH!K175 = "", N174, LEFT(coder1_YH!K175,1))</f>
        <v>0</v>
      </c>
      <c r="O175" s="345" t="str">
        <f>IF(coder1_YH!L175 = "", O174, LEFT(coder1_YH!L175,1))</f>
        <v>0</v>
      </c>
      <c r="P175" s="345" t="str">
        <f>IF(coder1_YH!M175 = "", P174, LEFT(coder1_YH!M175,1))</f>
        <v>1</v>
      </c>
      <c r="Q175" s="321">
        <f>coder1_YH!P175</f>
        <v>0</v>
      </c>
      <c r="R175" s="321">
        <f>coder1_YH!Q175</f>
        <v>0</v>
      </c>
      <c r="S175" s="323" t="str">
        <f t="shared" si="44"/>
        <v/>
      </c>
      <c r="T175" s="323" t="str">
        <f t="shared" si="45"/>
        <v/>
      </c>
      <c r="U175" s="323" t="str">
        <f t="shared" si="46"/>
        <v/>
      </c>
      <c r="V175" s="323" t="str">
        <f t="shared" si="47"/>
        <v/>
      </c>
      <c r="W175" s="323">
        <f t="shared" si="48"/>
        <v>0</v>
      </c>
      <c r="X175" s="385" t="str">
        <f>IF(coder1_YH!N175 = "",X174,coder1_YH!N175)</f>
        <v>.</v>
      </c>
      <c r="Y175" s="385" t="str">
        <f>IF(coder1_YH!O175 = "",Y174,coder1_YH!O175)</f>
        <v>.</v>
      </c>
      <c r="Z175" s="385" t="str">
        <f t="shared" si="49"/>
        <v/>
      </c>
      <c r="AA175" s="385" t="str">
        <f t="shared" si="50"/>
        <v>BAU</v>
      </c>
      <c r="AB175" s="385" t="str">
        <f t="shared" si="51"/>
        <v>BAU</v>
      </c>
      <c r="AC175" s="323" t="str">
        <f t="shared" si="52"/>
        <v>..</v>
      </c>
      <c r="AD175" s="323" t="str">
        <f t="shared" si="53"/>
        <v>BAU</v>
      </c>
      <c r="AF175" s="369" t="str">
        <f t="shared" si="54"/>
        <v>129.1-..</v>
      </c>
      <c r="AG175" s="369" t="str">
        <f t="shared" si="55"/>
        <v>129.1-BAU</v>
      </c>
      <c r="AH175" s="344">
        <f>IF(coder1_YH!R175="",AH174,coder1_YH!R175)</f>
        <v>3</v>
      </c>
      <c r="AI175" s="344">
        <f t="shared" si="39"/>
        <v>3</v>
      </c>
      <c r="AJ175" s="345">
        <f t="shared" si="56"/>
        <v>0</v>
      </c>
      <c r="AK175" s="408">
        <f>IF(coder1_YH!S175="",AK174,coder1_YH!S175)</f>
        <v>8.5</v>
      </c>
      <c r="AL175" s="345">
        <f>IF(coder1_YH!T175="",AL174,IF(coder1_YH!T175="mixed",0.25,coder1_YH!T175))</f>
        <v>1</v>
      </c>
      <c r="AM175" s="345" t="str">
        <f>IF(coder1_YH!U175 = "", AM174, IF(coder1_YH!U175="mixed","NA",coder1_YH!U175))</f>
        <v>NA</v>
      </c>
      <c r="AN175" s="345" t="str">
        <f>IF(coder1_YH!V175="",AN174,coder1_YH!V175)</f>
        <v>NA</v>
      </c>
      <c r="AO175" s="345" t="str">
        <f>IF(coder1_YH!W175="",AO174,coder1_YH!W175)</f>
        <v>NA</v>
      </c>
      <c r="AP175" s="345">
        <f>IF(coder1_YH!X175="",AP174,coder1_YH!X175)</f>
        <v>0.5</v>
      </c>
      <c r="AQ175" s="345">
        <f>IF(coder1_YH!Y175="",AQ174,coder1_YH!Y175)</f>
        <v>0.78</v>
      </c>
      <c r="AR175">
        <f>coder1_YH!AB175</f>
        <v>0</v>
      </c>
      <c r="AS175" s="345" t="str">
        <f>IF(coder1_YH!AC175 = "", AS174,IF(coder1_YH!AC175="BAU","BAU",LEFT(coder1_YH!AC175)))</f>
        <v>0</v>
      </c>
      <c r="AT175" s="345" t="str">
        <f>IF(coder1_YH!AD175 = "", AT174,IF(coder1_YH!AD175="BAU","BAU",LEFT(coder1_YH!AD175)))</f>
        <v>BAU</v>
      </c>
      <c r="AU175" s="345" t="str">
        <f>IF(coder1_YH!AE175 = "", AU174,IF(coder1_YH!AE175="BAU","BAU",LEFT(coder1_YH!AE175)))</f>
        <v>1</v>
      </c>
      <c r="AV175" s="345" t="str">
        <f>IF(coder1_YH!AF175="",AV174,coder1_YH!AF175)</f>
        <v>BAU</v>
      </c>
      <c r="AW175" s="345" t="str">
        <f t="shared" si="57"/>
        <v>BAU</v>
      </c>
      <c r="AX175" s="345" t="str">
        <f>IF(coder1_YH!AG175="",AX174,coder1_YH!AG175)</f>
        <v>BAU</v>
      </c>
      <c r="AY175" s="345" t="str">
        <f>IF(coder1_YH!AH175="",AY174,coder1_YH!AH175)</f>
        <v>BAU</v>
      </c>
      <c r="AZ175" s="345" t="str">
        <f>IF(coder1_YH!AI175 = "", AZ174, IF(coder1_YH!AI175="BAU","BAU",LEFT(coder1_YH!AI175)))</f>
        <v>BAU</v>
      </c>
      <c r="BA175" s="384" t="str">
        <f>clean_data!Y175</f>
        <v>NA</v>
      </c>
    </row>
    <row r="176" spans="1:53" x14ac:dyDescent="0.2">
      <c r="A176">
        <f>coder1_YH!B176</f>
        <v>0</v>
      </c>
      <c r="B176">
        <f>coder1_YH!C176</f>
        <v>176</v>
      </c>
      <c r="C176">
        <f>coder1_YH!D176</f>
        <v>0</v>
      </c>
      <c r="D176" t="b">
        <f>coder1_YH!E176</f>
        <v>1</v>
      </c>
      <c r="E176" t="b">
        <f>coder1_YH!F176</f>
        <v>1</v>
      </c>
      <c r="F176" s="321" t="str">
        <f>IF(coder1_YH!G176="", clean_mod!F175, coder1_YH!G176)</f>
        <v>Guthrie et al., 1998</v>
      </c>
      <c r="G176" s="321" t="str">
        <f t="shared" si="40"/>
        <v>129</v>
      </c>
      <c r="H176" s="321">
        <f>IF(coder1_YH!H176="", clean_mod!H175, coder1_YH!H176)</f>
        <v>129.19999999999999</v>
      </c>
      <c r="I176" s="404" t="str">
        <f t="shared" si="58"/>
        <v>1998</v>
      </c>
      <c r="J176" s="344" t="str">
        <f>IF(coder1_YH!I176="",J175,coder1_YH!I176)</f>
        <v>USA</v>
      </c>
      <c r="K176" s="345">
        <f t="shared" si="42"/>
        <v>0</v>
      </c>
      <c r="L176" s="344" t="str">
        <f>IF(coder1_YH!J176 = "",L175, coder1_YH!J176)</f>
        <v>English</v>
      </c>
      <c r="M176" s="345">
        <f t="shared" si="43"/>
        <v>0</v>
      </c>
      <c r="N176" s="345" t="str">
        <f>IF(coder1_YH!K176 = "", N175, LEFT(coder1_YH!K176,1))</f>
        <v>0</v>
      </c>
      <c r="O176" s="345" t="str">
        <f>IF(coder1_YH!L176 = "", O175, LEFT(coder1_YH!L176,1))</f>
        <v>0</v>
      </c>
      <c r="P176" s="345" t="str">
        <f>IF(coder1_YH!M176 = "", P175, LEFT(coder1_YH!M176,1))</f>
        <v>1</v>
      </c>
      <c r="Q176" s="321">
        <f>coder1_YH!P176</f>
        <v>1</v>
      </c>
      <c r="R176" s="321" t="str">
        <f>coder1_YH!Q176</f>
        <v>CORI (Grade5)</v>
      </c>
      <c r="S176" s="323" t="str">
        <f t="shared" si="44"/>
        <v>N</v>
      </c>
      <c r="T176" s="323" t="str">
        <f t="shared" si="45"/>
        <v/>
      </c>
      <c r="U176" s="323" t="str">
        <f t="shared" si="46"/>
        <v/>
      </c>
      <c r="V176" s="323" t="str">
        <f t="shared" si="47"/>
        <v/>
      </c>
      <c r="W176" s="323">
        <f t="shared" si="48"/>
        <v>1</v>
      </c>
      <c r="X176" s="385" t="str">
        <f>IF(coder1_YH!N176 = "",X175,coder1_YH!N176)</f>
        <v>N</v>
      </c>
      <c r="Y176" s="385" t="str">
        <f>IF(coder1_YH!O176 = "",Y175,coder1_YH!O176)</f>
        <v xml:space="preserve">m </v>
      </c>
      <c r="Z176" s="385" t="str">
        <f t="shared" si="49"/>
        <v>M</v>
      </c>
      <c r="AA176" s="385" t="str">
        <f t="shared" si="50"/>
        <v>R</v>
      </c>
      <c r="AB176" s="385" t="str">
        <f t="shared" si="51"/>
        <v>MR</v>
      </c>
      <c r="AC176" s="323" t="str">
        <f t="shared" si="52"/>
        <v xml:space="preserve">Nm </v>
      </c>
      <c r="AD176" s="323" t="str">
        <f t="shared" si="53"/>
        <v>N_R</v>
      </c>
      <c r="AE176" s="323">
        <f>IF(Y176="cm", 1,0)</f>
        <v>0</v>
      </c>
      <c r="AF176" s="369" t="str">
        <f t="shared" si="54"/>
        <v xml:space="preserve">129.2-Nm </v>
      </c>
      <c r="AG176" s="369" t="str">
        <f t="shared" si="55"/>
        <v>129.2-N_R</v>
      </c>
      <c r="AH176" s="344">
        <f>IF(coder1_YH!R176="",AH175,coder1_YH!R176)</f>
        <v>5</v>
      </c>
      <c r="AI176" s="344">
        <f t="shared" si="39"/>
        <v>5</v>
      </c>
      <c r="AJ176" s="345">
        <f t="shared" si="56"/>
        <v>0</v>
      </c>
      <c r="AK176" s="408">
        <f>IF(coder1_YH!S176="",AK175,coder1_YH!S176)</f>
        <v>10.5</v>
      </c>
      <c r="AL176" s="345">
        <f>IF(coder1_YH!T176="",AL175,IF(coder1_YH!T176="mixed",0.25,coder1_YH!T176))</f>
        <v>1</v>
      </c>
      <c r="AM176" s="345" t="str">
        <f>IF(coder1_YH!U176 = "", AM175, IF(coder1_YH!U176="mixed","NA",coder1_YH!U176))</f>
        <v>NA</v>
      </c>
      <c r="AN176" s="345" t="str">
        <f>IF(coder1_YH!V176="",AN175,coder1_YH!V176)</f>
        <v>NA</v>
      </c>
      <c r="AO176" s="345" t="str">
        <f>IF(coder1_YH!W176="",AO175,coder1_YH!W176)</f>
        <v>NA</v>
      </c>
      <c r="AP176" s="345">
        <f>IF(coder1_YH!X176="",AP175,coder1_YH!X176)</f>
        <v>0.5</v>
      </c>
      <c r="AQ176" s="345">
        <f>IF(coder1_YH!Y176="",AQ175,coder1_YH!Y176)</f>
        <v>0.78</v>
      </c>
      <c r="AR176" t="str">
        <f>coder1_YH!AB176</f>
        <v>0 = Researcher-developed/adapted curriculum</v>
      </c>
      <c r="AS176" s="345" t="str">
        <f>IF(coder1_YH!AC176 = "", AS175,IF(coder1_YH!AC176="BAU","BAU",LEFT(coder1_YH!AC176)))</f>
        <v>0</v>
      </c>
      <c r="AT176" s="345" t="str">
        <f>IF(coder1_YH!AD176 = "", AT175,IF(coder1_YH!AD176="BAU","BAU",LEFT(coder1_YH!AD176)))</f>
        <v>0</v>
      </c>
      <c r="AU176" s="345" t="str">
        <f>IF(coder1_YH!AE176 = "", AU175,IF(coder1_YH!AE176="BAU","BAU",LEFT(coder1_YH!AE176)))</f>
        <v>1</v>
      </c>
      <c r="AV176" s="345">
        <f>IF(coder1_YH!AF176="",AV175,coder1_YH!AF176)</f>
        <v>7650</v>
      </c>
      <c r="AW176" s="345">
        <f t="shared" si="57"/>
        <v>127.5</v>
      </c>
      <c r="AX176" s="345">
        <f>IF(coder1_YH!AG176="",AX175,coder1_YH!AG176)</f>
        <v>85</v>
      </c>
      <c r="AY176" s="345">
        <f>IF(coder1_YH!AH176="",AY175,coder1_YH!AH176)</f>
        <v>90</v>
      </c>
      <c r="AZ176" s="345" t="str">
        <f>IF(coder1_YH!AI176 = "", AZ175, IF(coder1_YH!AI176="BAU","BAU",LEFT(coder1_YH!AI176)))</f>
        <v>1</v>
      </c>
      <c r="BA176" s="384">
        <f>clean_data!Y176</f>
        <v>40</v>
      </c>
    </row>
    <row r="177" spans="1:53" x14ac:dyDescent="0.2">
      <c r="A177">
        <f>coder1_YH!B177</f>
        <v>0</v>
      </c>
      <c r="B177">
        <f>coder1_YH!C177</f>
        <v>177</v>
      </c>
      <c r="C177">
        <f>coder1_YH!D177</f>
        <v>0</v>
      </c>
      <c r="D177" t="str">
        <f>coder1_YH!E177</f>
        <v/>
      </c>
      <c r="E177" t="str">
        <f>coder1_YH!F177</f>
        <v/>
      </c>
      <c r="F177" s="321" t="str">
        <f>IF(coder1_YH!G177="", clean_mod!F176, coder1_YH!G177)</f>
        <v>Guthrie et al., 1998</v>
      </c>
      <c r="G177" s="321" t="str">
        <f t="shared" si="40"/>
        <v>129</v>
      </c>
      <c r="H177" s="321">
        <f>IF(coder1_YH!H177="", clean_mod!H176, coder1_YH!H177)</f>
        <v>129.19999999999999</v>
      </c>
      <c r="I177" s="404" t="str">
        <f t="shared" si="58"/>
        <v>1998</v>
      </c>
      <c r="J177" s="344" t="str">
        <f>IF(coder1_YH!I177="",J176,coder1_YH!I177)</f>
        <v>USA</v>
      </c>
      <c r="K177" s="345">
        <f t="shared" si="42"/>
        <v>0</v>
      </c>
      <c r="L177" s="344" t="str">
        <f>IF(coder1_YH!J177 = "",L176, coder1_YH!J177)</f>
        <v>English</v>
      </c>
      <c r="M177" s="345">
        <f t="shared" si="43"/>
        <v>0</v>
      </c>
      <c r="N177" s="345" t="str">
        <f>IF(coder1_YH!K177 = "", N176, LEFT(coder1_YH!K177,1))</f>
        <v>0</v>
      </c>
      <c r="O177" s="345" t="str">
        <f>IF(coder1_YH!L177 = "", O176, LEFT(coder1_YH!L177,1))</f>
        <v>0</v>
      </c>
      <c r="P177" s="345" t="str">
        <f>IF(coder1_YH!M177 = "", P176, LEFT(coder1_YH!M177,1))</f>
        <v>1</v>
      </c>
      <c r="Q177" s="321">
        <f>coder1_YH!P177</f>
        <v>0</v>
      </c>
      <c r="R177" s="321">
        <f>coder1_YH!Q177</f>
        <v>0</v>
      </c>
      <c r="S177" s="323" t="str">
        <f t="shared" si="44"/>
        <v>N</v>
      </c>
      <c r="T177" s="323" t="str">
        <f t="shared" si="45"/>
        <v/>
      </c>
      <c r="U177" s="323" t="str">
        <f t="shared" si="46"/>
        <v/>
      </c>
      <c r="V177" s="323" t="str">
        <f t="shared" si="47"/>
        <v/>
      </c>
      <c r="W177" s="323">
        <f t="shared" si="48"/>
        <v>1</v>
      </c>
      <c r="X177" s="385" t="str">
        <f>IF(coder1_YH!N177 = "",X176,coder1_YH!N177)</f>
        <v>N</v>
      </c>
      <c r="Y177" s="385" t="str">
        <f>IF(coder1_YH!O177 = "",Y176,coder1_YH!O177)</f>
        <v xml:space="preserve">m </v>
      </c>
      <c r="Z177" s="385" t="str">
        <f t="shared" si="49"/>
        <v>M</v>
      </c>
      <c r="AA177" s="385" t="str">
        <f t="shared" si="50"/>
        <v>R</v>
      </c>
      <c r="AB177" s="385" t="str">
        <f t="shared" si="51"/>
        <v>MR</v>
      </c>
      <c r="AC177" s="323" t="str">
        <f t="shared" si="52"/>
        <v xml:space="preserve">Nm </v>
      </c>
      <c r="AD177" s="323" t="str">
        <f t="shared" si="53"/>
        <v>N_R</v>
      </c>
      <c r="AF177" s="369" t="str">
        <f t="shared" si="54"/>
        <v xml:space="preserve">129.2-Nm </v>
      </c>
      <c r="AG177" s="369" t="str">
        <f t="shared" si="55"/>
        <v>129.2-N_R</v>
      </c>
      <c r="AH177" s="344">
        <f>IF(coder1_YH!R177="",AH176,coder1_YH!R177)</f>
        <v>5</v>
      </c>
      <c r="AI177" s="344">
        <f t="shared" si="39"/>
        <v>5</v>
      </c>
      <c r="AJ177" s="345">
        <f t="shared" si="56"/>
        <v>0</v>
      </c>
      <c r="AK177" s="408">
        <f>IF(coder1_YH!S177="",AK176,coder1_YH!S177)</f>
        <v>10.5</v>
      </c>
      <c r="AL177" s="345">
        <f>IF(coder1_YH!T177="",AL176,IF(coder1_YH!T177="mixed",0.25,coder1_YH!T177))</f>
        <v>1</v>
      </c>
      <c r="AM177" s="345" t="str">
        <f>IF(coder1_YH!U177 = "", AM176, IF(coder1_YH!U177="mixed","NA",coder1_YH!U177))</f>
        <v>NA</v>
      </c>
      <c r="AN177" s="345" t="str">
        <f>IF(coder1_YH!V177="",AN176,coder1_YH!V177)</f>
        <v>NA</v>
      </c>
      <c r="AO177" s="345" t="str">
        <f>IF(coder1_YH!W177="",AO176,coder1_YH!W177)</f>
        <v>NA</v>
      </c>
      <c r="AP177" s="345">
        <f>IF(coder1_YH!X177="",AP176,coder1_YH!X177)</f>
        <v>0.5</v>
      </c>
      <c r="AQ177" s="345">
        <f>IF(coder1_YH!Y177="",AQ176,coder1_YH!Y177)</f>
        <v>0.78</v>
      </c>
      <c r="AR177">
        <f>coder1_YH!AB177</f>
        <v>0</v>
      </c>
      <c r="AS177" s="345" t="str">
        <f>IF(coder1_YH!AC177 = "", AS176,IF(coder1_YH!AC177="BAU","BAU",LEFT(coder1_YH!AC177)))</f>
        <v>0</v>
      </c>
      <c r="AT177" s="345" t="str">
        <f>IF(coder1_YH!AD177 = "", AT176,IF(coder1_YH!AD177="BAU","BAU",LEFT(coder1_YH!AD177)))</f>
        <v>0</v>
      </c>
      <c r="AU177" s="345" t="str">
        <f>IF(coder1_YH!AE177 = "", AU176,IF(coder1_YH!AE177="BAU","BAU",LEFT(coder1_YH!AE177)))</f>
        <v>1</v>
      </c>
      <c r="AV177" s="345">
        <f>IF(coder1_YH!AF177="",AV176,coder1_YH!AF177)</f>
        <v>7650</v>
      </c>
      <c r="AW177" s="345">
        <f t="shared" si="57"/>
        <v>127.5</v>
      </c>
      <c r="AX177" s="345">
        <f>IF(coder1_YH!AG177="",AX176,coder1_YH!AG177)</f>
        <v>85</v>
      </c>
      <c r="AY177" s="345">
        <f>IF(coder1_YH!AH177="",AY176,coder1_YH!AH177)</f>
        <v>90</v>
      </c>
      <c r="AZ177" s="345" t="str">
        <f>IF(coder1_YH!AI177 = "", AZ176, IF(coder1_YH!AI177="BAU","BAU",LEFT(coder1_YH!AI177)))</f>
        <v>1</v>
      </c>
      <c r="BA177" s="384">
        <f>clean_data!Y177</f>
        <v>40</v>
      </c>
    </row>
    <row r="178" spans="1:53" x14ac:dyDescent="0.2">
      <c r="A178">
        <f>coder1_YH!B178</f>
        <v>0</v>
      </c>
      <c r="B178">
        <f>coder1_YH!C178</f>
        <v>178</v>
      </c>
      <c r="C178">
        <f>coder1_YH!D178</f>
        <v>0</v>
      </c>
      <c r="D178" t="str">
        <f>coder1_YH!E178</f>
        <v/>
      </c>
      <c r="E178" t="str">
        <f>coder1_YH!F178</f>
        <v/>
      </c>
      <c r="F178" s="321" t="str">
        <f>IF(coder1_YH!G178="", clean_mod!F177, coder1_YH!G178)</f>
        <v>Guthrie et al., 1998</v>
      </c>
      <c r="G178" s="321" t="str">
        <f t="shared" si="40"/>
        <v>129</v>
      </c>
      <c r="H178" s="321">
        <f>IF(coder1_YH!H178="", clean_mod!H177, coder1_YH!H178)</f>
        <v>129.19999999999999</v>
      </c>
      <c r="I178" s="404" t="str">
        <f t="shared" si="58"/>
        <v>1998</v>
      </c>
      <c r="J178" s="344" t="str">
        <f>IF(coder1_YH!I178="",J177,coder1_YH!I178)</f>
        <v>USA</v>
      </c>
      <c r="K178" s="345">
        <f t="shared" si="42"/>
        <v>0</v>
      </c>
      <c r="L178" s="344" t="str">
        <f>IF(coder1_YH!J178 = "",L177, coder1_YH!J178)</f>
        <v>English</v>
      </c>
      <c r="M178" s="345">
        <f t="shared" si="43"/>
        <v>0</v>
      </c>
      <c r="N178" s="345" t="str">
        <f>IF(coder1_YH!K178 = "", N177, LEFT(coder1_YH!K178,1))</f>
        <v>0</v>
      </c>
      <c r="O178" s="345" t="str">
        <f>IF(coder1_YH!L178 = "", O177, LEFT(coder1_YH!L178,1))</f>
        <v>0</v>
      </c>
      <c r="P178" s="345" t="str">
        <f>IF(coder1_YH!M178 = "", P177, LEFT(coder1_YH!M178,1))</f>
        <v>1</v>
      </c>
      <c r="Q178" s="321">
        <f>coder1_YH!P178</f>
        <v>0</v>
      </c>
      <c r="R178" s="321">
        <f>coder1_YH!Q178</f>
        <v>0</v>
      </c>
      <c r="S178" s="323" t="str">
        <f t="shared" si="44"/>
        <v>N</v>
      </c>
      <c r="T178" s="323" t="str">
        <f t="shared" si="45"/>
        <v/>
      </c>
      <c r="U178" s="323" t="str">
        <f t="shared" si="46"/>
        <v/>
      </c>
      <c r="V178" s="323" t="str">
        <f t="shared" si="47"/>
        <v/>
      </c>
      <c r="W178" s="323">
        <f t="shared" si="48"/>
        <v>1</v>
      </c>
      <c r="X178" s="385" t="str">
        <f>IF(coder1_YH!N178 = "",X177,coder1_YH!N178)</f>
        <v>N</v>
      </c>
      <c r="Y178" s="385" t="str">
        <f>IF(coder1_YH!O178 = "",Y177,coder1_YH!O178)</f>
        <v xml:space="preserve">m </v>
      </c>
      <c r="Z178" s="385" t="str">
        <f t="shared" si="49"/>
        <v>M</v>
      </c>
      <c r="AA178" s="385" t="str">
        <f t="shared" si="50"/>
        <v>R</v>
      </c>
      <c r="AB178" s="385" t="str">
        <f t="shared" si="51"/>
        <v>MR</v>
      </c>
      <c r="AC178" s="323" t="str">
        <f t="shared" si="52"/>
        <v xml:space="preserve">Nm </v>
      </c>
      <c r="AD178" s="323" t="str">
        <f t="shared" si="53"/>
        <v>N_R</v>
      </c>
      <c r="AF178" s="369" t="str">
        <f t="shared" si="54"/>
        <v xml:space="preserve">129.2-Nm </v>
      </c>
      <c r="AG178" s="369" t="str">
        <f t="shared" si="55"/>
        <v>129.2-N_R</v>
      </c>
      <c r="AH178" s="344">
        <f>IF(coder1_YH!R178="",AH177,coder1_YH!R178)</f>
        <v>5</v>
      </c>
      <c r="AI178" s="344">
        <f t="shared" si="39"/>
        <v>5</v>
      </c>
      <c r="AJ178" s="345">
        <f t="shared" si="56"/>
        <v>0</v>
      </c>
      <c r="AK178" s="408">
        <f>IF(coder1_YH!S178="",AK177,coder1_YH!S178)</f>
        <v>10.5</v>
      </c>
      <c r="AL178" s="345">
        <f>IF(coder1_YH!T178="",AL177,IF(coder1_YH!T178="mixed",0.25,coder1_YH!T178))</f>
        <v>1</v>
      </c>
      <c r="AM178" s="345" t="str">
        <f>IF(coder1_YH!U178 = "", AM177, IF(coder1_YH!U178="mixed","NA",coder1_YH!U178))</f>
        <v>NA</v>
      </c>
      <c r="AN178" s="345" t="str">
        <f>IF(coder1_YH!V178="",AN177,coder1_YH!V178)</f>
        <v>NA</v>
      </c>
      <c r="AO178" s="345" t="str">
        <f>IF(coder1_YH!W178="",AO177,coder1_YH!W178)</f>
        <v>NA</v>
      </c>
      <c r="AP178" s="345">
        <f>IF(coder1_YH!X178="",AP177,coder1_YH!X178)</f>
        <v>0.5</v>
      </c>
      <c r="AQ178" s="345">
        <f>IF(coder1_YH!Y178="",AQ177,coder1_YH!Y178)</f>
        <v>0.78</v>
      </c>
      <c r="AR178">
        <f>coder1_YH!AB178</f>
        <v>0</v>
      </c>
      <c r="AS178" s="345" t="str">
        <f>IF(coder1_YH!AC178 = "", AS177,IF(coder1_YH!AC178="BAU","BAU",LEFT(coder1_YH!AC178)))</f>
        <v>0</v>
      </c>
      <c r="AT178" s="345" t="str">
        <f>IF(coder1_YH!AD178 = "", AT177,IF(coder1_YH!AD178="BAU","BAU",LEFT(coder1_YH!AD178)))</f>
        <v>0</v>
      </c>
      <c r="AU178" s="345" t="str">
        <f>IF(coder1_YH!AE178 = "", AU177,IF(coder1_YH!AE178="BAU","BAU",LEFT(coder1_YH!AE178)))</f>
        <v>1</v>
      </c>
      <c r="AV178" s="345">
        <f>IF(coder1_YH!AF178="",AV177,coder1_YH!AF178)</f>
        <v>7650</v>
      </c>
      <c r="AW178" s="345">
        <f t="shared" si="57"/>
        <v>127.5</v>
      </c>
      <c r="AX178" s="345">
        <f>IF(coder1_YH!AG178="",AX177,coder1_YH!AG178)</f>
        <v>85</v>
      </c>
      <c r="AY178" s="345">
        <f>IF(coder1_YH!AH178="",AY177,coder1_YH!AH178)</f>
        <v>90</v>
      </c>
      <c r="AZ178" s="345" t="str">
        <f>IF(coder1_YH!AI178 = "", AZ177, IF(coder1_YH!AI178="BAU","BAU",LEFT(coder1_YH!AI178)))</f>
        <v>1</v>
      </c>
      <c r="BA178" s="384">
        <f>clean_data!Y178</f>
        <v>40</v>
      </c>
    </row>
    <row r="179" spans="1:53" x14ac:dyDescent="0.2">
      <c r="A179">
        <f>coder1_YH!B179</f>
        <v>0</v>
      </c>
      <c r="B179">
        <f>coder1_YH!C179</f>
        <v>179</v>
      </c>
      <c r="C179">
        <f>coder1_YH!D179</f>
        <v>0</v>
      </c>
      <c r="D179" t="str">
        <f>coder1_YH!E179</f>
        <v/>
      </c>
      <c r="E179" t="str">
        <f>coder1_YH!F179</f>
        <v/>
      </c>
      <c r="F179" s="321" t="str">
        <f>IF(coder1_YH!G179="", clean_mod!F178, coder1_YH!G179)</f>
        <v>Guthrie et al., 1998</v>
      </c>
      <c r="G179" s="321" t="str">
        <f t="shared" si="40"/>
        <v>129</v>
      </c>
      <c r="H179" s="321">
        <f>IF(coder1_YH!H179="", clean_mod!H178, coder1_YH!H179)</f>
        <v>129.19999999999999</v>
      </c>
      <c r="I179" s="404" t="str">
        <f t="shared" si="58"/>
        <v>1998</v>
      </c>
      <c r="J179" s="344" t="str">
        <f>IF(coder1_YH!I179="",J178,coder1_YH!I179)</f>
        <v>USA</v>
      </c>
      <c r="K179" s="345">
        <f t="shared" si="42"/>
        <v>0</v>
      </c>
      <c r="L179" s="344" t="str">
        <f>IF(coder1_YH!J179 = "",L178, coder1_YH!J179)</f>
        <v>English</v>
      </c>
      <c r="M179" s="345">
        <f t="shared" si="43"/>
        <v>0</v>
      </c>
      <c r="N179" s="345" t="str">
        <f>IF(coder1_YH!K179 = "", N178, LEFT(coder1_YH!K179,1))</f>
        <v>0</v>
      </c>
      <c r="O179" s="345" t="str">
        <f>IF(coder1_YH!L179 = "", O178, LEFT(coder1_YH!L179,1))</f>
        <v>0</v>
      </c>
      <c r="P179" s="345" t="str">
        <f>IF(coder1_YH!M179 = "", P178, LEFT(coder1_YH!M179,1))</f>
        <v>1</v>
      </c>
      <c r="Q179" s="321">
        <f>coder1_YH!P179</f>
        <v>0</v>
      </c>
      <c r="R179" s="321">
        <f>coder1_YH!Q179</f>
        <v>0</v>
      </c>
      <c r="S179" s="323" t="str">
        <f t="shared" si="44"/>
        <v>N</v>
      </c>
      <c r="T179" s="323" t="str">
        <f t="shared" si="45"/>
        <v/>
      </c>
      <c r="U179" s="323" t="str">
        <f t="shared" si="46"/>
        <v/>
      </c>
      <c r="V179" s="323" t="str">
        <f t="shared" si="47"/>
        <v/>
      </c>
      <c r="W179" s="323">
        <f t="shared" si="48"/>
        <v>1</v>
      </c>
      <c r="X179" s="385" t="str">
        <f>IF(coder1_YH!N179 = "",X178,coder1_YH!N179)</f>
        <v>N</v>
      </c>
      <c r="Y179" s="385" t="str">
        <f>IF(coder1_YH!O179 = "",Y178,coder1_YH!O179)</f>
        <v xml:space="preserve">m </v>
      </c>
      <c r="Z179" s="385" t="str">
        <f t="shared" si="49"/>
        <v>M</v>
      </c>
      <c r="AA179" s="385" t="str">
        <f t="shared" si="50"/>
        <v>R</v>
      </c>
      <c r="AB179" s="385" t="str">
        <f t="shared" si="51"/>
        <v>MR</v>
      </c>
      <c r="AC179" s="323" t="str">
        <f t="shared" si="52"/>
        <v xml:space="preserve">Nm </v>
      </c>
      <c r="AD179" s="323" t="str">
        <f t="shared" si="53"/>
        <v>N_R</v>
      </c>
      <c r="AF179" s="369" t="str">
        <f t="shared" si="54"/>
        <v xml:space="preserve">129.2-Nm </v>
      </c>
      <c r="AG179" s="369" t="str">
        <f t="shared" si="55"/>
        <v>129.2-N_R</v>
      </c>
      <c r="AH179" s="344">
        <f>IF(coder1_YH!R179="",AH178,coder1_YH!R179)</f>
        <v>5</v>
      </c>
      <c r="AI179" s="344">
        <f t="shared" si="39"/>
        <v>5</v>
      </c>
      <c r="AJ179" s="345">
        <f t="shared" si="56"/>
        <v>0</v>
      </c>
      <c r="AK179" s="408">
        <f>IF(coder1_YH!S179="",AK178,coder1_YH!S179)</f>
        <v>10.5</v>
      </c>
      <c r="AL179" s="345">
        <f>IF(coder1_YH!T179="",AL178,IF(coder1_YH!T179="mixed",0.25,coder1_YH!T179))</f>
        <v>1</v>
      </c>
      <c r="AM179" s="345" t="str">
        <f>IF(coder1_YH!U179 = "", AM178, IF(coder1_YH!U179="mixed","NA",coder1_YH!U179))</f>
        <v>NA</v>
      </c>
      <c r="AN179" s="345" t="str">
        <f>IF(coder1_YH!V179="",AN178,coder1_YH!V179)</f>
        <v>NA</v>
      </c>
      <c r="AO179" s="345" t="str">
        <f>IF(coder1_YH!W179="",AO178,coder1_YH!W179)</f>
        <v>NA</v>
      </c>
      <c r="AP179" s="345">
        <f>IF(coder1_YH!X179="",AP178,coder1_YH!X179)</f>
        <v>0.5</v>
      </c>
      <c r="AQ179" s="345">
        <f>IF(coder1_YH!Y179="",AQ178,coder1_YH!Y179)</f>
        <v>0.78</v>
      </c>
      <c r="AR179">
        <f>coder1_YH!AB179</f>
        <v>0</v>
      </c>
      <c r="AS179" s="345" t="str">
        <f>IF(coder1_YH!AC179 = "", AS178,IF(coder1_YH!AC179="BAU","BAU",LEFT(coder1_YH!AC179)))</f>
        <v>0</v>
      </c>
      <c r="AT179" s="345" t="str">
        <f>IF(coder1_YH!AD179 = "", AT178,IF(coder1_YH!AD179="BAU","BAU",LEFT(coder1_YH!AD179)))</f>
        <v>0</v>
      </c>
      <c r="AU179" s="345" t="str">
        <f>IF(coder1_YH!AE179 = "", AU178,IF(coder1_YH!AE179="BAU","BAU",LEFT(coder1_YH!AE179)))</f>
        <v>1</v>
      </c>
      <c r="AV179" s="345">
        <f>IF(coder1_YH!AF179="",AV178,coder1_YH!AF179)</f>
        <v>7650</v>
      </c>
      <c r="AW179" s="345">
        <f t="shared" si="57"/>
        <v>127.5</v>
      </c>
      <c r="AX179" s="345">
        <f>IF(coder1_YH!AG179="",AX178,coder1_YH!AG179)</f>
        <v>85</v>
      </c>
      <c r="AY179" s="345">
        <f>IF(coder1_YH!AH179="",AY178,coder1_YH!AH179)</f>
        <v>90</v>
      </c>
      <c r="AZ179" s="345" t="str">
        <f>IF(coder1_YH!AI179 = "", AZ178, IF(coder1_YH!AI179="BAU","BAU",LEFT(coder1_YH!AI179)))</f>
        <v>1</v>
      </c>
      <c r="BA179" s="384" t="str">
        <f>clean_data!Y179</f>
        <v>NA</v>
      </c>
    </row>
    <row r="180" spans="1:53" x14ac:dyDescent="0.2">
      <c r="A180">
        <f>coder1_YH!B180</f>
        <v>0</v>
      </c>
      <c r="B180">
        <f>coder1_YH!C180</f>
        <v>180</v>
      </c>
      <c r="C180">
        <f>coder1_YH!D180</f>
        <v>0</v>
      </c>
      <c r="D180" t="str">
        <f>coder1_YH!E180</f>
        <v/>
      </c>
      <c r="E180" t="str">
        <f>coder1_YH!F180</f>
        <v/>
      </c>
      <c r="F180" s="321" t="str">
        <f>IF(coder1_YH!G180="", clean_mod!F179, coder1_YH!G180)</f>
        <v>Guthrie et al., 1998</v>
      </c>
      <c r="G180" s="321" t="str">
        <f t="shared" si="40"/>
        <v>129</v>
      </c>
      <c r="H180" s="321">
        <f>IF(coder1_YH!H180="", clean_mod!H179, coder1_YH!H180)</f>
        <v>129.19999999999999</v>
      </c>
      <c r="I180" s="404" t="str">
        <f t="shared" si="58"/>
        <v>1998</v>
      </c>
      <c r="J180" s="344" t="str">
        <f>IF(coder1_YH!I180="",J179,coder1_YH!I180)</f>
        <v>USA</v>
      </c>
      <c r="K180" s="345">
        <f t="shared" si="42"/>
        <v>0</v>
      </c>
      <c r="L180" s="344" t="str">
        <f>IF(coder1_YH!J180 = "",L179, coder1_YH!J180)</f>
        <v>English</v>
      </c>
      <c r="M180" s="345">
        <f t="shared" si="43"/>
        <v>0</v>
      </c>
      <c r="N180" s="345" t="str">
        <f>IF(coder1_YH!K180 = "", N179, LEFT(coder1_YH!K180,1))</f>
        <v>0</v>
      </c>
      <c r="O180" s="345" t="str">
        <f>IF(coder1_YH!L180 = "", O179, LEFT(coder1_YH!L180,1))</f>
        <v>0</v>
      </c>
      <c r="P180" s="345" t="str">
        <f>IF(coder1_YH!M180 = "", P179, LEFT(coder1_YH!M180,1))</f>
        <v>1</v>
      </c>
      <c r="Q180" s="321">
        <f>coder1_YH!P180</f>
        <v>0</v>
      </c>
      <c r="R180" s="321">
        <f>coder1_YH!Q180</f>
        <v>0</v>
      </c>
      <c r="S180" s="323" t="str">
        <f t="shared" si="44"/>
        <v>N</v>
      </c>
      <c r="T180" s="323" t="str">
        <f t="shared" si="45"/>
        <v/>
      </c>
      <c r="U180" s="323" t="str">
        <f t="shared" si="46"/>
        <v/>
      </c>
      <c r="V180" s="323" t="str">
        <f t="shared" si="47"/>
        <v/>
      </c>
      <c r="W180" s="323">
        <f t="shared" si="48"/>
        <v>1</v>
      </c>
      <c r="X180" s="385" t="str">
        <f>IF(coder1_YH!N180 = "",X179,coder1_YH!N180)</f>
        <v>N</v>
      </c>
      <c r="Y180" s="385" t="str">
        <f>IF(coder1_YH!O180 = "",Y179,coder1_YH!O180)</f>
        <v xml:space="preserve">m </v>
      </c>
      <c r="Z180" s="385" t="str">
        <f t="shared" si="49"/>
        <v>M</v>
      </c>
      <c r="AA180" s="385" t="str">
        <f t="shared" si="50"/>
        <v>R</v>
      </c>
      <c r="AB180" s="385" t="str">
        <f t="shared" si="51"/>
        <v>MR</v>
      </c>
      <c r="AC180" s="323" t="str">
        <f t="shared" si="52"/>
        <v xml:space="preserve">Nm </v>
      </c>
      <c r="AD180" s="323" t="str">
        <f t="shared" si="53"/>
        <v>N_R</v>
      </c>
      <c r="AF180" s="369" t="str">
        <f t="shared" si="54"/>
        <v xml:space="preserve">129.2-Nm </v>
      </c>
      <c r="AG180" s="369" t="str">
        <f t="shared" si="55"/>
        <v>129.2-N_R</v>
      </c>
      <c r="AH180" s="344">
        <f>IF(coder1_YH!R180="",AH179,coder1_YH!R180)</f>
        <v>5</v>
      </c>
      <c r="AI180" s="344">
        <f t="shared" si="39"/>
        <v>5</v>
      </c>
      <c r="AJ180" s="345">
        <f t="shared" si="56"/>
        <v>0</v>
      </c>
      <c r="AK180" s="408">
        <f>IF(coder1_YH!S180="",AK179,coder1_YH!S180)</f>
        <v>10.5</v>
      </c>
      <c r="AL180" s="345">
        <f>IF(coder1_YH!T180="",AL179,IF(coder1_YH!T180="mixed",0.25,coder1_YH!T180))</f>
        <v>1</v>
      </c>
      <c r="AM180" s="345" t="str">
        <f>IF(coder1_YH!U180 = "", AM179, IF(coder1_YH!U180="mixed","NA",coder1_YH!U180))</f>
        <v>NA</v>
      </c>
      <c r="AN180" s="345" t="str">
        <f>IF(coder1_YH!V180="",AN179,coder1_YH!V180)</f>
        <v>NA</v>
      </c>
      <c r="AO180" s="345" t="str">
        <f>IF(coder1_YH!W180="",AO179,coder1_YH!W180)</f>
        <v>NA</v>
      </c>
      <c r="AP180" s="345">
        <f>IF(coder1_YH!X180="",AP179,coder1_YH!X180)</f>
        <v>0.5</v>
      </c>
      <c r="AQ180" s="345">
        <f>IF(coder1_YH!Y180="",AQ179,coder1_YH!Y180)</f>
        <v>0.78</v>
      </c>
      <c r="AR180">
        <f>coder1_YH!AB180</f>
        <v>0</v>
      </c>
      <c r="AS180" s="345" t="str">
        <f>IF(coder1_YH!AC180 = "", AS179,IF(coder1_YH!AC180="BAU","BAU",LEFT(coder1_YH!AC180)))</f>
        <v>0</v>
      </c>
      <c r="AT180" s="345" t="str">
        <f>IF(coder1_YH!AD180 = "", AT179,IF(coder1_YH!AD180="BAU","BAU",LEFT(coder1_YH!AD180)))</f>
        <v>0</v>
      </c>
      <c r="AU180" s="345" t="str">
        <f>IF(coder1_YH!AE180 = "", AU179,IF(coder1_YH!AE180="BAU","BAU",LEFT(coder1_YH!AE180)))</f>
        <v>1</v>
      </c>
      <c r="AV180" s="345">
        <f>IF(coder1_YH!AF180="",AV179,coder1_YH!AF180)</f>
        <v>7650</v>
      </c>
      <c r="AW180" s="345">
        <f t="shared" si="57"/>
        <v>127.5</v>
      </c>
      <c r="AX180" s="345">
        <f>IF(coder1_YH!AG180="",AX179,coder1_YH!AG180)</f>
        <v>85</v>
      </c>
      <c r="AY180" s="345">
        <f>IF(coder1_YH!AH180="",AY179,coder1_YH!AH180)</f>
        <v>90</v>
      </c>
      <c r="AZ180" s="345" t="str">
        <f>IF(coder1_YH!AI180 = "", AZ179, IF(coder1_YH!AI180="BAU","BAU",LEFT(coder1_YH!AI180)))</f>
        <v>1</v>
      </c>
      <c r="BA180" s="384" t="str">
        <f>clean_data!Y180</f>
        <v>NA</v>
      </c>
    </row>
    <row r="181" spans="1:53" x14ac:dyDescent="0.2">
      <c r="A181">
        <f>coder1_YH!B181</f>
        <v>0</v>
      </c>
      <c r="B181">
        <f>coder1_YH!C181</f>
        <v>181</v>
      </c>
      <c r="C181">
        <f>coder1_YH!D181</f>
        <v>0</v>
      </c>
      <c r="D181" t="str">
        <f>coder1_YH!E181</f>
        <v/>
      </c>
      <c r="E181" t="b">
        <f>coder1_YH!F181</f>
        <v>1</v>
      </c>
      <c r="F181" s="321" t="str">
        <f>IF(coder1_YH!G181="", clean_mod!F180, coder1_YH!G181)</f>
        <v>Guthrie et al., 1998</v>
      </c>
      <c r="G181" s="321" t="str">
        <f t="shared" si="40"/>
        <v>129</v>
      </c>
      <c r="H181" s="321">
        <f>IF(coder1_YH!H181="", clean_mod!H180, coder1_YH!H181)</f>
        <v>129.19999999999999</v>
      </c>
      <c r="I181" s="404" t="str">
        <f t="shared" si="58"/>
        <v>1998</v>
      </c>
      <c r="J181" s="344" t="str">
        <f>IF(coder1_YH!I181="",J180,coder1_YH!I181)</f>
        <v>USA</v>
      </c>
      <c r="K181" s="345">
        <f t="shared" si="42"/>
        <v>0</v>
      </c>
      <c r="L181" s="344" t="str">
        <f>IF(coder1_YH!J181 = "",L180, coder1_YH!J181)</f>
        <v>English</v>
      </c>
      <c r="M181" s="345">
        <f t="shared" si="43"/>
        <v>0</v>
      </c>
      <c r="N181" s="345" t="str">
        <f>IF(coder1_YH!K181 = "", N180, LEFT(coder1_YH!K181,1))</f>
        <v>0</v>
      </c>
      <c r="O181" s="345" t="str">
        <f>IF(coder1_YH!L181 = "", O180, LEFT(coder1_YH!L181,1))</f>
        <v>0</v>
      </c>
      <c r="P181" s="345" t="str">
        <f>IF(coder1_YH!M181 = "", P180, LEFT(coder1_YH!M181,1))</f>
        <v>1</v>
      </c>
      <c r="Q181" s="321" t="str">
        <f>coder1_YH!P181</f>
        <v>ctl</v>
      </c>
      <c r="R181" s="321" t="str">
        <f>coder1_YH!Q181</f>
        <v>Traditional (Grade 5)</v>
      </c>
      <c r="S181" s="323" t="str">
        <f t="shared" si="44"/>
        <v/>
      </c>
      <c r="T181" s="323" t="str">
        <f t="shared" si="45"/>
        <v/>
      </c>
      <c r="U181" s="323" t="str">
        <f t="shared" si="46"/>
        <v/>
      </c>
      <c r="V181" s="323" t="str">
        <f t="shared" si="47"/>
        <v/>
      </c>
      <c r="W181" s="323">
        <f t="shared" si="48"/>
        <v>0</v>
      </c>
      <c r="X181" s="385" t="str">
        <f>IF(coder1_YH!N181 = "",X180,coder1_YH!N181)</f>
        <v>.</v>
      </c>
      <c r="Y181" s="385" t="str">
        <f>IF(coder1_YH!O181 = "",Y180,coder1_YH!O181)</f>
        <v>.</v>
      </c>
      <c r="Z181" s="385" t="str">
        <f t="shared" si="49"/>
        <v/>
      </c>
      <c r="AA181" s="385" t="str">
        <f t="shared" si="50"/>
        <v>BAU</v>
      </c>
      <c r="AB181" s="385" t="str">
        <f t="shared" si="51"/>
        <v>BAU</v>
      </c>
      <c r="AC181" s="323" t="str">
        <f t="shared" si="52"/>
        <v>..</v>
      </c>
      <c r="AD181" s="323" t="str">
        <f t="shared" si="53"/>
        <v>BAU</v>
      </c>
      <c r="AF181" s="369" t="str">
        <f t="shared" si="54"/>
        <v>129.2-..</v>
      </c>
      <c r="AG181" s="369" t="str">
        <f t="shared" si="55"/>
        <v>129.2-BAU</v>
      </c>
      <c r="AH181" s="344">
        <f>IF(coder1_YH!R181="",AH180,coder1_YH!R181)</f>
        <v>5</v>
      </c>
      <c r="AI181" s="344">
        <f t="shared" si="39"/>
        <v>5</v>
      </c>
      <c r="AJ181" s="345">
        <f t="shared" si="56"/>
        <v>0</v>
      </c>
      <c r="AK181" s="408">
        <f>IF(coder1_YH!S181="",AK180,coder1_YH!S181)</f>
        <v>10.5</v>
      </c>
      <c r="AL181" s="345">
        <f>IF(coder1_YH!T181="",AL180,IF(coder1_YH!T181="mixed",0.25,coder1_YH!T181))</f>
        <v>1</v>
      </c>
      <c r="AM181" s="345" t="str">
        <f>IF(coder1_YH!U181 = "", AM180, IF(coder1_YH!U181="mixed","NA",coder1_YH!U181))</f>
        <v>NA</v>
      </c>
      <c r="AN181" s="345" t="str">
        <f>IF(coder1_YH!V181="",AN180,coder1_YH!V181)</f>
        <v>NA</v>
      </c>
      <c r="AO181" s="345" t="str">
        <f>IF(coder1_YH!W181="",AO180,coder1_YH!W181)</f>
        <v>NA</v>
      </c>
      <c r="AP181" s="345">
        <f>IF(coder1_YH!X181="",AP180,coder1_YH!X181)</f>
        <v>0.5</v>
      </c>
      <c r="AQ181" s="345">
        <f>IF(coder1_YH!Y181="",AQ180,coder1_YH!Y181)</f>
        <v>0.78</v>
      </c>
      <c r="AR181" t="str">
        <f>coder1_YH!AB181</f>
        <v>1 = Published/Commercially available curriculum</v>
      </c>
      <c r="AS181" s="345" t="str">
        <f>IF(coder1_YH!AC181 = "", AS180,IF(coder1_YH!AC181="BAU","BAU",LEFT(coder1_YH!AC181)))</f>
        <v>0</v>
      </c>
      <c r="AT181" s="345" t="str">
        <f>IF(coder1_YH!AD181 = "", AT180,IF(coder1_YH!AD181="BAU","BAU",LEFT(coder1_YH!AD181)))</f>
        <v>BAU</v>
      </c>
      <c r="AU181" s="345" t="str">
        <f>IF(coder1_YH!AE181 = "", AU180,IF(coder1_YH!AE181="BAU","BAU",LEFT(coder1_YH!AE181)))</f>
        <v>1</v>
      </c>
      <c r="AV181" s="345" t="str">
        <f>IF(coder1_YH!AF181="",AV180,coder1_YH!AF181)</f>
        <v>BAU</v>
      </c>
      <c r="AW181" s="345" t="str">
        <f t="shared" si="57"/>
        <v>BAU</v>
      </c>
      <c r="AX181" s="345" t="str">
        <f>IF(coder1_YH!AG181="",AX180,coder1_YH!AG181)</f>
        <v>BAU</v>
      </c>
      <c r="AY181" s="345" t="str">
        <f>IF(coder1_YH!AH181="",AY180,coder1_YH!AH181)</f>
        <v>BAU</v>
      </c>
      <c r="AZ181" s="345" t="str">
        <f>IF(coder1_YH!AI181 = "", AZ180, IF(coder1_YH!AI181="BAU","BAU",LEFT(coder1_YH!AI181)))</f>
        <v>BAU</v>
      </c>
      <c r="BA181" s="384">
        <f>clean_data!Y181</f>
        <v>42</v>
      </c>
    </row>
    <row r="182" spans="1:53" x14ac:dyDescent="0.2">
      <c r="A182">
        <f>coder1_YH!B182</f>
        <v>0</v>
      </c>
      <c r="B182">
        <f>coder1_YH!C182</f>
        <v>182</v>
      </c>
      <c r="C182">
        <f>coder1_YH!D182</f>
        <v>0</v>
      </c>
      <c r="D182" t="str">
        <f>coder1_YH!E182</f>
        <v/>
      </c>
      <c r="E182" t="str">
        <f>coder1_YH!F182</f>
        <v/>
      </c>
      <c r="F182" s="321" t="str">
        <f>IF(coder1_YH!G182="", clean_mod!F181, coder1_YH!G182)</f>
        <v>Guthrie et al., 1998</v>
      </c>
      <c r="G182" s="321" t="str">
        <f t="shared" si="40"/>
        <v>129</v>
      </c>
      <c r="H182" s="321">
        <f>IF(coder1_YH!H182="", clean_mod!H181, coder1_YH!H182)</f>
        <v>129.19999999999999</v>
      </c>
      <c r="I182" s="404" t="str">
        <f t="shared" si="58"/>
        <v>1998</v>
      </c>
      <c r="J182" s="344" t="str">
        <f>IF(coder1_YH!I182="",J181,coder1_YH!I182)</f>
        <v>USA</v>
      </c>
      <c r="K182" s="345">
        <f t="shared" si="42"/>
        <v>0</v>
      </c>
      <c r="L182" s="344" t="str">
        <f>IF(coder1_YH!J182 = "",L181, coder1_YH!J182)</f>
        <v>English</v>
      </c>
      <c r="M182" s="345">
        <f t="shared" si="43"/>
        <v>0</v>
      </c>
      <c r="N182" s="345" t="str">
        <f>IF(coder1_YH!K182 = "", N181, LEFT(coder1_YH!K182,1))</f>
        <v>0</v>
      </c>
      <c r="O182" s="345" t="str">
        <f>IF(coder1_YH!L182 = "", O181, LEFT(coder1_YH!L182,1))</f>
        <v>0</v>
      </c>
      <c r="P182" s="345" t="str">
        <f>IF(coder1_YH!M182 = "", P181, LEFT(coder1_YH!M182,1))</f>
        <v>1</v>
      </c>
      <c r="Q182" s="321">
        <f>coder1_YH!P182</f>
        <v>0</v>
      </c>
      <c r="R182" s="321">
        <f>coder1_YH!Q182</f>
        <v>0</v>
      </c>
      <c r="S182" s="323" t="str">
        <f t="shared" si="44"/>
        <v/>
      </c>
      <c r="T182" s="323" t="str">
        <f t="shared" si="45"/>
        <v/>
      </c>
      <c r="U182" s="323" t="str">
        <f t="shared" si="46"/>
        <v/>
      </c>
      <c r="V182" s="323" t="str">
        <f t="shared" si="47"/>
        <v/>
      </c>
      <c r="W182" s="323">
        <f t="shared" si="48"/>
        <v>0</v>
      </c>
      <c r="X182" s="385" t="str">
        <f>IF(coder1_YH!N182 = "",X181,coder1_YH!N182)</f>
        <v>.</v>
      </c>
      <c r="Y182" s="385" t="str">
        <f>IF(coder1_YH!O182 = "",Y181,coder1_YH!O182)</f>
        <v>.</v>
      </c>
      <c r="Z182" s="385" t="str">
        <f t="shared" si="49"/>
        <v/>
      </c>
      <c r="AA182" s="385" t="str">
        <f t="shared" si="50"/>
        <v>BAU</v>
      </c>
      <c r="AB182" s="385" t="str">
        <f t="shared" si="51"/>
        <v>BAU</v>
      </c>
      <c r="AC182" s="323" t="str">
        <f t="shared" si="52"/>
        <v>..</v>
      </c>
      <c r="AD182" s="323" t="str">
        <f t="shared" si="53"/>
        <v>BAU</v>
      </c>
      <c r="AF182" s="369" t="str">
        <f t="shared" si="54"/>
        <v>129.2-..</v>
      </c>
      <c r="AG182" s="369" t="str">
        <f t="shared" si="55"/>
        <v>129.2-BAU</v>
      </c>
      <c r="AH182" s="344">
        <f>IF(coder1_YH!R182="",AH181,coder1_YH!R182)</f>
        <v>5</v>
      </c>
      <c r="AI182" s="344">
        <f t="shared" si="39"/>
        <v>5</v>
      </c>
      <c r="AJ182" s="345">
        <f t="shared" si="56"/>
        <v>0</v>
      </c>
      <c r="AK182" s="408">
        <f>IF(coder1_YH!S182="",AK181,coder1_YH!S182)</f>
        <v>10.5</v>
      </c>
      <c r="AL182" s="345">
        <f>IF(coder1_YH!T182="",AL181,IF(coder1_YH!T182="mixed",0.25,coder1_YH!T182))</f>
        <v>1</v>
      </c>
      <c r="AM182" s="345" t="str">
        <f>IF(coder1_YH!U182 = "", AM181, IF(coder1_YH!U182="mixed","NA",coder1_YH!U182))</f>
        <v>NA</v>
      </c>
      <c r="AN182" s="345" t="str">
        <f>IF(coder1_YH!V182="",AN181,coder1_YH!V182)</f>
        <v>NA</v>
      </c>
      <c r="AO182" s="345" t="str">
        <f>IF(coder1_YH!W182="",AO181,coder1_YH!W182)</f>
        <v>NA</v>
      </c>
      <c r="AP182" s="345">
        <f>IF(coder1_YH!X182="",AP181,coder1_YH!X182)</f>
        <v>0.5</v>
      </c>
      <c r="AQ182" s="345">
        <f>IF(coder1_YH!Y182="",AQ181,coder1_YH!Y182)</f>
        <v>0.78</v>
      </c>
      <c r="AR182">
        <f>coder1_YH!AB182</f>
        <v>0</v>
      </c>
      <c r="AS182" s="345" t="str">
        <f>IF(coder1_YH!AC182 = "", AS181,IF(coder1_YH!AC182="BAU","BAU",LEFT(coder1_YH!AC182)))</f>
        <v>0</v>
      </c>
      <c r="AT182" s="345" t="str">
        <f>IF(coder1_YH!AD182 = "", AT181,IF(coder1_YH!AD182="BAU","BAU",LEFT(coder1_YH!AD182)))</f>
        <v>BAU</v>
      </c>
      <c r="AU182" s="345" t="str">
        <f>IF(coder1_YH!AE182 = "", AU181,IF(coder1_YH!AE182="BAU","BAU",LEFT(coder1_YH!AE182)))</f>
        <v>1</v>
      </c>
      <c r="AV182" s="345" t="str">
        <f>IF(coder1_YH!AF182="",AV181,coder1_YH!AF182)</f>
        <v>BAU</v>
      </c>
      <c r="AW182" s="345" t="str">
        <f t="shared" si="57"/>
        <v>BAU</v>
      </c>
      <c r="AX182" s="345" t="str">
        <f>IF(coder1_YH!AG182="",AX181,coder1_YH!AG182)</f>
        <v>BAU</v>
      </c>
      <c r="AY182" s="345" t="str">
        <f>IF(coder1_YH!AH182="",AY181,coder1_YH!AH182)</f>
        <v>BAU</v>
      </c>
      <c r="AZ182" s="345" t="str">
        <f>IF(coder1_YH!AI182 = "", AZ181, IF(coder1_YH!AI182="BAU","BAU",LEFT(coder1_YH!AI182)))</f>
        <v>BAU</v>
      </c>
      <c r="BA182" s="384">
        <f>clean_data!Y182</f>
        <v>42</v>
      </c>
    </row>
    <row r="183" spans="1:53" x14ac:dyDescent="0.2">
      <c r="A183">
        <f>coder1_YH!B183</f>
        <v>0</v>
      </c>
      <c r="B183">
        <f>coder1_YH!C183</f>
        <v>183</v>
      </c>
      <c r="C183">
        <f>coder1_YH!D183</f>
        <v>0</v>
      </c>
      <c r="D183" t="str">
        <f>coder1_YH!E183</f>
        <v/>
      </c>
      <c r="E183" t="str">
        <f>coder1_YH!F183</f>
        <v/>
      </c>
      <c r="F183" s="321" t="str">
        <f>IF(coder1_YH!G183="", clean_mod!F182, coder1_YH!G183)</f>
        <v>Guthrie et al., 1998</v>
      </c>
      <c r="G183" s="321" t="str">
        <f t="shared" si="40"/>
        <v>129</v>
      </c>
      <c r="H183" s="321">
        <f>IF(coder1_YH!H183="", clean_mod!H182, coder1_YH!H183)</f>
        <v>129.19999999999999</v>
      </c>
      <c r="I183" s="404" t="str">
        <f t="shared" si="58"/>
        <v>1998</v>
      </c>
      <c r="J183" s="344" t="str">
        <f>IF(coder1_YH!I183="",J182,coder1_YH!I183)</f>
        <v>USA</v>
      </c>
      <c r="K183" s="345">
        <f t="shared" si="42"/>
        <v>0</v>
      </c>
      <c r="L183" s="344" t="str">
        <f>IF(coder1_YH!J183 = "",L182, coder1_YH!J183)</f>
        <v>English</v>
      </c>
      <c r="M183" s="345">
        <f t="shared" si="43"/>
        <v>0</v>
      </c>
      <c r="N183" s="345" t="str">
        <f>IF(coder1_YH!K183 = "", N182, LEFT(coder1_YH!K183,1))</f>
        <v>0</v>
      </c>
      <c r="O183" s="345" t="str">
        <f>IF(coder1_YH!L183 = "", O182, LEFT(coder1_YH!L183,1))</f>
        <v>0</v>
      </c>
      <c r="P183" s="345" t="str">
        <f>IF(coder1_YH!M183 = "", P182, LEFT(coder1_YH!M183,1))</f>
        <v>1</v>
      </c>
      <c r="Q183" s="321">
        <f>coder1_YH!P183</f>
        <v>0</v>
      </c>
      <c r="R183" s="321">
        <f>coder1_YH!Q183</f>
        <v>0</v>
      </c>
      <c r="S183" s="323" t="str">
        <f t="shared" si="44"/>
        <v/>
      </c>
      <c r="T183" s="323" t="str">
        <f t="shared" si="45"/>
        <v/>
      </c>
      <c r="U183" s="323" t="str">
        <f t="shared" si="46"/>
        <v/>
      </c>
      <c r="V183" s="323" t="str">
        <f t="shared" si="47"/>
        <v/>
      </c>
      <c r="W183" s="323">
        <f t="shared" si="48"/>
        <v>0</v>
      </c>
      <c r="X183" s="385" t="str">
        <f>IF(coder1_YH!N183 = "",X182,coder1_YH!N183)</f>
        <v>.</v>
      </c>
      <c r="Y183" s="385" t="str">
        <f>IF(coder1_YH!O183 = "",Y182,coder1_YH!O183)</f>
        <v>.</v>
      </c>
      <c r="Z183" s="385" t="str">
        <f t="shared" si="49"/>
        <v/>
      </c>
      <c r="AA183" s="385" t="str">
        <f t="shared" si="50"/>
        <v>BAU</v>
      </c>
      <c r="AB183" s="385" t="str">
        <f t="shared" si="51"/>
        <v>BAU</v>
      </c>
      <c r="AC183" s="323" t="str">
        <f t="shared" si="52"/>
        <v>..</v>
      </c>
      <c r="AD183" s="323" t="str">
        <f t="shared" si="53"/>
        <v>BAU</v>
      </c>
      <c r="AF183" s="369" t="str">
        <f t="shared" si="54"/>
        <v>129.2-..</v>
      </c>
      <c r="AG183" s="369" t="str">
        <f t="shared" si="55"/>
        <v>129.2-BAU</v>
      </c>
      <c r="AH183" s="344">
        <f>IF(coder1_YH!R183="",AH182,coder1_YH!R183)</f>
        <v>5</v>
      </c>
      <c r="AI183" s="344">
        <f t="shared" si="39"/>
        <v>5</v>
      </c>
      <c r="AJ183" s="345">
        <f t="shared" si="56"/>
        <v>0</v>
      </c>
      <c r="AK183" s="408">
        <f>IF(coder1_YH!S183="",AK182,coder1_YH!S183)</f>
        <v>10.5</v>
      </c>
      <c r="AL183" s="345">
        <f>IF(coder1_YH!T183="",AL182,IF(coder1_YH!T183="mixed",0.25,coder1_YH!T183))</f>
        <v>1</v>
      </c>
      <c r="AM183" s="345" t="str">
        <f>IF(coder1_YH!U183 = "", AM182, IF(coder1_YH!U183="mixed","NA",coder1_YH!U183))</f>
        <v>NA</v>
      </c>
      <c r="AN183" s="345" t="str">
        <f>IF(coder1_YH!V183="",AN182,coder1_YH!V183)</f>
        <v>NA</v>
      </c>
      <c r="AO183" s="345" t="str">
        <f>IF(coder1_YH!W183="",AO182,coder1_YH!W183)</f>
        <v>NA</v>
      </c>
      <c r="AP183" s="345">
        <f>IF(coder1_YH!X183="",AP182,coder1_YH!X183)</f>
        <v>0.5</v>
      </c>
      <c r="AQ183" s="345">
        <f>IF(coder1_YH!Y183="",AQ182,coder1_YH!Y183)</f>
        <v>0.78</v>
      </c>
      <c r="AR183">
        <f>coder1_YH!AB183</f>
        <v>0</v>
      </c>
      <c r="AS183" s="345" t="str">
        <f>IF(coder1_YH!AC183 = "", AS182,IF(coder1_YH!AC183="BAU","BAU",LEFT(coder1_YH!AC183)))</f>
        <v>0</v>
      </c>
      <c r="AT183" s="345" t="str">
        <f>IF(coder1_YH!AD183 = "", AT182,IF(coder1_YH!AD183="BAU","BAU",LEFT(coder1_YH!AD183)))</f>
        <v>BAU</v>
      </c>
      <c r="AU183" s="345" t="str">
        <f>IF(coder1_YH!AE183 = "", AU182,IF(coder1_YH!AE183="BAU","BAU",LEFT(coder1_YH!AE183)))</f>
        <v>1</v>
      </c>
      <c r="AV183" s="345" t="str">
        <f>IF(coder1_YH!AF183="",AV182,coder1_YH!AF183)</f>
        <v>BAU</v>
      </c>
      <c r="AW183" s="345" t="str">
        <f t="shared" si="57"/>
        <v>BAU</v>
      </c>
      <c r="AX183" s="345" t="str">
        <f>IF(coder1_YH!AG183="",AX182,coder1_YH!AG183)</f>
        <v>BAU</v>
      </c>
      <c r="AY183" s="345" t="str">
        <f>IF(coder1_YH!AH183="",AY182,coder1_YH!AH183)</f>
        <v>BAU</v>
      </c>
      <c r="AZ183" s="345" t="str">
        <f>IF(coder1_YH!AI183 = "", AZ182, IF(coder1_YH!AI183="BAU","BAU",LEFT(coder1_YH!AI183)))</f>
        <v>BAU</v>
      </c>
      <c r="BA183" s="384">
        <f>clean_data!Y183</f>
        <v>42</v>
      </c>
    </row>
    <row r="184" spans="1:53" x14ac:dyDescent="0.2">
      <c r="A184">
        <f>coder1_YH!B184</f>
        <v>0</v>
      </c>
      <c r="B184">
        <f>coder1_YH!C184</f>
        <v>184</v>
      </c>
      <c r="C184">
        <f>coder1_YH!D184</f>
        <v>0</v>
      </c>
      <c r="D184" t="str">
        <f>coder1_YH!E184</f>
        <v/>
      </c>
      <c r="E184" t="str">
        <f>coder1_YH!F184</f>
        <v/>
      </c>
      <c r="F184" s="321" t="str">
        <f>IF(coder1_YH!G184="", clean_mod!F183, coder1_YH!G184)</f>
        <v>Guthrie et al., 1998</v>
      </c>
      <c r="G184" s="321" t="str">
        <f t="shared" si="40"/>
        <v>129</v>
      </c>
      <c r="H184" s="321">
        <f>IF(coder1_YH!H184="", clean_mod!H183, coder1_YH!H184)</f>
        <v>129.19999999999999</v>
      </c>
      <c r="I184" s="404" t="str">
        <f t="shared" si="58"/>
        <v>1998</v>
      </c>
      <c r="J184" s="344" t="str">
        <f>IF(coder1_YH!I184="",J183,coder1_YH!I184)</f>
        <v>USA</v>
      </c>
      <c r="K184" s="345">
        <f t="shared" si="42"/>
        <v>0</v>
      </c>
      <c r="L184" s="344" t="str">
        <f>IF(coder1_YH!J184 = "",L183, coder1_YH!J184)</f>
        <v>English</v>
      </c>
      <c r="M184" s="345">
        <f t="shared" si="43"/>
        <v>0</v>
      </c>
      <c r="N184" s="345" t="str">
        <f>IF(coder1_YH!K184 = "", N183, LEFT(coder1_YH!K184,1))</f>
        <v>0</v>
      </c>
      <c r="O184" s="345" t="str">
        <f>IF(coder1_YH!L184 = "", O183, LEFT(coder1_YH!L184,1))</f>
        <v>0</v>
      </c>
      <c r="P184" s="345" t="str">
        <f>IF(coder1_YH!M184 = "", P183, LEFT(coder1_YH!M184,1))</f>
        <v>1</v>
      </c>
      <c r="Q184" s="321">
        <f>coder1_YH!P184</f>
        <v>0</v>
      </c>
      <c r="R184" s="321">
        <f>coder1_YH!Q184</f>
        <v>0</v>
      </c>
      <c r="S184" s="323" t="str">
        <f t="shared" si="44"/>
        <v/>
      </c>
      <c r="T184" s="323" t="str">
        <f t="shared" si="45"/>
        <v/>
      </c>
      <c r="U184" s="323" t="str">
        <f t="shared" si="46"/>
        <v/>
      </c>
      <c r="V184" s="323" t="str">
        <f t="shared" si="47"/>
        <v/>
      </c>
      <c r="W184" s="323">
        <f t="shared" si="48"/>
        <v>0</v>
      </c>
      <c r="X184" s="385" t="str">
        <f>IF(coder1_YH!N184 = "",X183,coder1_YH!N184)</f>
        <v>.</v>
      </c>
      <c r="Y184" s="385" t="str">
        <f>IF(coder1_YH!O184 = "",Y183,coder1_YH!O184)</f>
        <v>.</v>
      </c>
      <c r="Z184" s="385" t="str">
        <f t="shared" si="49"/>
        <v/>
      </c>
      <c r="AA184" s="385" t="str">
        <f t="shared" si="50"/>
        <v>BAU</v>
      </c>
      <c r="AB184" s="385" t="str">
        <f t="shared" si="51"/>
        <v>BAU</v>
      </c>
      <c r="AC184" s="323" t="str">
        <f t="shared" si="52"/>
        <v>..</v>
      </c>
      <c r="AD184" s="323" t="str">
        <f t="shared" si="53"/>
        <v>BAU</v>
      </c>
      <c r="AF184" s="369" t="str">
        <f t="shared" si="54"/>
        <v>129.2-..</v>
      </c>
      <c r="AG184" s="369" t="str">
        <f t="shared" si="55"/>
        <v>129.2-BAU</v>
      </c>
      <c r="AH184" s="344">
        <f>IF(coder1_YH!R184="",AH183,coder1_YH!R184)</f>
        <v>5</v>
      </c>
      <c r="AI184" s="344">
        <f t="shared" si="39"/>
        <v>5</v>
      </c>
      <c r="AJ184" s="345">
        <f t="shared" si="56"/>
        <v>0</v>
      </c>
      <c r="AK184" s="408">
        <f>IF(coder1_YH!S184="",AK183,coder1_YH!S184)</f>
        <v>10.5</v>
      </c>
      <c r="AL184" s="345">
        <f>IF(coder1_YH!T184="",AL183,IF(coder1_YH!T184="mixed",0.25,coder1_YH!T184))</f>
        <v>1</v>
      </c>
      <c r="AM184" s="345" t="str">
        <f>IF(coder1_YH!U184 = "", AM183, IF(coder1_YH!U184="mixed","NA",coder1_YH!U184))</f>
        <v>NA</v>
      </c>
      <c r="AN184" s="345" t="str">
        <f>IF(coder1_YH!V184="",AN183,coder1_YH!V184)</f>
        <v>NA</v>
      </c>
      <c r="AO184" s="345" t="str">
        <f>IF(coder1_YH!W184="",AO183,coder1_YH!W184)</f>
        <v>NA</v>
      </c>
      <c r="AP184" s="345">
        <f>IF(coder1_YH!X184="",AP183,coder1_YH!X184)</f>
        <v>0.5</v>
      </c>
      <c r="AQ184" s="345">
        <f>IF(coder1_YH!Y184="",AQ183,coder1_YH!Y184)</f>
        <v>0.78</v>
      </c>
      <c r="AR184">
        <f>coder1_YH!AB184</f>
        <v>0</v>
      </c>
      <c r="AS184" s="345" t="str">
        <f>IF(coder1_YH!AC184 = "", AS183,IF(coder1_YH!AC184="BAU","BAU",LEFT(coder1_YH!AC184)))</f>
        <v>0</v>
      </c>
      <c r="AT184" s="345" t="str">
        <f>IF(coder1_YH!AD184 = "", AT183,IF(coder1_YH!AD184="BAU","BAU",LEFT(coder1_YH!AD184)))</f>
        <v>BAU</v>
      </c>
      <c r="AU184" s="345" t="str">
        <f>IF(coder1_YH!AE184 = "", AU183,IF(coder1_YH!AE184="BAU","BAU",LEFT(coder1_YH!AE184)))</f>
        <v>1</v>
      </c>
      <c r="AV184" s="345" t="str">
        <f>IF(coder1_YH!AF184="",AV183,coder1_YH!AF184)</f>
        <v>BAU</v>
      </c>
      <c r="AW184" s="345" t="str">
        <f t="shared" si="57"/>
        <v>BAU</v>
      </c>
      <c r="AX184" s="345" t="str">
        <f>IF(coder1_YH!AG184="",AX183,coder1_YH!AG184)</f>
        <v>BAU</v>
      </c>
      <c r="AY184" s="345" t="str">
        <f>IF(coder1_YH!AH184="",AY183,coder1_YH!AH184)</f>
        <v>BAU</v>
      </c>
      <c r="AZ184" s="345" t="str">
        <f>IF(coder1_YH!AI184 = "", AZ183, IF(coder1_YH!AI184="BAU","BAU",LEFT(coder1_YH!AI184)))</f>
        <v>BAU</v>
      </c>
      <c r="BA184" s="384" t="str">
        <f>clean_data!Y184</f>
        <v>NA</v>
      </c>
    </row>
    <row r="185" spans="1:53" x14ac:dyDescent="0.2">
      <c r="A185">
        <f>coder1_YH!B185</f>
        <v>0</v>
      </c>
      <c r="B185">
        <f>coder1_YH!C185</f>
        <v>185</v>
      </c>
      <c r="C185">
        <f>coder1_YH!D185</f>
        <v>0</v>
      </c>
      <c r="D185" t="str">
        <f>coder1_YH!E185</f>
        <v/>
      </c>
      <c r="E185" t="str">
        <f>coder1_YH!F185</f>
        <v/>
      </c>
      <c r="F185" s="321" t="str">
        <f>IF(coder1_YH!G185="", clean_mod!F184, coder1_YH!G185)</f>
        <v>Guthrie et al., 1998</v>
      </c>
      <c r="G185" s="321" t="str">
        <f t="shared" si="40"/>
        <v>129</v>
      </c>
      <c r="H185" s="321">
        <f>IF(coder1_YH!H185="", clean_mod!H184, coder1_YH!H185)</f>
        <v>129.19999999999999</v>
      </c>
      <c r="I185" s="404" t="str">
        <f t="shared" si="58"/>
        <v>1998</v>
      </c>
      <c r="J185" s="344" t="str">
        <f>IF(coder1_YH!I185="",J184,coder1_YH!I185)</f>
        <v>USA</v>
      </c>
      <c r="K185" s="345">
        <f t="shared" si="42"/>
        <v>0</v>
      </c>
      <c r="L185" s="344" t="str">
        <f>IF(coder1_YH!J185 = "",L184, coder1_YH!J185)</f>
        <v>English</v>
      </c>
      <c r="M185" s="345">
        <f t="shared" si="43"/>
        <v>0</v>
      </c>
      <c r="N185" s="345" t="str">
        <f>IF(coder1_YH!K185 = "", N184, LEFT(coder1_YH!K185,1))</f>
        <v>0</v>
      </c>
      <c r="O185" s="345" t="str">
        <f>IF(coder1_YH!L185 = "", O184, LEFT(coder1_YH!L185,1))</f>
        <v>0</v>
      </c>
      <c r="P185" s="345" t="str">
        <f>IF(coder1_YH!M185 = "", P184, LEFT(coder1_YH!M185,1))</f>
        <v>1</v>
      </c>
      <c r="Q185" s="321">
        <f>coder1_YH!P185</f>
        <v>0</v>
      </c>
      <c r="R185" s="321">
        <f>coder1_YH!Q185</f>
        <v>0</v>
      </c>
      <c r="S185" s="323" t="str">
        <f t="shared" si="44"/>
        <v/>
      </c>
      <c r="T185" s="323" t="str">
        <f t="shared" si="45"/>
        <v/>
      </c>
      <c r="U185" s="323" t="str">
        <f t="shared" si="46"/>
        <v/>
      </c>
      <c r="V185" s="323" t="str">
        <f t="shared" si="47"/>
        <v/>
      </c>
      <c r="W185" s="323">
        <f t="shared" si="48"/>
        <v>0</v>
      </c>
      <c r="X185" s="385" t="str">
        <f>IF(coder1_YH!N185 = "",X184,coder1_YH!N185)</f>
        <v>.</v>
      </c>
      <c r="Y185" s="385" t="str">
        <f>IF(coder1_YH!O185 = "",Y184,coder1_YH!O185)</f>
        <v>.</v>
      </c>
      <c r="Z185" s="385" t="str">
        <f t="shared" si="49"/>
        <v/>
      </c>
      <c r="AA185" s="385" t="str">
        <f t="shared" si="50"/>
        <v>BAU</v>
      </c>
      <c r="AB185" s="385" t="str">
        <f t="shared" si="51"/>
        <v>BAU</v>
      </c>
      <c r="AC185" s="323" t="str">
        <f t="shared" si="52"/>
        <v>..</v>
      </c>
      <c r="AD185" s="323" t="str">
        <f t="shared" si="53"/>
        <v>BAU</v>
      </c>
      <c r="AF185" s="369" t="str">
        <f t="shared" si="54"/>
        <v>129.2-..</v>
      </c>
      <c r="AG185" s="369" t="str">
        <f t="shared" si="55"/>
        <v>129.2-BAU</v>
      </c>
      <c r="AH185" s="344">
        <f>IF(coder1_YH!R185="",AH184,coder1_YH!R185)</f>
        <v>5</v>
      </c>
      <c r="AI185" s="344">
        <f t="shared" si="39"/>
        <v>5</v>
      </c>
      <c r="AJ185" s="345">
        <f t="shared" si="56"/>
        <v>0</v>
      </c>
      <c r="AK185" s="408">
        <f>IF(coder1_YH!S185="",AK184,coder1_YH!S185)</f>
        <v>10.5</v>
      </c>
      <c r="AL185" s="345">
        <f>IF(coder1_YH!T185="",AL184,IF(coder1_YH!T185="mixed",0.25,coder1_YH!T185))</f>
        <v>1</v>
      </c>
      <c r="AM185" s="345" t="str">
        <f>IF(coder1_YH!U185 = "", AM184, IF(coder1_YH!U185="mixed","NA",coder1_YH!U185))</f>
        <v>NA</v>
      </c>
      <c r="AN185" s="345" t="str">
        <f>IF(coder1_YH!V185="",AN184,coder1_YH!V185)</f>
        <v>NA</v>
      </c>
      <c r="AO185" s="345" t="str">
        <f>IF(coder1_YH!W185="",AO184,coder1_YH!W185)</f>
        <v>NA</v>
      </c>
      <c r="AP185" s="345">
        <f>IF(coder1_YH!X185="",AP184,coder1_YH!X185)</f>
        <v>0.5</v>
      </c>
      <c r="AQ185" s="345">
        <f>IF(coder1_YH!Y185="",AQ184,coder1_YH!Y185)</f>
        <v>0.78</v>
      </c>
      <c r="AR185">
        <f>coder1_YH!AB185</f>
        <v>0</v>
      </c>
      <c r="AS185" s="345" t="str">
        <f>IF(coder1_YH!AC185 = "", AS184,IF(coder1_YH!AC185="BAU","BAU",LEFT(coder1_YH!AC185)))</f>
        <v>0</v>
      </c>
      <c r="AT185" s="345" t="str">
        <f>IF(coder1_YH!AD185 = "", AT184,IF(coder1_YH!AD185="BAU","BAU",LEFT(coder1_YH!AD185)))</f>
        <v>BAU</v>
      </c>
      <c r="AU185" s="345" t="str">
        <f>IF(coder1_YH!AE185 = "", AU184,IF(coder1_YH!AE185="BAU","BAU",LEFT(coder1_YH!AE185)))</f>
        <v>1</v>
      </c>
      <c r="AV185" s="345" t="str">
        <f>IF(coder1_YH!AF185="",AV184,coder1_YH!AF185)</f>
        <v>BAU</v>
      </c>
      <c r="AW185" s="345" t="str">
        <f t="shared" si="57"/>
        <v>BAU</v>
      </c>
      <c r="AX185" s="345" t="str">
        <f>IF(coder1_YH!AG185="",AX184,coder1_YH!AG185)</f>
        <v>BAU</v>
      </c>
      <c r="AY185" s="345" t="str">
        <f>IF(coder1_YH!AH185="",AY184,coder1_YH!AH185)</f>
        <v>BAU</v>
      </c>
      <c r="AZ185" s="345" t="str">
        <f>IF(coder1_YH!AI185 = "", AZ184, IF(coder1_YH!AI185="BAU","BAU",LEFT(coder1_YH!AI185)))</f>
        <v>BAU</v>
      </c>
      <c r="BA185" s="384" t="str">
        <f>clean_data!Y185</f>
        <v>NA</v>
      </c>
    </row>
    <row r="186" spans="1:53" x14ac:dyDescent="0.2">
      <c r="A186">
        <f>coder1_YH!B186</f>
        <v>0</v>
      </c>
      <c r="B186">
        <f>coder1_YH!C186</f>
        <v>186</v>
      </c>
      <c r="C186" t="b">
        <f>coder1_YH!D186</f>
        <v>1</v>
      </c>
      <c r="D186" t="b">
        <f>coder1_YH!E186</f>
        <v>1</v>
      </c>
      <c r="E186" t="b">
        <f>coder1_YH!F186</f>
        <v>1</v>
      </c>
      <c r="F186" s="321" t="str">
        <f>IF(coder1_YH!G186="", clean_mod!F185, coder1_YH!G186)</f>
        <v>Tijims et al., 2018</v>
      </c>
      <c r="G186" s="321" t="str">
        <f t="shared" si="40"/>
        <v>130</v>
      </c>
      <c r="H186" s="321">
        <f>IF(coder1_YH!H186="", clean_mod!H185, coder1_YH!H186)</f>
        <v>130</v>
      </c>
      <c r="I186" s="404" t="str">
        <f t="shared" si="58"/>
        <v>2018</v>
      </c>
      <c r="J186" s="344" t="str">
        <f>IF(coder1_YH!I186="",J185,coder1_YH!I186)</f>
        <v>Netherlands</v>
      </c>
      <c r="K186" s="345">
        <f t="shared" si="42"/>
        <v>1</v>
      </c>
      <c r="L186" s="344" t="str">
        <f>IF(coder1_YH!J186 = "",L185, coder1_YH!J186)</f>
        <v>Dutch</v>
      </c>
      <c r="M186" s="345">
        <f t="shared" si="43"/>
        <v>1</v>
      </c>
      <c r="N186" s="345" t="str">
        <f>IF(coder1_YH!K186 = "", N185, LEFT(coder1_YH!K186,1))</f>
        <v>0</v>
      </c>
      <c r="O186" s="345" t="str">
        <f>IF(coder1_YH!L186 = "", O185, LEFT(coder1_YH!L186,1))</f>
        <v>0</v>
      </c>
      <c r="P186" s="345" t="str">
        <f>IF(coder1_YH!M186 = "", P185, LEFT(coder1_YH!M186,1))</f>
        <v>0</v>
      </c>
      <c r="Q186" s="321">
        <f>coder1_YH!P186</f>
        <v>1</v>
      </c>
      <c r="R186" s="321" t="str">
        <f>coder1_YH!Q186</f>
        <v>Intervention</v>
      </c>
      <c r="S186" s="323" t="str">
        <f t="shared" si="44"/>
        <v>N</v>
      </c>
      <c r="T186" s="323" t="str">
        <f t="shared" si="45"/>
        <v/>
      </c>
      <c r="U186" s="323" t="str">
        <f t="shared" si="46"/>
        <v/>
      </c>
      <c r="V186" s="323" t="str">
        <f t="shared" si="47"/>
        <v/>
      </c>
      <c r="W186" s="323">
        <f t="shared" si="48"/>
        <v>1</v>
      </c>
      <c r="X186" s="385" t="str">
        <f>IF(coder1_YH!N186 = "",X185,coder1_YH!N186)</f>
        <v>N</v>
      </c>
      <c r="Y186" s="385" t="str">
        <f>IF(coder1_YH!O186 = "",Y185,coder1_YH!O186)</f>
        <v xml:space="preserve">m </v>
      </c>
      <c r="Z186" s="385" t="str">
        <f t="shared" si="49"/>
        <v>M</v>
      </c>
      <c r="AA186" s="385" t="str">
        <f t="shared" si="50"/>
        <v>R</v>
      </c>
      <c r="AB186" s="385" t="str">
        <f t="shared" si="51"/>
        <v>MR</v>
      </c>
      <c r="AC186" s="323" t="str">
        <f t="shared" si="52"/>
        <v xml:space="preserve">Nm </v>
      </c>
      <c r="AD186" s="323" t="str">
        <f t="shared" si="53"/>
        <v>N_R</v>
      </c>
      <c r="AE186" s="323">
        <f>IF(Y186="cm", 1,0)</f>
        <v>0</v>
      </c>
      <c r="AF186" s="369" t="str">
        <f t="shared" si="54"/>
        <v xml:space="preserve">130-Nm </v>
      </c>
      <c r="AG186" s="369" t="str">
        <f t="shared" si="55"/>
        <v>130-N_R</v>
      </c>
      <c r="AH186" s="344">
        <f>IF(coder1_YH!R186="",AH185,coder1_YH!R186)</f>
        <v>7</v>
      </c>
      <c r="AI186" s="344">
        <f t="shared" si="39"/>
        <v>7</v>
      </c>
      <c r="AJ186" s="345">
        <f t="shared" si="56"/>
        <v>1</v>
      </c>
      <c r="AK186" s="408">
        <f>IF(coder1_YH!S186="",AK185,coder1_YH!S186)</f>
        <v>13.5833333333333</v>
      </c>
      <c r="AL186" s="345" t="str">
        <f>IF(coder1_YH!T186="",AL185,IF(coder1_YH!T186="mixed",0.25,coder1_YH!T186))</f>
        <v>NA</v>
      </c>
      <c r="AM186" s="345" t="str">
        <f>IF(coder1_YH!U186 = "", AM185, IF(coder1_YH!U186="mixed","NA",coder1_YH!U186))</f>
        <v>NA</v>
      </c>
      <c r="AN186" s="345">
        <f>IF(coder1_YH!V186="",AN185,coder1_YH!V186)</f>
        <v>0.8</v>
      </c>
      <c r="AO186" s="345" t="str">
        <f>IF(coder1_YH!W186="",AO185,coder1_YH!W186)</f>
        <v>NA</v>
      </c>
      <c r="AP186" s="345">
        <f>IF(coder1_YH!X186="",AP185,coder1_YH!X186)</f>
        <v>0.3</v>
      </c>
      <c r="AQ186" s="345" t="str">
        <f>IF(coder1_YH!Y186="",AQ185,coder1_YH!Y186)</f>
        <v>NA</v>
      </c>
      <c r="AR186" t="str">
        <f>coder1_YH!AB186</f>
        <v>0 = Researcher-developed/adapted curriculum</v>
      </c>
      <c r="AS186" s="345" t="str">
        <f>IF(coder1_YH!AC186 = "", AS185,IF(coder1_YH!AC186="BAU","BAU",LEFT(coder1_YH!AC186)))</f>
        <v>0</v>
      </c>
      <c r="AT186" s="345" t="str">
        <f>IF(coder1_YH!AD186 = "", AT185,IF(coder1_YH!AD186="BAU","BAU",LEFT(coder1_YH!AD186)))</f>
        <v>0</v>
      </c>
      <c r="AU186" s="345" t="str">
        <f>IF(coder1_YH!AE186 = "", AU185,IF(coder1_YH!AE186="BAU","BAU",LEFT(coder1_YH!AE186)))</f>
        <v>0</v>
      </c>
      <c r="AV186" s="345">
        <f>IF(coder1_YH!AF186="",AV185,coder1_YH!AF186)</f>
        <v>405</v>
      </c>
      <c r="AW186" s="345">
        <f t="shared" si="57"/>
        <v>6.75</v>
      </c>
      <c r="AX186" s="345">
        <f>IF(coder1_YH!AG186="",AX185,coder1_YH!AG186)</f>
        <v>9</v>
      </c>
      <c r="AY186" s="345">
        <f>IF(coder1_YH!AH186="",AY185,coder1_YH!AH186)</f>
        <v>45</v>
      </c>
      <c r="AZ186" s="345" t="str">
        <f>IF(coder1_YH!AI186 = "", AZ185, IF(coder1_YH!AI186="BAU","BAU",LEFT(coder1_YH!AI186)))</f>
        <v>1</v>
      </c>
      <c r="BA186" s="384">
        <f>clean_data!Y186</f>
        <v>40</v>
      </c>
    </row>
    <row r="187" spans="1:53" x14ac:dyDescent="0.2">
      <c r="A187">
        <f>coder1_YH!B187</f>
        <v>0</v>
      </c>
      <c r="B187">
        <f>coder1_YH!C187</f>
        <v>187</v>
      </c>
      <c r="C187">
        <f>coder1_YH!D187</f>
        <v>0</v>
      </c>
      <c r="D187" t="str">
        <f>coder1_YH!E187</f>
        <v/>
      </c>
      <c r="E187" t="b">
        <f>coder1_YH!F187</f>
        <v>1</v>
      </c>
      <c r="F187" s="321" t="str">
        <f>IF(coder1_YH!G187="", clean_mod!F186, coder1_YH!G187)</f>
        <v>Tijims et al., 2018</v>
      </c>
      <c r="G187" s="321" t="str">
        <f t="shared" si="40"/>
        <v>130</v>
      </c>
      <c r="H187" s="321">
        <f>IF(coder1_YH!H187="", clean_mod!H186, coder1_YH!H187)</f>
        <v>130</v>
      </c>
      <c r="I187" s="404" t="str">
        <f t="shared" si="58"/>
        <v>2018</v>
      </c>
      <c r="J187" s="344" t="str">
        <f>IF(coder1_YH!I187="",J186,coder1_YH!I187)</f>
        <v>Netherlands</v>
      </c>
      <c r="K187" s="345">
        <f t="shared" si="42"/>
        <v>1</v>
      </c>
      <c r="L187" s="344" t="str">
        <f>IF(coder1_YH!J187 = "",L186, coder1_YH!J187)</f>
        <v>Dutch</v>
      </c>
      <c r="M187" s="345">
        <f t="shared" si="43"/>
        <v>1</v>
      </c>
      <c r="N187" s="345" t="str">
        <f>IF(coder1_YH!K187 = "", N186, LEFT(coder1_YH!K187,1))</f>
        <v>0</v>
      </c>
      <c r="O187" s="345" t="str">
        <f>IF(coder1_YH!L187 = "", O186, LEFT(coder1_YH!L187,1))</f>
        <v>0</v>
      </c>
      <c r="P187" s="345" t="str">
        <f>IF(coder1_YH!M187 = "", P186, LEFT(coder1_YH!M187,1))</f>
        <v>0</v>
      </c>
      <c r="Q187" s="321" t="str">
        <f>coder1_YH!P187</f>
        <v>ctl</v>
      </c>
      <c r="R187" s="321" t="str">
        <f>coder1_YH!Q187</f>
        <v>Control (BAU)</v>
      </c>
      <c r="S187" s="323" t="str">
        <f t="shared" si="44"/>
        <v/>
      </c>
      <c r="T187" s="323" t="str">
        <f t="shared" si="45"/>
        <v/>
      </c>
      <c r="U187" s="323" t="str">
        <f t="shared" si="46"/>
        <v/>
      </c>
      <c r="V187" s="323" t="str">
        <f t="shared" si="47"/>
        <v/>
      </c>
      <c r="W187" s="323">
        <f t="shared" si="48"/>
        <v>0</v>
      </c>
      <c r="X187" s="385" t="str">
        <f>IF(coder1_YH!N187 = "",X186,coder1_YH!N187)</f>
        <v>.</v>
      </c>
      <c r="Y187" s="385" t="str">
        <f>IF(coder1_YH!O187 = "",Y186,coder1_YH!O187)</f>
        <v>.</v>
      </c>
      <c r="Z187" s="385" t="str">
        <f t="shared" si="49"/>
        <v/>
      </c>
      <c r="AA187" s="385" t="str">
        <f t="shared" si="50"/>
        <v>BAU</v>
      </c>
      <c r="AB187" s="385" t="str">
        <f t="shared" si="51"/>
        <v>BAU</v>
      </c>
      <c r="AC187" s="323" t="str">
        <f t="shared" si="52"/>
        <v>..</v>
      </c>
      <c r="AD187" s="323" t="str">
        <f t="shared" si="53"/>
        <v>BAU</v>
      </c>
      <c r="AF187" s="369" t="str">
        <f t="shared" si="54"/>
        <v>130-..</v>
      </c>
      <c r="AG187" s="369" t="str">
        <f t="shared" si="55"/>
        <v>130-BAU</v>
      </c>
      <c r="AH187" s="344">
        <f>IF(coder1_YH!R187="",AH186,coder1_YH!R187)</f>
        <v>7</v>
      </c>
      <c r="AI187" s="344">
        <f t="shared" si="39"/>
        <v>7</v>
      </c>
      <c r="AJ187" s="345">
        <f t="shared" si="56"/>
        <v>1</v>
      </c>
      <c r="AK187" s="408">
        <f>IF(coder1_YH!S187="",AK186,coder1_YH!S187)</f>
        <v>13.5</v>
      </c>
      <c r="AL187" s="345" t="str">
        <f>IF(coder1_YH!T187="",AL186,IF(coder1_YH!T187="mixed",0.25,coder1_YH!T187))</f>
        <v>NA</v>
      </c>
      <c r="AM187" s="345" t="str">
        <f>IF(coder1_YH!U187 = "", AM186, IF(coder1_YH!U187="mixed","NA",coder1_YH!U187))</f>
        <v>NA</v>
      </c>
      <c r="AN187" s="345">
        <f>IF(coder1_YH!V187="",AN186,coder1_YH!V187)</f>
        <v>0.8</v>
      </c>
      <c r="AO187" s="345" t="str">
        <f>IF(coder1_YH!W187="",AO186,coder1_YH!W187)</f>
        <v>NA</v>
      </c>
      <c r="AP187" s="345">
        <f>IF(coder1_YH!X187="",AP186,coder1_YH!X187)</f>
        <v>0.24</v>
      </c>
      <c r="AQ187" s="345" t="str">
        <f>IF(coder1_YH!Y187="",AQ186,coder1_YH!Y187)</f>
        <v>NA</v>
      </c>
      <c r="AR187" t="str">
        <f>coder1_YH!AB187</f>
        <v>2 = District/State curriculum</v>
      </c>
      <c r="AS187" s="345" t="str">
        <f>IF(coder1_YH!AC187 = "", AS186,IF(coder1_YH!AC187="BAU","BAU",LEFT(coder1_YH!AC187)))</f>
        <v>BAU</v>
      </c>
      <c r="AT187" s="345" t="str">
        <f>IF(coder1_YH!AD187 = "", AT186,IF(coder1_YH!AD187="BAU","BAU",LEFT(coder1_YH!AD187)))</f>
        <v>BAU</v>
      </c>
      <c r="AU187" s="345" t="str">
        <f>IF(coder1_YH!AE187 = "", AU186,IF(coder1_YH!AE187="BAU","BAU",LEFT(coder1_YH!AE187)))</f>
        <v>BAU</v>
      </c>
      <c r="AV187" s="345" t="str">
        <f>IF(coder1_YH!AF187="",AV186,coder1_YH!AF187)</f>
        <v>BAU</v>
      </c>
      <c r="AW187" s="345" t="str">
        <f t="shared" si="57"/>
        <v>BAU</v>
      </c>
      <c r="AX187" s="345" t="str">
        <f>IF(coder1_YH!AG187="",AX186,coder1_YH!AG187)</f>
        <v>BAU</v>
      </c>
      <c r="AY187" s="345" t="str">
        <f>IF(coder1_YH!AH187="",AY186,coder1_YH!AH187)</f>
        <v>BAU</v>
      </c>
      <c r="AZ187" s="345" t="str">
        <f>IF(coder1_YH!AI187 = "", AZ186, IF(coder1_YH!AI187="BAU","BAU",LEFT(coder1_YH!AI187)))</f>
        <v>BAU</v>
      </c>
      <c r="BA187" s="384">
        <f>clean_data!Y187</f>
        <v>50</v>
      </c>
    </row>
    <row r="188" spans="1:53" x14ac:dyDescent="0.2">
      <c r="A188">
        <f>coder1_YH!B188</f>
        <v>0</v>
      </c>
      <c r="B188">
        <f>coder1_YH!C188</f>
        <v>188</v>
      </c>
      <c r="C188" t="b">
        <f>coder1_YH!D188</f>
        <v>1</v>
      </c>
      <c r="D188" t="b">
        <f>coder1_YH!E188</f>
        <v>1</v>
      </c>
      <c r="E188" t="b">
        <f>coder1_YH!F188</f>
        <v>1</v>
      </c>
      <c r="F188" s="321" t="str">
        <f>IF(coder1_YH!G188="", clean_mod!F187, coder1_YH!G188)</f>
        <v>Schunk &amp; Rice. (S1), 1987</v>
      </c>
      <c r="G188" s="321" t="str">
        <f t="shared" si="40"/>
        <v>131</v>
      </c>
      <c r="H188" s="321">
        <f>IF(coder1_YH!H188="", clean_mod!H187, coder1_YH!H188)</f>
        <v>131</v>
      </c>
      <c r="I188" s="404" t="str">
        <f t="shared" si="58"/>
        <v>1987</v>
      </c>
      <c r="J188" s="344" t="str">
        <f>IF(coder1_YH!I188="",J187,coder1_YH!I188)</f>
        <v>USA</v>
      </c>
      <c r="K188" s="345">
        <f t="shared" si="42"/>
        <v>0</v>
      </c>
      <c r="L188" s="344" t="str">
        <f>IF(coder1_YH!J188 = "",L187, coder1_YH!J188)</f>
        <v>English</v>
      </c>
      <c r="M188" s="345">
        <f t="shared" si="43"/>
        <v>0</v>
      </c>
      <c r="N188" s="345" t="str">
        <f>IF(coder1_YH!K188 = "", N187, LEFT(coder1_YH!K188,1))</f>
        <v>0</v>
      </c>
      <c r="O188" s="345" t="str">
        <f>IF(coder1_YH!L188 = "", O187, LEFT(coder1_YH!L188,1))</f>
        <v>0</v>
      </c>
      <c r="P188" s="345" t="str">
        <f>IF(coder1_YH!M188 = "", P187, LEFT(coder1_YH!M188,1))</f>
        <v>0</v>
      </c>
      <c r="Q188" s="321">
        <f>coder1_YH!P188</f>
        <v>1</v>
      </c>
      <c r="R188" s="321" t="str">
        <f>coder1_YH!Q188</f>
        <v>specific strategy value information</v>
      </c>
      <c r="S188" s="323" t="str">
        <f t="shared" si="44"/>
        <v/>
      </c>
      <c r="T188" s="323" t="str">
        <f t="shared" si="45"/>
        <v>V</v>
      </c>
      <c r="U188" s="323" t="str">
        <f t="shared" si="46"/>
        <v/>
      </c>
      <c r="V188" s="323" t="str">
        <f t="shared" si="47"/>
        <v/>
      </c>
      <c r="W188" s="323">
        <f t="shared" si="48"/>
        <v>1</v>
      </c>
      <c r="X188" s="385" t="str">
        <f>IF(coder1_YH!N188 = "",X187,coder1_YH!N188)</f>
        <v>V</v>
      </c>
      <c r="Y188" s="385" t="str">
        <f>IF(coder1_YH!O188 = "",Y187,coder1_YH!O188)</f>
        <v xml:space="preserve">m </v>
      </c>
      <c r="Z188" s="385" t="str">
        <f t="shared" si="49"/>
        <v>M</v>
      </c>
      <c r="AA188" s="385" t="str">
        <f t="shared" si="50"/>
        <v>R</v>
      </c>
      <c r="AB188" s="385" t="str">
        <f t="shared" si="51"/>
        <v>MR</v>
      </c>
      <c r="AC188" s="323" t="str">
        <f t="shared" si="52"/>
        <v xml:space="preserve">Vm </v>
      </c>
      <c r="AD188" s="323" t="str">
        <f t="shared" si="53"/>
        <v>V_R</v>
      </c>
      <c r="AE188" s="323">
        <f t="shared" ref="AE188:AE192" si="59">IF(Y188="cm", 1,0)</f>
        <v>0</v>
      </c>
      <c r="AF188" s="369" t="str">
        <f t="shared" si="54"/>
        <v xml:space="preserve">131-Vm </v>
      </c>
      <c r="AG188" s="369" t="str">
        <f t="shared" si="55"/>
        <v>131-V_R</v>
      </c>
      <c r="AH188" s="344" t="str">
        <f>IF(coder1_YH!R188="",AH187,coder1_YH!R188)</f>
        <v>4, 5</v>
      </c>
      <c r="AI188" s="344">
        <f t="shared" si="39"/>
        <v>4.5</v>
      </c>
      <c r="AJ188" s="345">
        <f t="shared" si="56"/>
        <v>0</v>
      </c>
      <c r="AK188" s="408">
        <f>IF(coder1_YH!S188="",AK187,coder1_YH!S188)</f>
        <v>11.2</v>
      </c>
      <c r="AL188" s="345">
        <f>IF(coder1_YH!T188="",AL187,IF(coder1_YH!T188="mixed",0.25,coder1_YH!T188))</f>
        <v>1</v>
      </c>
      <c r="AM188" s="345" t="str">
        <f>IF(coder1_YH!U188 = "", AM187, IF(coder1_YH!U188="mixed","NA",coder1_YH!U188))</f>
        <v>NA</v>
      </c>
      <c r="AN188" s="345">
        <f>IF(coder1_YH!V188="",AN187,coder1_YH!V188)</f>
        <v>0.85</v>
      </c>
      <c r="AO188" s="345">
        <f>IF(coder1_YH!W188="",AO187,coder1_YH!W188)</f>
        <v>0.25</v>
      </c>
      <c r="AP188" s="345">
        <f>IF(coder1_YH!X188="",AP187,coder1_YH!X188)</f>
        <v>0.52500000000000002</v>
      </c>
      <c r="AQ188" s="345">
        <f>IF(coder1_YH!Y188="",AQ187,coder1_YH!Y188)</f>
        <v>0.74</v>
      </c>
      <c r="AR188" t="str">
        <f>coder1_YH!AB188</f>
        <v>0 = Researcher-developed/adapted curriculum</v>
      </c>
      <c r="AS188" s="345" t="str">
        <f>IF(coder1_YH!AC188 = "", AS187,IF(coder1_YH!AC188="BAU","BAU",LEFT(coder1_YH!AC188)))</f>
        <v>1</v>
      </c>
      <c r="AT188" s="345" t="str">
        <f>IF(coder1_YH!AD188 = "", AT187,IF(coder1_YH!AD188="BAU","BAU",LEFT(coder1_YH!AD188)))</f>
        <v>1</v>
      </c>
      <c r="AU188" s="345" t="str">
        <f>IF(coder1_YH!AE188 = "", AU187,IF(coder1_YH!AE188="BAU","BAU",LEFT(coder1_YH!AE188)))</f>
        <v>0</v>
      </c>
      <c r="AV188" s="345">
        <f>IF(coder1_YH!AF188="",AV187,coder1_YH!AF188)</f>
        <v>525</v>
      </c>
      <c r="AW188" s="345">
        <f t="shared" si="57"/>
        <v>8.75</v>
      </c>
      <c r="AX188" s="345">
        <f>IF(coder1_YH!AG188="",AX187,coder1_YH!AG188)</f>
        <v>15</v>
      </c>
      <c r="AY188" s="345">
        <f>IF(coder1_YH!AH188="",AY187,coder1_YH!AH188)</f>
        <v>35</v>
      </c>
      <c r="AZ188" s="345" t="str">
        <f>IF(coder1_YH!AI188 = "", AZ187, IF(coder1_YH!AI188="BAU","BAU",LEFT(coder1_YH!AI188)))</f>
        <v>1</v>
      </c>
      <c r="BA188" s="384">
        <f>clean_data!Y188</f>
        <v>10</v>
      </c>
    </row>
    <row r="189" spans="1:53" x14ac:dyDescent="0.2">
      <c r="A189">
        <f>coder1_YH!B189</f>
        <v>0</v>
      </c>
      <c r="B189">
        <f>coder1_YH!C189</f>
        <v>189</v>
      </c>
      <c r="C189">
        <f>coder1_YH!D189</f>
        <v>0</v>
      </c>
      <c r="D189" t="b">
        <f>coder1_YH!E189</f>
        <v>1</v>
      </c>
      <c r="E189" t="b">
        <f>coder1_YH!F189</f>
        <v>1</v>
      </c>
      <c r="F189" s="321" t="str">
        <f>IF(coder1_YH!G189="", clean_mod!F188, coder1_YH!G189)</f>
        <v>Schunk &amp; Rice. (S1), 1987</v>
      </c>
      <c r="G189" s="321" t="str">
        <f t="shared" si="40"/>
        <v>131</v>
      </c>
      <c r="H189" s="321">
        <f>IF(coder1_YH!H189="", clean_mod!H188, coder1_YH!H189)</f>
        <v>131</v>
      </c>
      <c r="I189" s="404" t="str">
        <f t="shared" si="58"/>
        <v>1987</v>
      </c>
      <c r="J189" s="344" t="str">
        <f>IF(coder1_YH!I189="",J188,coder1_YH!I189)</f>
        <v>USA</v>
      </c>
      <c r="K189" s="345">
        <f t="shared" si="42"/>
        <v>0</v>
      </c>
      <c r="L189" s="344" t="str">
        <f>IF(coder1_YH!J189 = "",L188, coder1_YH!J189)</f>
        <v>English</v>
      </c>
      <c r="M189" s="345">
        <f t="shared" si="43"/>
        <v>0</v>
      </c>
      <c r="N189" s="345" t="str">
        <f>IF(coder1_YH!K189 = "", N188, LEFT(coder1_YH!K189,1))</f>
        <v>0</v>
      </c>
      <c r="O189" s="345" t="str">
        <f>IF(coder1_YH!L189 = "", O188, LEFT(coder1_YH!L189,1))</f>
        <v>0</v>
      </c>
      <c r="P189" s="345" t="str">
        <f>IF(coder1_YH!M189 = "", P188, LEFT(coder1_YH!M189,1))</f>
        <v>0</v>
      </c>
      <c r="Q189" s="321">
        <f>coder1_YH!P189</f>
        <v>2</v>
      </c>
      <c r="R189" s="321" t="str">
        <f>coder1_YH!Q189</f>
        <v>general strategy value information</v>
      </c>
      <c r="S189" s="323" t="str">
        <f t="shared" si="44"/>
        <v/>
      </c>
      <c r="T189" s="323" t="str">
        <f t="shared" si="45"/>
        <v>V</v>
      </c>
      <c r="U189" s="323" t="str">
        <f t="shared" si="46"/>
        <v/>
      </c>
      <c r="V189" s="323" t="str">
        <f t="shared" si="47"/>
        <v/>
      </c>
      <c r="W189" s="323">
        <f t="shared" si="48"/>
        <v>1</v>
      </c>
      <c r="X189" s="385" t="str">
        <f>IF(coder1_YH!N189 = "",X188,coder1_YH!N189)</f>
        <v>V</v>
      </c>
      <c r="Y189" s="385" t="str">
        <f>IF(coder1_YH!O189 = "",Y188,coder1_YH!O189)</f>
        <v xml:space="preserve">m </v>
      </c>
      <c r="Z189" s="385" t="str">
        <f t="shared" si="49"/>
        <v>M</v>
      </c>
      <c r="AA189" s="385" t="str">
        <f t="shared" si="50"/>
        <v>R</v>
      </c>
      <c r="AB189" s="385" t="str">
        <f t="shared" si="51"/>
        <v>MR</v>
      </c>
      <c r="AC189" s="323" t="str">
        <f t="shared" si="52"/>
        <v xml:space="preserve">Vm </v>
      </c>
      <c r="AD189" s="323" t="str">
        <f t="shared" si="53"/>
        <v>V_R</v>
      </c>
      <c r="AE189" s="323">
        <f t="shared" si="59"/>
        <v>0</v>
      </c>
      <c r="AF189" s="369" t="str">
        <f t="shared" si="54"/>
        <v xml:space="preserve">131-Vm </v>
      </c>
      <c r="AG189" s="369" t="str">
        <f t="shared" si="55"/>
        <v>131-V_R</v>
      </c>
      <c r="AH189" s="344" t="str">
        <f>IF(coder1_YH!R189="",AH188,coder1_YH!R189)</f>
        <v>4, 5</v>
      </c>
      <c r="AI189" s="344">
        <f t="shared" si="39"/>
        <v>4.5</v>
      </c>
      <c r="AJ189" s="345">
        <f t="shared" si="56"/>
        <v>0</v>
      </c>
      <c r="AK189" s="408">
        <f>IF(coder1_YH!S189="",AK188,coder1_YH!S189)</f>
        <v>11.2</v>
      </c>
      <c r="AL189" s="345">
        <f>IF(coder1_YH!T189="",AL188,IF(coder1_YH!T189="mixed",0.25,coder1_YH!T189))</f>
        <v>1</v>
      </c>
      <c r="AM189" s="345" t="str">
        <f>IF(coder1_YH!U189 = "", AM188, IF(coder1_YH!U189="mixed","NA",coder1_YH!U189))</f>
        <v>NA</v>
      </c>
      <c r="AN189" s="345">
        <f>IF(coder1_YH!V189="",AN188,coder1_YH!V189)</f>
        <v>0.85</v>
      </c>
      <c r="AO189" s="345">
        <f>IF(coder1_YH!W189="",AO188,coder1_YH!W189)</f>
        <v>0.25</v>
      </c>
      <c r="AP189" s="345">
        <f>IF(coder1_YH!X189="",AP188,coder1_YH!X189)</f>
        <v>0.52500000000000002</v>
      </c>
      <c r="AQ189" s="345">
        <f>IF(coder1_YH!Y189="",AQ188,coder1_YH!Y189)</f>
        <v>0.74</v>
      </c>
      <c r="AR189" t="str">
        <f>coder1_YH!AB189</f>
        <v>0 = Researcher-developed/adapted curriculum</v>
      </c>
      <c r="AS189" s="345" t="str">
        <f>IF(coder1_YH!AC189 = "", AS188,IF(coder1_YH!AC189="BAU","BAU",LEFT(coder1_YH!AC189)))</f>
        <v>1</v>
      </c>
      <c r="AT189" s="345" t="str">
        <f>IF(coder1_YH!AD189 = "", AT188,IF(coder1_YH!AD189="BAU","BAU",LEFT(coder1_YH!AD189)))</f>
        <v>1</v>
      </c>
      <c r="AU189" s="345" t="str">
        <f>IF(coder1_YH!AE189 = "", AU188,IF(coder1_YH!AE189="BAU","BAU",LEFT(coder1_YH!AE189)))</f>
        <v>0</v>
      </c>
      <c r="AV189" s="345">
        <f>IF(coder1_YH!AF189="",AV188,coder1_YH!AF189)</f>
        <v>525</v>
      </c>
      <c r="AW189" s="345">
        <f t="shared" si="57"/>
        <v>8.75</v>
      </c>
      <c r="AX189" s="345">
        <f>IF(coder1_YH!AG189="",AX188,coder1_YH!AG189)</f>
        <v>15</v>
      </c>
      <c r="AY189" s="345">
        <f>IF(coder1_YH!AH189="",AY188,coder1_YH!AH189)</f>
        <v>35</v>
      </c>
      <c r="AZ189" s="345" t="str">
        <f>IF(coder1_YH!AI189 = "", AZ188, IF(coder1_YH!AI189="BAU","BAU",LEFT(coder1_YH!AI189)))</f>
        <v>1</v>
      </c>
      <c r="BA189" s="384">
        <f>clean_data!Y189</f>
        <v>10</v>
      </c>
    </row>
    <row r="190" spans="1:53" x14ac:dyDescent="0.2">
      <c r="A190">
        <f>coder1_YH!B190</f>
        <v>0</v>
      </c>
      <c r="B190">
        <f>coder1_YH!C190</f>
        <v>190</v>
      </c>
      <c r="C190">
        <f>coder1_YH!D190</f>
        <v>0</v>
      </c>
      <c r="D190" t="b">
        <f>coder1_YH!E190</f>
        <v>1</v>
      </c>
      <c r="E190" t="b">
        <f>coder1_YH!F190</f>
        <v>1</v>
      </c>
      <c r="F190" s="321" t="str">
        <f>IF(coder1_YH!G190="", clean_mod!F189, coder1_YH!G190)</f>
        <v>Schunk &amp; Rice. (S1), 1987</v>
      </c>
      <c r="G190" s="321" t="str">
        <f t="shared" si="40"/>
        <v>131</v>
      </c>
      <c r="H190" s="321">
        <f>IF(coder1_YH!H190="", clean_mod!H189, coder1_YH!H190)</f>
        <v>131</v>
      </c>
      <c r="I190" s="404" t="str">
        <f t="shared" si="58"/>
        <v>1987</v>
      </c>
      <c r="J190" s="344" t="str">
        <f>IF(coder1_YH!I190="",J189,coder1_YH!I190)</f>
        <v>USA</v>
      </c>
      <c r="K190" s="345">
        <f t="shared" si="42"/>
        <v>0</v>
      </c>
      <c r="L190" s="344" t="str">
        <f>IF(coder1_YH!J190 = "",L189, coder1_YH!J190)</f>
        <v>English</v>
      </c>
      <c r="M190" s="345">
        <f t="shared" si="43"/>
        <v>0</v>
      </c>
      <c r="N190" s="345" t="str">
        <f>IF(coder1_YH!K190 = "", N189, LEFT(coder1_YH!K190,1))</f>
        <v>0</v>
      </c>
      <c r="O190" s="345" t="str">
        <f>IF(coder1_YH!L190 = "", O189, LEFT(coder1_YH!L190,1))</f>
        <v>0</v>
      </c>
      <c r="P190" s="345" t="str">
        <f>IF(coder1_YH!M190 = "", P189, LEFT(coder1_YH!M190,1))</f>
        <v>0</v>
      </c>
      <c r="Q190" s="321">
        <f>coder1_YH!P190</f>
        <v>3</v>
      </c>
      <c r="R190" s="321" t="str">
        <f>coder1_YH!Q190</f>
        <v>specific plus general + strategy value information</v>
      </c>
      <c r="S190" s="323" t="str">
        <f t="shared" si="44"/>
        <v/>
      </c>
      <c r="T190" s="323" t="str">
        <f t="shared" si="45"/>
        <v>V</v>
      </c>
      <c r="U190" s="323" t="str">
        <f t="shared" si="46"/>
        <v/>
      </c>
      <c r="V190" s="323" t="str">
        <f t="shared" si="47"/>
        <v/>
      </c>
      <c r="W190" s="323">
        <f t="shared" si="48"/>
        <v>1</v>
      </c>
      <c r="X190" s="385" t="str">
        <f>IF(coder1_YH!N190 = "",X189,coder1_YH!N190)</f>
        <v>V</v>
      </c>
      <c r="Y190" s="385" t="str">
        <f>IF(coder1_YH!O190 = "",Y189,coder1_YH!O190)</f>
        <v xml:space="preserve">m </v>
      </c>
      <c r="Z190" s="385" t="str">
        <f t="shared" si="49"/>
        <v>M</v>
      </c>
      <c r="AA190" s="385" t="str">
        <f t="shared" si="50"/>
        <v>R</v>
      </c>
      <c r="AB190" s="385" t="str">
        <f t="shared" si="51"/>
        <v>MR</v>
      </c>
      <c r="AC190" s="323" t="str">
        <f t="shared" si="52"/>
        <v xml:space="preserve">Vm </v>
      </c>
      <c r="AD190" s="323" t="str">
        <f t="shared" si="53"/>
        <v>V_R</v>
      </c>
      <c r="AE190" s="323">
        <f t="shared" si="59"/>
        <v>0</v>
      </c>
      <c r="AF190" s="369" t="str">
        <f t="shared" si="54"/>
        <v xml:space="preserve">131-Vm </v>
      </c>
      <c r="AG190" s="369" t="str">
        <f t="shared" si="55"/>
        <v>131-V_R</v>
      </c>
      <c r="AH190" s="344" t="str">
        <f>IF(coder1_YH!R190="",AH189,coder1_YH!R190)</f>
        <v>4, 5</v>
      </c>
      <c r="AI190" s="344">
        <f t="shared" si="39"/>
        <v>4.5</v>
      </c>
      <c r="AJ190" s="345">
        <f t="shared" si="56"/>
        <v>0</v>
      </c>
      <c r="AK190" s="408">
        <f>IF(coder1_YH!S190="",AK189,coder1_YH!S190)</f>
        <v>11.2</v>
      </c>
      <c r="AL190" s="345">
        <f>IF(coder1_YH!T190="",AL189,IF(coder1_YH!T190="mixed",0.25,coder1_YH!T190))</f>
        <v>1</v>
      </c>
      <c r="AM190" s="345" t="str">
        <f>IF(coder1_YH!U190 = "", AM189, IF(coder1_YH!U190="mixed","NA",coder1_YH!U190))</f>
        <v>NA</v>
      </c>
      <c r="AN190" s="345">
        <f>IF(coder1_YH!V190="",AN189,coder1_YH!V190)</f>
        <v>0.85</v>
      </c>
      <c r="AO190" s="345">
        <f>IF(coder1_YH!W190="",AO189,coder1_YH!W190)</f>
        <v>0.25</v>
      </c>
      <c r="AP190" s="345">
        <f>IF(coder1_YH!X190="",AP189,coder1_YH!X190)</f>
        <v>0.52500000000000002</v>
      </c>
      <c r="AQ190" s="345">
        <f>IF(coder1_YH!Y190="",AQ189,coder1_YH!Y190)</f>
        <v>0.74</v>
      </c>
      <c r="AR190" t="str">
        <f>coder1_YH!AB190</f>
        <v>0 = Researcher-developed/adapted curriculum</v>
      </c>
      <c r="AS190" s="345" t="str">
        <f>IF(coder1_YH!AC190 = "", AS189,IF(coder1_YH!AC190="BAU","BAU",LEFT(coder1_YH!AC190)))</f>
        <v>1</v>
      </c>
      <c r="AT190" s="345" t="str">
        <f>IF(coder1_YH!AD190 = "", AT189,IF(coder1_YH!AD190="BAU","BAU",LEFT(coder1_YH!AD190)))</f>
        <v>1</v>
      </c>
      <c r="AU190" s="345" t="str">
        <f>IF(coder1_YH!AE190 = "", AU189,IF(coder1_YH!AE190="BAU","BAU",LEFT(coder1_YH!AE190)))</f>
        <v>0</v>
      </c>
      <c r="AV190" s="345">
        <f>IF(coder1_YH!AF190="",AV189,coder1_YH!AF190)</f>
        <v>525</v>
      </c>
      <c r="AW190" s="345">
        <f t="shared" si="57"/>
        <v>8.75</v>
      </c>
      <c r="AX190" s="345">
        <f>IF(coder1_YH!AG190="",AX189,coder1_YH!AG190)</f>
        <v>15</v>
      </c>
      <c r="AY190" s="345">
        <f>IF(coder1_YH!AH190="",AY189,coder1_YH!AH190)</f>
        <v>35</v>
      </c>
      <c r="AZ190" s="345" t="str">
        <f>IF(coder1_YH!AI190 = "", AZ189, IF(coder1_YH!AI190="BAU","BAU",LEFT(coder1_YH!AI190)))</f>
        <v>1</v>
      </c>
      <c r="BA190" s="384">
        <f>clean_data!Y190</f>
        <v>10</v>
      </c>
    </row>
    <row r="191" spans="1:53" x14ac:dyDescent="0.2">
      <c r="A191">
        <f>coder1_YH!B191</f>
        <v>0</v>
      </c>
      <c r="B191">
        <f>coder1_YH!C191</f>
        <v>191</v>
      </c>
      <c r="C191">
        <f>coder1_YH!D191</f>
        <v>0</v>
      </c>
      <c r="D191" t="b">
        <f>coder1_YH!E191</f>
        <v>1</v>
      </c>
      <c r="E191" t="b">
        <f>coder1_YH!F191</f>
        <v>1</v>
      </c>
      <c r="F191" s="321" t="str">
        <f>IF(coder1_YH!G191="", clean_mod!F190, coder1_YH!G191)</f>
        <v>Schunk &amp; Rice. (S1), 1987</v>
      </c>
      <c r="G191" s="321" t="str">
        <f t="shared" si="40"/>
        <v>131</v>
      </c>
      <c r="H191" s="321">
        <f>IF(coder1_YH!H191="", clean_mod!H190, coder1_YH!H191)</f>
        <v>131</v>
      </c>
      <c r="I191" s="404" t="str">
        <f t="shared" si="58"/>
        <v>1987</v>
      </c>
      <c r="J191" s="344" t="str">
        <f>IF(coder1_YH!I191="",J190,coder1_YH!I191)</f>
        <v>USA</v>
      </c>
      <c r="K191" s="345">
        <f t="shared" si="42"/>
        <v>0</v>
      </c>
      <c r="L191" s="344" t="str">
        <f>IF(coder1_YH!J191 = "",L190, coder1_YH!J191)</f>
        <v>English</v>
      </c>
      <c r="M191" s="345">
        <f t="shared" si="43"/>
        <v>0</v>
      </c>
      <c r="N191" s="345" t="str">
        <f>IF(coder1_YH!K191 = "", N190, LEFT(coder1_YH!K191,1))</f>
        <v>0</v>
      </c>
      <c r="O191" s="345" t="str">
        <f>IF(coder1_YH!L191 = "", O190, LEFT(coder1_YH!L191,1))</f>
        <v>0</v>
      </c>
      <c r="P191" s="345" t="str">
        <f>IF(coder1_YH!M191 = "", P190, LEFT(coder1_YH!M191,1))</f>
        <v>0</v>
      </c>
      <c r="Q191" s="321" t="str">
        <f>coder1_YH!P191</f>
        <v>ctl</v>
      </c>
      <c r="R191" s="321" t="str">
        <f>coder1_YH!Q191</f>
        <v>no strategy value information (instructional control)</v>
      </c>
      <c r="S191" s="323" t="str">
        <f t="shared" si="44"/>
        <v/>
      </c>
      <c r="T191" s="323" t="str">
        <f t="shared" si="45"/>
        <v/>
      </c>
      <c r="U191" s="323" t="str">
        <f t="shared" si="46"/>
        <v/>
      </c>
      <c r="V191" s="323" t="str">
        <f t="shared" si="47"/>
        <v/>
      </c>
      <c r="W191" s="323">
        <f t="shared" si="48"/>
        <v>0</v>
      </c>
      <c r="X191" s="385" t="str">
        <f>IF(coder1_YH!N191 = "",X190,coder1_YH!N191)</f>
        <v>.</v>
      </c>
      <c r="Y191" s="385" t="str">
        <f>IF(coder1_YH!O191 = "",Y190,coder1_YH!O191)</f>
        <v xml:space="preserve">m </v>
      </c>
      <c r="Z191" s="385" t="str">
        <f t="shared" si="49"/>
        <v/>
      </c>
      <c r="AA191" s="385" t="str">
        <f t="shared" si="50"/>
        <v>R</v>
      </c>
      <c r="AB191" s="385" t="str">
        <f t="shared" si="51"/>
        <v>R</v>
      </c>
      <c r="AC191" s="323" t="str">
        <f t="shared" si="52"/>
        <v xml:space="preserve">.m </v>
      </c>
      <c r="AD191" s="323" t="str">
        <f t="shared" si="53"/>
        <v>R</v>
      </c>
      <c r="AE191" s="323">
        <f t="shared" si="59"/>
        <v>0</v>
      </c>
      <c r="AF191" s="369" t="str">
        <f t="shared" si="54"/>
        <v xml:space="preserve">131-.m </v>
      </c>
      <c r="AG191" s="369" t="str">
        <f t="shared" si="55"/>
        <v>131-R</v>
      </c>
      <c r="AH191" s="344" t="str">
        <f>IF(coder1_YH!R191="",AH190,coder1_YH!R191)</f>
        <v>4, 5</v>
      </c>
      <c r="AI191" s="344">
        <f t="shared" si="39"/>
        <v>4.5</v>
      </c>
      <c r="AJ191" s="345">
        <f t="shared" si="56"/>
        <v>0</v>
      </c>
      <c r="AK191" s="408">
        <f>IF(coder1_YH!S191="",AK190,coder1_YH!S191)</f>
        <v>11.2</v>
      </c>
      <c r="AL191" s="345">
        <f>IF(coder1_YH!T191="",AL190,IF(coder1_YH!T191="mixed",0.25,coder1_YH!T191))</f>
        <v>1</v>
      </c>
      <c r="AM191" s="345" t="str">
        <f>IF(coder1_YH!U191 = "", AM190, IF(coder1_YH!U191="mixed","NA",coder1_YH!U191))</f>
        <v>NA</v>
      </c>
      <c r="AN191" s="345">
        <f>IF(coder1_YH!V191="",AN190,coder1_YH!V191)</f>
        <v>0.85</v>
      </c>
      <c r="AO191" s="345">
        <f>IF(coder1_YH!W191="",AO190,coder1_YH!W191)</f>
        <v>0.25</v>
      </c>
      <c r="AP191" s="345">
        <f>IF(coder1_YH!X191="",AP190,coder1_YH!X191)</f>
        <v>0.52500000000000002</v>
      </c>
      <c r="AQ191" s="345">
        <f>IF(coder1_YH!Y191="",AQ190,coder1_YH!Y191)</f>
        <v>0.74</v>
      </c>
      <c r="AR191" t="str">
        <f>coder1_YH!AB191</f>
        <v>0 = Researcher-developed/adapted curriculum</v>
      </c>
      <c r="AS191" s="345" t="str">
        <f>IF(coder1_YH!AC191 = "", AS190,IF(coder1_YH!AC191="BAU","BAU",LEFT(coder1_YH!AC191)))</f>
        <v>1</v>
      </c>
      <c r="AT191" s="345" t="str">
        <f>IF(coder1_YH!AD191 = "", AT190,IF(coder1_YH!AD191="BAU","BAU",LEFT(coder1_YH!AD191)))</f>
        <v>1</v>
      </c>
      <c r="AU191" s="345" t="str">
        <f>IF(coder1_YH!AE191 = "", AU190,IF(coder1_YH!AE191="BAU","BAU",LEFT(coder1_YH!AE191)))</f>
        <v>0</v>
      </c>
      <c r="AV191" s="345">
        <f>IF(coder1_YH!AF191="",AV190,coder1_YH!AF191)</f>
        <v>525</v>
      </c>
      <c r="AW191" s="345">
        <f t="shared" si="57"/>
        <v>8.75</v>
      </c>
      <c r="AX191" s="345">
        <f>IF(coder1_YH!AG191="",AX190,coder1_YH!AG191)</f>
        <v>15</v>
      </c>
      <c r="AY191" s="345">
        <f>IF(coder1_YH!AH191="",AY190,coder1_YH!AH191)</f>
        <v>35</v>
      </c>
      <c r="AZ191" s="345" t="str">
        <f>IF(coder1_YH!AI191 = "", AZ190, IF(coder1_YH!AI191="BAU","BAU",LEFT(coder1_YH!AI191)))</f>
        <v>1</v>
      </c>
      <c r="BA191" s="384">
        <f>clean_data!Y191</f>
        <v>10</v>
      </c>
    </row>
    <row r="192" spans="1:53" x14ac:dyDescent="0.2">
      <c r="A192">
        <f>coder1_YH!B192</f>
        <v>0</v>
      </c>
      <c r="B192">
        <f>coder1_YH!C192</f>
        <v>192</v>
      </c>
      <c r="C192" t="b">
        <f>coder1_YH!D192</f>
        <v>1</v>
      </c>
      <c r="D192" t="b">
        <f>coder1_YH!E192</f>
        <v>1</v>
      </c>
      <c r="E192" t="b">
        <f>coder1_YH!F192</f>
        <v>1</v>
      </c>
      <c r="F192" s="321" t="str">
        <f>IF(coder1_YH!G192="", clean_mod!F191, coder1_YH!G192)</f>
        <v>Schunk &amp; Rice. (S2), 1987</v>
      </c>
      <c r="G192" s="321" t="str">
        <f t="shared" si="40"/>
        <v>132</v>
      </c>
      <c r="H192" s="321">
        <f>IF(coder1_YH!H192="", clean_mod!H191, coder1_YH!H192)</f>
        <v>132</v>
      </c>
      <c r="I192" s="404" t="str">
        <f t="shared" si="58"/>
        <v>1987</v>
      </c>
      <c r="J192" s="344" t="str">
        <f>IF(coder1_YH!I192="",J191,coder1_YH!I192)</f>
        <v>USA</v>
      </c>
      <c r="K192" s="345">
        <f t="shared" si="42"/>
        <v>0</v>
      </c>
      <c r="L192" s="344" t="str">
        <f>IF(coder1_YH!J192 = "",L191, coder1_YH!J192)</f>
        <v>English</v>
      </c>
      <c r="M192" s="345">
        <f t="shared" si="43"/>
        <v>0</v>
      </c>
      <c r="N192" s="345" t="str">
        <f>IF(coder1_YH!K192 = "", N191, LEFT(coder1_YH!K192,1))</f>
        <v>0</v>
      </c>
      <c r="O192" s="345" t="str">
        <f>IF(coder1_YH!L192 = "", O191, LEFT(coder1_YH!L192,1))</f>
        <v>0</v>
      </c>
      <c r="P192" s="345" t="str">
        <f>IF(coder1_YH!M192 = "", P191, LEFT(coder1_YH!M192,1))</f>
        <v>0</v>
      </c>
      <c r="Q192" s="321">
        <f>coder1_YH!P192</f>
        <v>1</v>
      </c>
      <c r="R192" s="321" t="str">
        <f>coder1_YH!Q192</f>
        <v>specific strategy value</v>
      </c>
      <c r="S192" s="323" t="str">
        <f t="shared" si="44"/>
        <v/>
      </c>
      <c r="T192" s="323" t="str">
        <f t="shared" si="45"/>
        <v>V</v>
      </c>
      <c r="U192" s="323" t="str">
        <f t="shared" si="46"/>
        <v/>
      </c>
      <c r="V192" s="323" t="str">
        <f t="shared" si="47"/>
        <v/>
      </c>
      <c r="W192" s="323">
        <f t="shared" si="48"/>
        <v>1</v>
      </c>
      <c r="X192" s="385" t="str">
        <f>IF(coder1_YH!N192 = "",X191,coder1_YH!N192)</f>
        <v>V</v>
      </c>
      <c r="Y192" s="385" t="str">
        <f>IF(coder1_YH!O192 = "",Y191,coder1_YH!O192)</f>
        <v xml:space="preserve">m </v>
      </c>
      <c r="Z192" s="385" t="str">
        <f t="shared" si="49"/>
        <v>M</v>
      </c>
      <c r="AA192" s="385" t="str">
        <f t="shared" si="50"/>
        <v>R</v>
      </c>
      <c r="AB192" s="385" t="str">
        <f t="shared" si="51"/>
        <v>MR</v>
      </c>
      <c r="AC192" s="323" t="str">
        <f t="shared" si="52"/>
        <v xml:space="preserve">Vm </v>
      </c>
      <c r="AD192" s="323" t="str">
        <f t="shared" si="53"/>
        <v>V_R</v>
      </c>
      <c r="AE192" s="323">
        <f t="shared" si="59"/>
        <v>0</v>
      </c>
      <c r="AF192" s="369" t="str">
        <f t="shared" si="54"/>
        <v xml:space="preserve">132-Vm </v>
      </c>
      <c r="AG192" s="369" t="str">
        <f t="shared" si="55"/>
        <v>132-V_R</v>
      </c>
      <c r="AH192" s="344" t="str">
        <f>IF(coder1_YH!R192="",AH191,coder1_YH!R192)</f>
        <v>4, 5</v>
      </c>
      <c r="AI192" s="344">
        <f t="shared" si="39"/>
        <v>4.5</v>
      </c>
      <c r="AJ192" s="345">
        <f t="shared" si="56"/>
        <v>0</v>
      </c>
      <c r="AK192" s="408">
        <f>IF(coder1_YH!S192="",AK191,coder1_YH!S192)</f>
        <v>11</v>
      </c>
      <c r="AL192" s="345">
        <f>IF(coder1_YH!T192="",AL191,IF(coder1_YH!T192="mixed",0.25,coder1_YH!T192))</f>
        <v>1</v>
      </c>
      <c r="AM192" s="345" t="str">
        <f>IF(coder1_YH!U192 = "", AM191, IF(coder1_YH!U192="mixed","NA",coder1_YH!U192))</f>
        <v>NA</v>
      </c>
      <c r="AN192" s="345" t="str">
        <f>IF(coder1_YH!V192="",AN191,coder1_YH!V192)</f>
        <v>NA</v>
      </c>
      <c r="AO192" s="345" t="str">
        <f>IF(coder1_YH!W192="",AO191,coder1_YH!W192)</f>
        <v>NA</v>
      </c>
      <c r="AP192" s="345">
        <f>IF(coder1_YH!X192="",AP191,coder1_YH!X192)</f>
        <v>0.5</v>
      </c>
      <c r="AQ192" s="345" t="str">
        <f>IF(coder1_YH!Y192="",AQ191,coder1_YH!Y192)</f>
        <v>NA</v>
      </c>
      <c r="AR192" t="str">
        <f>coder1_YH!AB192</f>
        <v>0 = Researcher-developed/adapted curriculum</v>
      </c>
      <c r="AS192" s="345" t="str">
        <f>IF(coder1_YH!AC192 = "", AS191,IF(coder1_YH!AC192="BAU","BAU",LEFT(coder1_YH!AC192)))</f>
        <v>1</v>
      </c>
      <c r="AT192" s="345" t="str">
        <f>IF(coder1_YH!AD192 = "", AT191,IF(coder1_YH!AD192="BAU","BAU",LEFT(coder1_YH!AD192)))</f>
        <v>1</v>
      </c>
      <c r="AU192" s="345" t="str">
        <f>IF(coder1_YH!AE192 = "", AU191,IF(coder1_YH!AE192="BAU","BAU",LEFT(coder1_YH!AE192)))</f>
        <v>0</v>
      </c>
      <c r="AV192" s="345">
        <f>IF(coder1_YH!AF192="",AV191,coder1_YH!AF192)</f>
        <v>525</v>
      </c>
      <c r="AW192" s="345">
        <f t="shared" si="57"/>
        <v>8.75</v>
      </c>
      <c r="AX192" s="345">
        <f>IF(coder1_YH!AG192="",AX191,coder1_YH!AG192)</f>
        <v>15</v>
      </c>
      <c r="AY192" s="345">
        <f>IF(coder1_YH!AH192="",AY191,coder1_YH!AH192)</f>
        <v>35</v>
      </c>
      <c r="AZ192" s="345" t="str">
        <f>IF(coder1_YH!AI192 = "", AZ191, IF(coder1_YH!AI192="BAU","BAU",LEFT(coder1_YH!AI192)))</f>
        <v>1</v>
      </c>
      <c r="BA192" s="384">
        <f>clean_data!Y192</f>
        <v>10</v>
      </c>
    </row>
    <row r="193" spans="1:53" x14ac:dyDescent="0.2">
      <c r="A193">
        <f>coder1_YH!B193</f>
        <v>0</v>
      </c>
      <c r="B193">
        <f>coder1_YH!C193</f>
        <v>193</v>
      </c>
      <c r="C193">
        <f>coder1_YH!D193</f>
        <v>0</v>
      </c>
      <c r="D193">
        <f>coder1_YH!E193</f>
        <v>0</v>
      </c>
      <c r="E193" t="b">
        <f>coder1_YH!F193</f>
        <v>1</v>
      </c>
      <c r="F193" s="321" t="str">
        <f>IF(coder1_YH!G193="", clean_mod!F192, coder1_YH!G193)</f>
        <v>Schunk &amp; Rice. (S2), 1987</v>
      </c>
      <c r="G193" s="321" t="str">
        <f t="shared" si="40"/>
        <v>132</v>
      </c>
      <c r="H193" s="321">
        <f>IF(coder1_YH!H193="", clean_mod!H192, coder1_YH!H193)</f>
        <v>132</v>
      </c>
      <c r="I193" s="404" t="str">
        <f t="shared" si="58"/>
        <v>1987</v>
      </c>
      <c r="J193" s="344" t="str">
        <f>IF(coder1_YH!I193="",J192,coder1_YH!I193)</f>
        <v>USA</v>
      </c>
      <c r="K193" s="345">
        <f t="shared" si="42"/>
        <v>0</v>
      </c>
      <c r="L193" s="344" t="str">
        <f>IF(coder1_YH!J193 = "",L192, coder1_YH!J193)</f>
        <v>English</v>
      </c>
      <c r="M193" s="345">
        <f t="shared" si="43"/>
        <v>0</v>
      </c>
      <c r="N193" s="345" t="str">
        <f>IF(coder1_YH!K193 = "", N192, LEFT(coder1_YH!K193,1))</f>
        <v>0</v>
      </c>
      <c r="O193" s="345" t="str">
        <f>IF(coder1_YH!L193 = "", O192, LEFT(coder1_YH!L193,1))</f>
        <v>0</v>
      </c>
      <c r="P193" s="345" t="str">
        <f>IF(coder1_YH!M193 = "", P192, LEFT(coder1_YH!M193,1))</f>
        <v>0</v>
      </c>
      <c r="Q193" s="321" t="str">
        <f>coder1_YH!P193</f>
        <v>ctl</v>
      </c>
      <c r="R193" s="321" t="str">
        <f>coder1_YH!Q193</f>
        <v>strategy effectiveness feedback</v>
      </c>
      <c r="S193" s="323" t="str">
        <f t="shared" si="44"/>
        <v/>
      </c>
      <c r="T193" s="323" t="str">
        <f t="shared" si="45"/>
        <v/>
      </c>
      <c r="U193" s="323" t="str">
        <f t="shared" si="46"/>
        <v/>
      </c>
      <c r="V193" s="323" t="str">
        <f t="shared" si="47"/>
        <v>T</v>
      </c>
      <c r="W193" s="323">
        <f t="shared" si="48"/>
        <v>1</v>
      </c>
      <c r="X193" s="385" t="str">
        <f>IF(coder1_YH!N193 = "",X192,coder1_YH!N193)</f>
        <v>T</v>
      </c>
      <c r="Y193" s="385" t="str">
        <f>IF(coder1_YH!O193 = "",Y192,coder1_YH!O193)</f>
        <v xml:space="preserve">m </v>
      </c>
      <c r="Z193" s="385" t="str">
        <f t="shared" si="49"/>
        <v>M</v>
      </c>
      <c r="AA193" s="385" t="str">
        <f t="shared" si="50"/>
        <v>R</v>
      </c>
      <c r="AB193" s="385" t="str">
        <f t="shared" si="51"/>
        <v>MR</v>
      </c>
      <c r="AC193" s="323" t="str">
        <f t="shared" si="52"/>
        <v xml:space="preserve">Tm </v>
      </c>
      <c r="AD193" s="323" t="str">
        <f t="shared" si="53"/>
        <v>T_R</v>
      </c>
      <c r="AF193" s="369" t="str">
        <f t="shared" si="54"/>
        <v xml:space="preserve">132-Tm </v>
      </c>
      <c r="AG193" s="369" t="str">
        <f t="shared" si="55"/>
        <v>132-T_R</v>
      </c>
      <c r="AH193" s="344" t="str">
        <f>IF(coder1_YH!R193="",AH192,coder1_YH!R193)</f>
        <v>4, 5</v>
      </c>
      <c r="AI193" s="344">
        <f t="shared" si="39"/>
        <v>4.5</v>
      </c>
      <c r="AJ193" s="345">
        <f t="shared" si="56"/>
        <v>0</v>
      </c>
      <c r="AK193" s="408">
        <f>IF(coder1_YH!S193="",AK192,coder1_YH!S193)</f>
        <v>11</v>
      </c>
      <c r="AL193" s="345">
        <f>IF(coder1_YH!T193="",AL192,IF(coder1_YH!T193="mixed",0.25,coder1_YH!T193))</f>
        <v>1</v>
      </c>
      <c r="AM193" s="345" t="str">
        <f>IF(coder1_YH!U193 = "", AM192, IF(coder1_YH!U193="mixed","NA",coder1_YH!U193))</f>
        <v>NA</v>
      </c>
      <c r="AN193" s="345" t="str">
        <f>IF(coder1_YH!V193="",AN192,coder1_YH!V193)</f>
        <v>NA</v>
      </c>
      <c r="AO193" s="345" t="str">
        <f>IF(coder1_YH!W193="",AO192,coder1_YH!W193)</f>
        <v>NA</v>
      </c>
      <c r="AP193" s="345">
        <f>IF(coder1_YH!X193="",AP192,coder1_YH!X193)</f>
        <v>0.5</v>
      </c>
      <c r="AQ193" s="345" t="str">
        <f>IF(coder1_YH!Y193="",AQ192,coder1_YH!Y193)</f>
        <v>NA</v>
      </c>
      <c r="AR193" t="str">
        <f>coder1_YH!AB193</f>
        <v>0 = Researcher-developed/adapted curriculum</v>
      </c>
      <c r="AS193" s="345" t="str">
        <f>IF(coder1_YH!AC193 = "", AS192,IF(coder1_YH!AC193="BAU","BAU",LEFT(coder1_YH!AC193)))</f>
        <v>1</v>
      </c>
      <c r="AT193" s="345" t="str">
        <f>IF(coder1_YH!AD193 = "", AT192,IF(coder1_YH!AD193="BAU","BAU",LEFT(coder1_YH!AD193)))</f>
        <v>1</v>
      </c>
      <c r="AU193" s="345" t="str">
        <f>IF(coder1_YH!AE193 = "", AU192,IF(coder1_YH!AE193="BAU","BAU",LEFT(coder1_YH!AE193)))</f>
        <v>0</v>
      </c>
      <c r="AV193" s="345">
        <f>IF(coder1_YH!AF193="",AV192,coder1_YH!AF193)</f>
        <v>525</v>
      </c>
      <c r="AW193" s="345">
        <f t="shared" si="57"/>
        <v>8.75</v>
      </c>
      <c r="AX193" s="345">
        <f>IF(coder1_YH!AG193="",AX192,coder1_YH!AG193)</f>
        <v>15</v>
      </c>
      <c r="AY193" s="345">
        <f>IF(coder1_YH!AH193="",AY192,coder1_YH!AH193)</f>
        <v>35</v>
      </c>
      <c r="AZ193" s="345" t="str">
        <f>IF(coder1_YH!AI193 = "", AZ192, IF(coder1_YH!AI193="BAU","BAU",LEFT(coder1_YH!AI193)))</f>
        <v>1</v>
      </c>
      <c r="BA193" s="384">
        <f>clean_data!Y193</f>
        <v>10</v>
      </c>
    </row>
    <row r="194" spans="1:53" x14ac:dyDescent="0.2">
      <c r="A194" t="str">
        <f>coder1_YH!B194</f>
        <v>EX</v>
      </c>
      <c r="B194">
        <f>coder1_YH!C194</f>
        <v>194</v>
      </c>
      <c r="C194">
        <f>coder1_YH!D194</f>
        <v>0</v>
      </c>
      <c r="D194">
        <f>coder1_YH!E194</f>
        <v>0</v>
      </c>
      <c r="E194" t="b">
        <f>coder1_YH!F194</f>
        <v>1</v>
      </c>
      <c r="F194" s="321" t="str">
        <f>IF(coder1_YH!G194="", clean_mod!F193, coder1_YH!G194)</f>
        <v>Schunk &amp; Rice. (S2), 1987</v>
      </c>
      <c r="G194" s="321" t="str">
        <f t="shared" si="40"/>
        <v>132</v>
      </c>
      <c r="H194" s="321">
        <f>IF(coder1_YH!H194="", clean_mod!H193, coder1_YH!H194)</f>
        <v>132</v>
      </c>
      <c r="I194" s="404" t="str">
        <f t="shared" si="58"/>
        <v>1987</v>
      </c>
      <c r="J194" s="344" t="str">
        <f>IF(coder1_YH!I194="",J193,coder1_YH!I194)</f>
        <v>USA</v>
      </c>
      <c r="K194" s="345">
        <f t="shared" si="42"/>
        <v>0</v>
      </c>
      <c r="L194" s="344" t="str">
        <f>IF(coder1_YH!J194 = "",L193, coder1_YH!J194)</f>
        <v>English</v>
      </c>
      <c r="M194" s="345">
        <f t="shared" si="43"/>
        <v>0</v>
      </c>
      <c r="N194" s="345" t="str">
        <f>IF(coder1_YH!K194 = "", N193, LEFT(coder1_YH!K194,1))</f>
        <v>0</v>
      </c>
      <c r="O194" s="345" t="str">
        <f>IF(coder1_YH!L194 = "", O193, LEFT(coder1_YH!L194,1))</f>
        <v>0</v>
      </c>
      <c r="P194" s="345" t="str">
        <f>IF(coder1_YH!M194 = "", P193, LEFT(coder1_YH!M194,1))</f>
        <v>0</v>
      </c>
      <c r="Q194" s="321">
        <f>coder1_YH!P194</f>
        <v>2</v>
      </c>
      <c r="R194" s="321" t="str">
        <f>coder1_YH!Q194</f>
        <v>strategy value plus effectiveness feedback (combined)</v>
      </c>
      <c r="S194" s="323" t="str">
        <f t="shared" si="44"/>
        <v/>
      </c>
      <c r="T194" s="323" t="str">
        <f t="shared" si="45"/>
        <v>V</v>
      </c>
      <c r="U194" s="323" t="str">
        <f t="shared" si="46"/>
        <v/>
      </c>
      <c r="V194" s="323" t="str">
        <f t="shared" si="47"/>
        <v>T</v>
      </c>
      <c r="W194" s="323">
        <f t="shared" si="48"/>
        <v>2</v>
      </c>
      <c r="X194" s="385" t="str">
        <f>IF(coder1_YH!N194 = "",X193,coder1_YH!N194)</f>
        <v>VT</v>
      </c>
      <c r="Y194" s="385" t="str">
        <f>IF(coder1_YH!O194 = "",Y193,coder1_YH!O194)</f>
        <v xml:space="preserve">m </v>
      </c>
      <c r="Z194" s="385" t="str">
        <f t="shared" si="49"/>
        <v>M</v>
      </c>
      <c r="AA194" s="385" t="str">
        <f t="shared" ref="AA194:AA224" si="60">IF(Y194=".","BAU","R")</f>
        <v>R</v>
      </c>
      <c r="AB194" s="385" t="str">
        <f t="shared" ref="AB194:AB224" si="61">Z194&amp;AA194</f>
        <v>MR</v>
      </c>
      <c r="AC194" s="323" t="str">
        <f t="shared" si="52"/>
        <v xml:space="preserve">VTm </v>
      </c>
      <c r="AD194" s="323" t="str">
        <f t="shared" si="53"/>
        <v>VT_R</v>
      </c>
      <c r="AF194" s="369" t="str">
        <f t="shared" si="54"/>
        <v xml:space="preserve">132-VTm </v>
      </c>
      <c r="AG194" s="369" t="str">
        <f t="shared" si="55"/>
        <v>132-VT_R</v>
      </c>
      <c r="AH194" s="344" t="str">
        <f>IF(coder1_YH!R194="",AH193,coder1_YH!R194)</f>
        <v>4, 5</v>
      </c>
      <c r="AI194" s="344">
        <f t="shared" ref="AI194:AI257" si="62">IF(AH194="4, 5",4.5,IF(AH194="7, 8, 9",8,IF(AH194="3, 4",3.5,IF(AH194="7, 8",7.5,IF(AH194="5, 6",5.5,IF(AH194="4,5,6,7,8",6,AH194))))))</f>
        <v>4.5</v>
      </c>
      <c r="AJ194" s="345">
        <f t="shared" si="56"/>
        <v>0</v>
      </c>
      <c r="AK194" s="408">
        <f>IF(coder1_YH!S194="",AK193,coder1_YH!S194)</f>
        <v>11</v>
      </c>
      <c r="AL194" s="345">
        <f>IF(coder1_YH!T194="",AL193,IF(coder1_YH!T194="mixed",0.25,coder1_YH!T194))</f>
        <v>1</v>
      </c>
      <c r="AM194" s="345" t="str">
        <f>IF(coder1_YH!U194 = "", AM193, IF(coder1_YH!U194="mixed","NA",coder1_YH!U194))</f>
        <v>NA</v>
      </c>
      <c r="AN194" s="345" t="str">
        <f>IF(coder1_YH!V194="",AN193,coder1_YH!V194)</f>
        <v>NA</v>
      </c>
      <c r="AO194" s="345" t="str">
        <f>IF(coder1_YH!W194="",AO193,coder1_YH!W194)</f>
        <v>NA</v>
      </c>
      <c r="AP194" s="345">
        <f>IF(coder1_YH!X194="",AP193,coder1_YH!X194)</f>
        <v>0.5</v>
      </c>
      <c r="AQ194" s="345" t="str">
        <f>IF(coder1_YH!Y194="",AQ193,coder1_YH!Y194)</f>
        <v>NA</v>
      </c>
      <c r="AR194" t="str">
        <f>coder1_YH!AB194</f>
        <v>0 = Researcher-developed/adapted curriculum</v>
      </c>
      <c r="AS194" s="345" t="str">
        <f>IF(coder1_YH!AC194 = "", AS193,IF(coder1_YH!AC194="BAU","BAU",LEFT(coder1_YH!AC194)))</f>
        <v>1</v>
      </c>
      <c r="AT194" s="345" t="str">
        <f>IF(coder1_YH!AD194 = "", AT193,IF(coder1_YH!AD194="BAU","BAU",LEFT(coder1_YH!AD194)))</f>
        <v>1</v>
      </c>
      <c r="AU194" s="345" t="str">
        <f>IF(coder1_YH!AE194 = "", AU193,IF(coder1_YH!AE194="BAU","BAU",LEFT(coder1_YH!AE194)))</f>
        <v>0</v>
      </c>
      <c r="AV194" s="345">
        <f>IF(coder1_YH!AF194="",AV193,coder1_YH!AF194)</f>
        <v>525</v>
      </c>
      <c r="AW194" s="345">
        <f t="shared" si="57"/>
        <v>8.75</v>
      </c>
      <c r="AX194" s="345">
        <f>IF(coder1_YH!AG194="",AX193,coder1_YH!AG194)</f>
        <v>15</v>
      </c>
      <c r="AY194" s="345">
        <f>IF(coder1_YH!AH194="",AY193,coder1_YH!AH194)</f>
        <v>35</v>
      </c>
      <c r="AZ194" s="345" t="str">
        <f>IF(coder1_YH!AI194 = "", AZ193, IF(coder1_YH!AI194="BAU","BAU",LEFT(coder1_YH!AI194)))</f>
        <v>1</v>
      </c>
      <c r="BA194" s="384">
        <f>clean_data!Y194</f>
        <v>10</v>
      </c>
    </row>
    <row r="195" spans="1:53" x14ac:dyDescent="0.2">
      <c r="A195">
        <f>coder1_YH!B195</f>
        <v>0</v>
      </c>
      <c r="B195">
        <f>coder1_YH!C195</f>
        <v>195</v>
      </c>
      <c r="C195" t="b">
        <f>coder1_YH!D195</f>
        <v>1</v>
      </c>
      <c r="D195" t="b">
        <f>coder1_YH!E195</f>
        <v>1</v>
      </c>
      <c r="E195" t="b">
        <f>coder1_YH!F195</f>
        <v>1</v>
      </c>
      <c r="F195" s="321" t="str">
        <f>IF(coder1_YH!G195="", clean_mod!F194, coder1_YH!G195)</f>
        <v>Orkin, 2013</v>
      </c>
      <c r="G195" s="321" t="str">
        <f t="shared" ref="G195:G258" si="63">LEFT(H195,3)</f>
        <v>133</v>
      </c>
      <c r="H195" s="321">
        <f>IF(coder1_YH!H195="", clean_mod!H194, coder1_YH!H195)</f>
        <v>133</v>
      </c>
      <c r="I195" s="404" t="str">
        <f t="shared" si="58"/>
        <v>2013</v>
      </c>
      <c r="J195" s="344" t="str">
        <f>IF(coder1_YH!I195="",J194,coder1_YH!I195)</f>
        <v>USA</v>
      </c>
      <c r="K195" s="345">
        <f t="shared" ref="K195:K258" si="64">IF(J195="USA",0,1)</f>
        <v>0</v>
      </c>
      <c r="L195" s="344" t="str">
        <f>IF(coder1_YH!J195 = "",L194, coder1_YH!J195)</f>
        <v>English</v>
      </c>
      <c r="M195" s="345">
        <f t="shared" ref="M195:M258" si="65">IF(L195="English",0,1)</f>
        <v>0</v>
      </c>
      <c r="N195" s="345" t="str">
        <f>IF(coder1_YH!K195 = "", N194, LEFT(coder1_YH!K195,1))</f>
        <v>1</v>
      </c>
      <c r="O195" s="345" t="str">
        <f>IF(coder1_YH!L195 = "", O194, LEFT(coder1_YH!L195,1))</f>
        <v>1</v>
      </c>
      <c r="P195" s="345" t="str">
        <f>IF(coder1_YH!M195 = "", P194, LEFT(coder1_YH!M195,1))</f>
        <v>1</v>
      </c>
      <c r="Q195" s="321">
        <f>coder1_YH!P195</f>
        <v>1</v>
      </c>
      <c r="R195" s="321" t="str">
        <f>coder1_YH!Q195</f>
        <v>CORI + RAVE-O + Wilson Reading Program</v>
      </c>
      <c r="S195" s="323" t="str">
        <f t="shared" ref="S195:S258" si="66">IF(ISNUMBER(SEARCH("N", $X195)), "N", "")</f>
        <v>N</v>
      </c>
      <c r="T195" s="323" t="str">
        <f t="shared" ref="T195:T258" si="67">IF(ISNUMBER(SEARCH("V", $X195)), "V", "")</f>
        <v/>
      </c>
      <c r="U195" s="323" t="str">
        <f t="shared" ref="U195:U258" si="68">IF(ISNUMBER(SEARCH("G", $X195)), "G", "")</f>
        <v>G</v>
      </c>
      <c r="V195" s="323" t="str">
        <f t="shared" ref="V195:V258" si="69">IF(ISNUMBER(SEARCH("T", $X195)), "T", "")</f>
        <v/>
      </c>
      <c r="W195" s="323">
        <f t="shared" ref="W195:W258" si="70">4 - COUNTIF(S195:V195, "")</f>
        <v>2</v>
      </c>
      <c r="X195" s="385" t="str">
        <f>IF(coder1_YH!N195 = "",X194,coder1_YH!N195)</f>
        <v>NG</v>
      </c>
      <c r="Y195" s="385" t="str">
        <f>IF(coder1_YH!O195 = "",Y194,coder1_YH!O195)</f>
        <v xml:space="preserve">c </v>
      </c>
      <c r="Z195" s="385" t="str">
        <f t="shared" ref="Z195:Z230" si="71">IF(X195=".","","M")</f>
        <v>M</v>
      </c>
      <c r="AA195" s="385" t="str">
        <f t="shared" si="60"/>
        <v>R</v>
      </c>
      <c r="AB195" s="385" t="str">
        <f t="shared" si="61"/>
        <v>MR</v>
      </c>
      <c r="AC195" s="323" t="str">
        <f t="shared" ref="AC195:AC258" si="72">X195&amp;Y195</f>
        <v xml:space="preserve">NGc </v>
      </c>
      <c r="AD195" s="323" t="str">
        <f t="shared" ref="AD195:AD258" si="73">IF(X195=".",AA195,X195&amp;"_"&amp;AA195)</f>
        <v>NG_R</v>
      </c>
      <c r="AE195" s="323">
        <f>IF(Y195="cm", 1,0)</f>
        <v>0</v>
      </c>
      <c r="AF195" s="369" t="str">
        <f t="shared" ref="AF195:AF258" si="74">$H195&amp;"-"&amp;AC195</f>
        <v xml:space="preserve">133-NGc </v>
      </c>
      <c r="AG195" s="369" t="str">
        <f t="shared" ref="AG195:AG258" si="75">$H195&amp;"-"&amp;AD195</f>
        <v>133-NG_R</v>
      </c>
      <c r="AH195" s="344" t="str">
        <f>IF(coder1_YH!R195="",AH194,coder1_YH!R195)</f>
        <v>3</v>
      </c>
      <c r="AI195" s="344" t="str">
        <f t="shared" si="62"/>
        <v>3</v>
      </c>
      <c r="AJ195" s="345">
        <f t="shared" ref="AJ195:AJ258" si="76">IF(AI195&lt;6,0,1)</f>
        <v>1</v>
      </c>
      <c r="AK195" s="408">
        <f>IF(coder1_YH!S195="",AK194,coder1_YH!S195)</f>
        <v>8.16</v>
      </c>
      <c r="AL195" s="345">
        <f>IF(coder1_YH!T195="",AL194,IF(coder1_YH!T195="mixed",0.25,coder1_YH!T195))</f>
        <v>1</v>
      </c>
      <c r="AM195" s="345">
        <f>IF(coder1_YH!U195 = "", AM194, IF(coder1_YH!U195="mixed","NA",coder1_YH!U195))</f>
        <v>0.89</v>
      </c>
      <c r="AN195" s="345" t="str">
        <f>IF(coder1_YH!V195="",AN194,coder1_YH!V195)</f>
        <v>NA</v>
      </c>
      <c r="AO195" s="345" t="str">
        <f>IF(coder1_YH!W195="",AO194,coder1_YH!W195)</f>
        <v>NA</v>
      </c>
      <c r="AP195" s="345">
        <f>IF(coder1_YH!X195="",AP194,coder1_YH!X195)</f>
        <v>0.41666666666666663</v>
      </c>
      <c r="AQ195" s="345">
        <f>IF(coder1_YH!Y195="",AQ194,coder1_YH!Y195)</f>
        <v>0.16000000000000003</v>
      </c>
      <c r="AR195" t="str">
        <f>coder1_YH!AB195</f>
        <v>1 = Published/Commercially available curriculum</v>
      </c>
      <c r="AS195" s="345" t="str">
        <f>IF(coder1_YH!AC195 = "", AS194,IF(coder1_YH!AC195="BAU","BAU",LEFT(coder1_YH!AC195)))</f>
        <v>1</v>
      </c>
      <c r="AT195" s="345" t="str">
        <f>IF(coder1_YH!AD195 = "", AT194,IF(coder1_YH!AD195="BAU","BAU",LEFT(coder1_YH!AD195)))</f>
        <v>1</v>
      </c>
      <c r="AU195" s="345" t="str">
        <f>IF(coder1_YH!AE195 = "", AU194,IF(coder1_YH!AE195="BAU","BAU",LEFT(coder1_YH!AE195)))</f>
        <v>1</v>
      </c>
      <c r="AV195" s="345">
        <f>IF(coder1_YH!AF195="",AV194,coder1_YH!AF195)</f>
        <v>2400</v>
      </c>
      <c r="AW195" s="345">
        <f t="shared" ref="AW195:AW258" si="77">IF(AV195="BAU","BAU",IF(AV195="NA","NA",AV195/60))</f>
        <v>40</v>
      </c>
      <c r="AX195" s="345">
        <f>IF(coder1_YH!AG195="",AX194,coder1_YH!AG195)</f>
        <v>25</v>
      </c>
      <c r="AY195" s="345">
        <f>IF(coder1_YH!AH195="",AY194,coder1_YH!AH195)</f>
        <v>120</v>
      </c>
      <c r="AZ195" s="345" t="str">
        <f>IF(coder1_YH!AI195 = "", AZ194, IF(coder1_YH!AI195="BAU","BAU",LEFT(coder1_YH!AI195)))</f>
        <v>1</v>
      </c>
      <c r="BA195" s="384">
        <f>clean_data!Y195</f>
        <v>12</v>
      </c>
    </row>
    <row r="196" spans="1:53" x14ac:dyDescent="0.2">
      <c r="A196">
        <f>coder1_YH!B196</f>
        <v>0</v>
      </c>
      <c r="B196">
        <f>coder1_YH!C196</f>
        <v>196</v>
      </c>
      <c r="C196">
        <f>coder1_YH!D196</f>
        <v>0</v>
      </c>
      <c r="D196" t="str">
        <f>coder1_YH!E196</f>
        <v/>
      </c>
      <c r="E196" t="b">
        <f>coder1_YH!F196</f>
        <v>1</v>
      </c>
      <c r="F196" s="321" t="str">
        <f>IF(coder1_YH!G196="", clean_mod!F195, coder1_YH!G196)</f>
        <v>Orkin, 2013</v>
      </c>
      <c r="G196" s="321" t="str">
        <f t="shared" si="63"/>
        <v>133</v>
      </c>
      <c r="H196" s="321">
        <f>IF(coder1_YH!H196="", clean_mod!H195, coder1_YH!H196)</f>
        <v>133</v>
      </c>
      <c r="I196" s="404" t="str">
        <f t="shared" si="58"/>
        <v>2013</v>
      </c>
      <c r="J196" s="344" t="str">
        <f>IF(coder1_YH!I196="",J195,coder1_YH!I196)</f>
        <v>USA</v>
      </c>
      <c r="K196" s="345">
        <f t="shared" si="64"/>
        <v>0</v>
      </c>
      <c r="L196" s="344" t="str">
        <f>IF(coder1_YH!J196 = "",L195, coder1_YH!J196)</f>
        <v>English</v>
      </c>
      <c r="M196" s="345">
        <f t="shared" si="65"/>
        <v>0</v>
      </c>
      <c r="N196" s="345" t="str">
        <f>IF(coder1_YH!K196 = "", N195, LEFT(coder1_YH!K196,1))</f>
        <v>1</v>
      </c>
      <c r="O196" s="345" t="str">
        <f>IF(coder1_YH!L196 = "", O195, LEFT(coder1_YH!L196,1))</f>
        <v>1</v>
      </c>
      <c r="P196" s="345" t="str">
        <f>IF(coder1_YH!M196 = "", P195, LEFT(coder1_YH!M196,1))</f>
        <v>1</v>
      </c>
      <c r="Q196" s="321" t="str">
        <f>coder1_YH!P196</f>
        <v>ctl</v>
      </c>
      <c r="R196" s="321" t="str">
        <f>coder1_YH!Q196</f>
        <v>incentives + RAVE-O + Wilson Reading Program</v>
      </c>
      <c r="S196" s="323" t="str">
        <f t="shared" si="66"/>
        <v/>
      </c>
      <c r="T196" s="323" t="str">
        <f t="shared" si="67"/>
        <v/>
      </c>
      <c r="U196" s="323" t="str">
        <f t="shared" si="68"/>
        <v/>
      </c>
      <c r="V196" s="323" t="str">
        <f t="shared" si="69"/>
        <v/>
      </c>
      <c r="W196" s="323">
        <f t="shared" si="70"/>
        <v>0</v>
      </c>
      <c r="X196" s="385" t="str">
        <f>IF(coder1_YH!N196 = "",X195,coder1_YH!N196)</f>
        <v>.</v>
      </c>
      <c r="Y196" s="385" t="str">
        <f>IF(coder1_YH!O196 = "",Y195,coder1_YH!O196)</f>
        <v xml:space="preserve">c </v>
      </c>
      <c r="Z196" s="385" t="str">
        <f t="shared" si="71"/>
        <v/>
      </c>
      <c r="AA196" s="385" t="str">
        <f t="shared" si="60"/>
        <v>R</v>
      </c>
      <c r="AB196" s="385" t="str">
        <f t="shared" si="61"/>
        <v>R</v>
      </c>
      <c r="AC196" s="323" t="str">
        <f t="shared" si="72"/>
        <v xml:space="preserve">.c </v>
      </c>
      <c r="AD196" s="323" t="str">
        <f t="shared" si="73"/>
        <v>R</v>
      </c>
      <c r="AF196" s="369" t="str">
        <f t="shared" si="74"/>
        <v xml:space="preserve">133-.c </v>
      </c>
      <c r="AG196" s="369" t="str">
        <f t="shared" si="75"/>
        <v>133-R</v>
      </c>
      <c r="AH196" s="344" t="str">
        <f>IF(coder1_YH!R196="",AH195,coder1_YH!R196)</f>
        <v>3</v>
      </c>
      <c r="AI196" s="344" t="str">
        <f t="shared" si="62"/>
        <v>3</v>
      </c>
      <c r="AJ196" s="345">
        <f t="shared" si="76"/>
        <v>1</v>
      </c>
      <c r="AK196" s="408">
        <f>IF(coder1_YH!S196="",AK195,coder1_YH!S196)</f>
        <v>8.16</v>
      </c>
      <c r="AL196" s="345">
        <f>IF(coder1_YH!T196="",AL195,IF(coder1_YH!T196="mixed",0.25,coder1_YH!T196))</f>
        <v>1</v>
      </c>
      <c r="AM196" s="345">
        <f>IF(coder1_YH!U196 = "", AM195, IF(coder1_YH!U196="mixed","NA",coder1_YH!U196))</f>
        <v>0.89</v>
      </c>
      <c r="AN196" s="345" t="str">
        <f>IF(coder1_YH!V196="",AN195,coder1_YH!V196)</f>
        <v>NA</v>
      </c>
      <c r="AO196" s="345" t="str">
        <f>IF(coder1_YH!W196="",AO195,coder1_YH!W196)</f>
        <v>NA</v>
      </c>
      <c r="AP196" s="345">
        <f>IF(coder1_YH!X196="",AP195,coder1_YH!X196)</f>
        <v>0.41666666666666663</v>
      </c>
      <c r="AQ196" s="345">
        <f>IF(coder1_YH!Y196="",AQ195,coder1_YH!Y196)</f>
        <v>0.16000000000000003</v>
      </c>
      <c r="AR196" t="str">
        <f>coder1_YH!AB196</f>
        <v>1 = Published/Commercially available curriculum</v>
      </c>
      <c r="AS196" s="345" t="str">
        <f>IF(coder1_YH!AC196 = "", AS195,IF(coder1_YH!AC196="BAU","BAU",LEFT(coder1_YH!AC196)))</f>
        <v>1</v>
      </c>
      <c r="AT196" s="345" t="str">
        <f>IF(coder1_YH!AD196 = "", AT195,IF(coder1_YH!AD196="BAU","BAU",LEFT(coder1_YH!AD196)))</f>
        <v>1</v>
      </c>
      <c r="AU196" s="345" t="str">
        <f>IF(coder1_YH!AE196 = "", AU195,IF(coder1_YH!AE196="BAU","BAU",LEFT(coder1_YH!AE196)))</f>
        <v>1</v>
      </c>
      <c r="AV196" s="345">
        <f>IF(coder1_YH!AF196="",AV195,coder1_YH!AF196)</f>
        <v>2400</v>
      </c>
      <c r="AW196" s="345">
        <f t="shared" si="77"/>
        <v>40</v>
      </c>
      <c r="AX196" s="345">
        <f>IF(coder1_YH!AG196="",AX195,coder1_YH!AG196)</f>
        <v>25</v>
      </c>
      <c r="AY196" s="345">
        <f>IF(coder1_YH!AH196="",AY195,coder1_YH!AH196)</f>
        <v>120</v>
      </c>
      <c r="AZ196" s="345" t="str">
        <f>IF(coder1_YH!AI196 = "", AZ195, IF(coder1_YH!AI196="BAU","BAU",LEFT(coder1_YH!AI196)))</f>
        <v>1</v>
      </c>
      <c r="BA196" s="384">
        <f>clean_data!Y196</f>
        <v>12</v>
      </c>
    </row>
    <row r="197" spans="1:53" x14ac:dyDescent="0.2">
      <c r="A197" t="str">
        <f>coder1_YH!B197</f>
        <v>EX</v>
      </c>
      <c r="B197">
        <f>coder1_YH!C197</f>
        <v>197</v>
      </c>
      <c r="C197" t="b">
        <f>coder1_YH!D197</f>
        <v>1</v>
      </c>
      <c r="D197" t="b">
        <f>coder1_YH!E197</f>
        <v>1</v>
      </c>
      <c r="E197" t="b">
        <f>coder1_YH!F197</f>
        <v>1</v>
      </c>
      <c r="F197" s="321" t="str">
        <f>IF(coder1_YH!G197="", clean_mod!F196, coder1_YH!G197)</f>
        <v>Fogarty et al., 2020</v>
      </c>
      <c r="G197" s="321" t="str">
        <f t="shared" si="63"/>
        <v xml:space="preserve">EX </v>
      </c>
      <c r="H197" s="321" t="str">
        <f>IF(coder1_YH!H197="", clean_mod!H196, coder1_YH!H197)</f>
        <v>EX 134</v>
      </c>
      <c r="I197" s="404" t="str">
        <f t="shared" si="58"/>
        <v>2020</v>
      </c>
      <c r="J197" s="344" t="str">
        <f>IF(coder1_YH!I197="",J196,coder1_YH!I197)</f>
        <v>USA</v>
      </c>
      <c r="K197" s="345">
        <f t="shared" si="64"/>
        <v>0</v>
      </c>
      <c r="L197" s="344" t="str">
        <f>IF(coder1_YH!J197 = "",L196, coder1_YH!J197)</f>
        <v>English</v>
      </c>
      <c r="M197" s="345">
        <f t="shared" si="65"/>
        <v>0</v>
      </c>
      <c r="N197" s="345" t="str">
        <f>IF(coder1_YH!K197 = "", N196, LEFT(coder1_YH!K197,1))</f>
        <v>0</v>
      </c>
      <c r="O197" s="345" t="str">
        <f>IF(coder1_YH!L197 = "", O196, LEFT(coder1_YH!L197,1))</f>
        <v>0</v>
      </c>
      <c r="P197" s="345" t="str">
        <f>IF(coder1_YH!M197 = "", P196, LEFT(coder1_YH!M197,1))</f>
        <v>0</v>
      </c>
      <c r="Q197" s="321">
        <f>coder1_YH!P197</f>
        <v>1</v>
      </c>
      <c r="R197" s="321" t="str">
        <f>coder1_YH!Q197</f>
        <v>Vocabulators (CAI)</v>
      </c>
      <c r="S197" s="323" t="str">
        <f t="shared" si="66"/>
        <v/>
      </c>
      <c r="T197" s="323" t="str">
        <f t="shared" si="67"/>
        <v/>
      </c>
      <c r="U197" s="323" t="str">
        <f t="shared" si="68"/>
        <v/>
      </c>
      <c r="V197" s="323" t="str">
        <f t="shared" si="69"/>
        <v/>
      </c>
      <c r="W197" s="323">
        <f t="shared" si="70"/>
        <v>0</v>
      </c>
      <c r="X197" s="385" t="str">
        <f>IF(coder1_YH!N197 = "",X196,coder1_YH!N197)</f>
        <v>.</v>
      </c>
      <c r="Y197" s="385" t="str">
        <f>IF(coder1_YH!O197 = "",Y196,coder1_YH!O197)</f>
        <v xml:space="preserve">c </v>
      </c>
      <c r="Z197" s="385" t="str">
        <f t="shared" si="71"/>
        <v/>
      </c>
      <c r="AA197" s="385" t="str">
        <f t="shared" si="60"/>
        <v>R</v>
      </c>
      <c r="AB197" s="385" t="str">
        <f t="shared" si="61"/>
        <v>R</v>
      </c>
      <c r="AC197" s="323" t="str">
        <f t="shared" si="72"/>
        <v xml:space="preserve">.c </v>
      </c>
      <c r="AD197" s="323" t="str">
        <f t="shared" si="73"/>
        <v>R</v>
      </c>
      <c r="AF197" s="369" t="str">
        <f t="shared" si="74"/>
        <v xml:space="preserve">EX 134-.c </v>
      </c>
      <c r="AG197" s="369" t="str">
        <f t="shared" si="75"/>
        <v>EX 134-R</v>
      </c>
      <c r="AH197" s="344">
        <f>IF(coder1_YH!R197="",AH196,coder1_YH!R197)</f>
        <v>3</v>
      </c>
      <c r="AI197" s="344">
        <f t="shared" si="62"/>
        <v>3</v>
      </c>
      <c r="AJ197" s="345">
        <f t="shared" si="76"/>
        <v>0</v>
      </c>
      <c r="AK197" s="408">
        <f>IF(coder1_YH!S197="",AK196,coder1_YH!S197)</f>
        <v>8.5</v>
      </c>
      <c r="AL197" s="345">
        <f>IF(coder1_YH!T197="",AL196,IF(coder1_YH!T197="mixed",0.25,coder1_YH!T197))</f>
        <v>1</v>
      </c>
      <c r="AM197" s="345">
        <f>IF(coder1_YH!U197 = "", AM196, IF(coder1_YH!U197="mixed","NA",coder1_YH!U197))</f>
        <v>0.13</v>
      </c>
      <c r="AN197" s="345">
        <f>IF(coder1_YH!V197="",AN196,coder1_YH!V197)</f>
        <v>0.47</v>
      </c>
      <c r="AO197" s="345">
        <f>IF(coder1_YH!W197="",AO196,coder1_YH!W197)</f>
        <v>0.25</v>
      </c>
      <c r="AP197" s="345">
        <f>IF(coder1_YH!X197="",AP196,coder1_YH!X197)</f>
        <v>0.56000000000000005</v>
      </c>
      <c r="AQ197" s="345">
        <f>IF(coder1_YH!Y197="",AQ196,coder1_YH!Y197)</f>
        <v>0.81</v>
      </c>
      <c r="AR197" t="str">
        <f>coder1_YH!AB197</f>
        <v>0 = Researcher-developed/adapted curriculum</v>
      </c>
      <c r="AS197" s="345" t="str">
        <f>IF(coder1_YH!AC197 = "", AS196,IF(coder1_YH!AC197="BAU","BAU",LEFT(coder1_YH!AC197)))</f>
        <v>1</v>
      </c>
      <c r="AT197" s="345" t="str">
        <f>IF(coder1_YH!AD197 = "", AT196,IF(coder1_YH!AD197="BAU","BAU",LEFT(coder1_YH!AD197)))</f>
        <v>0</v>
      </c>
      <c r="AU197" s="345" t="str">
        <f>IF(coder1_YH!AE197 = "", AU196,IF(coder1_YH!AE197="BAU","BAU",LEFT(coder1_YH!AE197)))</f>
        <v>1</v>
      </c>
      <c r="AV197" s="345">
        <f>IF(coder1_YH!AF197="",AV196,coder1_YH!AF197)</f>
        <v>517.65000000000009</v>
      </c>
      <c r="AW197" s="345">
        <f t="shared" si="77"/>
        <v>8.6275000000000013</v>
      </c>
      <c r="AX197" s="345">
        <f>IF(coder1_YH!AG197="",AX196,coder1_YH!AG197)</f>
        <v>29</v>
      </c>
      <c r="AY197" s="345">
        <f>IF(coder1_YH!AH197="",AY196,coder1_YH!AH197)</f>
        <v>17.850000000000001</v>
      </c>
      <c r="AZ197" s="345" t="str">
        <f>IF(coder1_YH!AI197 = "", AZ196, IF(coder1_YH!AI197="BAU","BAU",LEFT(coder1_YH!AI197)))</f>
        <v>1</v>
      </c>
      <c r="BA197" s="384">
        <f>clean_data!Y197</f>
        <v>92</v>
      </c>
    </row>
    <row r="198" spans="1:53" x14ac:dyDescent="0.2">
      <c r="A198" t="str">
        <f>coder1_YH!B198</f>
        <v>EX</v>
      </c>
      <c r="B198">
        <f>coder1_YH!C198</f>
        <v>198</v>
      </c>
      <c r="C198">
        <f>coder1_YH!D198</f>
        <v>0</v>
      </c>
      <c r="D198" t="str">
        <f>coder1_YH!E198</f>
        <v/>
      </c>
      <c r="E198" t="b">
        <f>coder1_YH!F198</f>
        <v>1</v>
      </c>
      <c r="F198" s="321" t="str">
        <f>IF(coder1_YH!G198="", clean_mod!F197, coder1_YH!G198)</f>
        <v>Fogarty et al., 2020</v>
      </c>
      <c r="G198" s="321" t="str">
        <f t="shared" si="63"/>
        <v xml:space="preserve">EX </v>
      </c>
      <c r="H198" s="321" t="str">
        <f>IF(coder1_YH!H198="", clean_mod!H197, coder1_YH!H198)</f>
        <v>EX 134</v>
      </c>
      <c r="I198" s="404" t="str">
        <f t="shared" ref="I198:I258" si="78">RIGHT(F198,4)</f>
        <v>2020</v>
      </c>
      <c r="J198" s="344" t="str">
        <f>IF(coder1_YH!I198="",J197,coder1_YH!I198)</f>
        <v>USA</v>
      </c>
      <c r="K198" s="345">
        <f t="shared" si="64"/>
        <v>0</v>
      </c>
      <c r="L198" s="344" t="str">
        <f>IF(coder1_YH!J198 = "",L197, coder1_YH!J198)</f>
        <v>English</v>
      </c>
      <c r="M198" s="345">
        <f t="shared" si="65"/>
        <v>0</v>
      </c>
      <c r="N198" s="345" t="str">
        <f>IF(coder1_YH!K198 = "", N197, LEFT(coder1_YH!K198,1))</f>
        <v>0</v>
      </c>
      <c r="O198" s="345" t="str">
        <f>IF(coder1_YH!L198 = "", O197, LEFT(coder1_YH!L198,1))</f>
        <v>0</v>
      </c>
      <c r="P198" s="345" t="str">
        <f>IF(coder1_YH!M198 = "", P197, LEFT(coder1_YH!M198,1))</f>
        <v>0</v>
      </c>
      <c r="Q198" s="321" t="str">
        <f>coder1_YH!P198</f>
        <v>ctl</v>
      </c>
      <c r="R198" s="321" t="str">
        <f>coder1_YH!Q198</f>
        <v>Typical practice</v>
      </c>
      <c r="S198" s="323" t="str">
        <f t="shared" si="66"/>
        <v/>
      </c>
      <c r="T198" s="323" t="str">
        <f t="shared" si="67"/>
        <v/>
      </c>
      <c r="U198" s="323" t="str">
        <f t="shared" si="68"/>
        <v/>
      </c>
      <c r="V198" s="323" t="str">
        <f t="shared" si="69"/>
        <v/>
      </c>
      <c r="W198" s="323">
        <f t="shared" si="70"/>
        <v>0</v>
      </c>
      <c r="X198" s="385" t="str">
        <f>IF(coder1_YH!N198 = "",X197,coder1_YH!N198)</f>
        <v>.</v>
      </c>
      <c r="Y198" s="385" t="str">
        <f>IF(coder1_YH!O198 = "",Y197,coder1_YH!O198)</f>
        <v xml:space="preserve">c </v>
      </c>
      <c r="Z198" s="385" t="str">
        <f t="shared" si="71"/>
        <v/>
      </c>
      <c r="AA198" s="385" t="str">
        <f t="shared" si="60"/>
        <v>R</v>
      </c>
      <c r="AB198" s="385" t="str">
        <f t="shared" si="61"/>
        <v>R</v>
      </c>
      <c r="AC198" s="323" t="str">
        <f t="shared" si="72"/>
        <v xml:space="preserve">.c </v>
      </c>
      <c r="AD198" s="323" t="str">
        <f t="shared" si="73"/>
        <v>R</v>
      </c>
      <c r="AF198" s="369" t="str">
        <f t="shared" si="74"/>
        <v xml:space="preserve">EX 134-.c </v>
      </c>
      <c r="AG198" s="369" t="str">
        <f t="shared" si="75"/>
        <v>EX 134-R</v>
      </c>
      <c r="AH198" s="344">
        <f>IF(coder1_YH!R198="",AH197,coder1_YH!R198)</f>
        <v>3</v>
      </c>
      <c r="AI198" s="344">
        <f t="shared" si="62"/>
        <v>3</v>
      </c>
      <c r="AJ198" s="345">
        <f t="shared" si="76"/>
        <v>0</v>
      </c>
      <c r="AK198" s="408">
        <f>IF(coder1_YH!S198="",AK197,coder1_YH!S198)</f>
        <v>8.5</v>
      </c>
      <c r="AL198" s="345">
        <f>IF(coder1_YH!T198="",AL197,IF(coder1_YH!T198="mixed",0.25,coder1_YH!T198))</f>
        <v>1</v>
      </c>
      <c r="AM198" s="345">
        <f>IF(coder1_YH!U198 = "", AM197, IF(coder1_YH!U198="mixed","NA",coder1_YH!U198))</f>
        <v>0.18</v>
      </c>
      <c r="AN198" s="345">
        <f>IF(coder1_YH!V198="",AN197,coder1_YH!V198)</f>
        <v>0.52</v>
      </c>
      <c r="AO198" s="345">
        <f>IF(coder1_YH!W198="",AO197,coder1_YH!W198)</f>
        <v>0.27</v>
      </c>
      <c r="AP198" s="345">
        <f>IF(coder1_YH!X198="",AP197,coder1_YH!X198)</f>
        <v>0.54</v>
      </c>
      <c r="AQ198" s="345">
        <f>IF(coder1_YH!Y198="",AQ197,coder1_YH!Y198)</f>
        <v>0.66</v>
      </c>
      <c r="AR198" t="str">
        <f>coder1_YH!AB198</f>
        <v>3 = NA (for BAU/AC Condition)</v>
      </c>
      <c r="AS198" s="345" t="str">
        <f>IF(coder1_YH!AC198 = "", AS197,IF(coder1_YH!AC198="BAU","BAU",LEFT(coder1_YH!AC198)))</f>
        <v>BAU</v>
      </c>
      <c r="AT198" s="345" t="str">
        <f>IF(coder1_YH!AD198 = "", AT197,IF(coder1_YH!AD198="BAU","BAU",LEFT(coder1_YH!AD198)))</f>
        <v>0</v>
      </c>
      <c r="AU198" s="345" t="str">
        <f>IF(coder1_YH!AE198 = "", AU197,IF(coder1_YH!AE198="BAU","BAU",LEFT(coder1_YH!AE198)))</f>
        <v>1</v>
      </c>
      <c r="AV198" s="345" t="str">
        <f>IF(coder1_YH!AF198="",AV197,coder1_YH!AF198)</f>
        <v>BAU</v>
      </c>
      <c r="AW198" s="345" t="str">
        <f t="shared" si="77"/>
        <v>BAU</v>
      </c>
      <c r="AX198" s="345" t="str">
        <f>IF(coder1_YH!AG198="",AX197,coder1_YH!AG198)</f>
        <v>BAU</v>
      </c>
      <c r="AY198" s="345" t="str">
        <f>IF(coder1_YH!AH198="",AY197,coder1_YH!AH198)</f>
        <v>BAU</v>
      </c>
      <c r="AZ198" s="345" t="str">
        <f>IF(coder1_YH!AI198 = "", AZ197, IF(coder1_YH!AI198="BAU","BAU",LEFT(coder1_YH!AI198)))</f>
        <v>1</v>
      </c>
      <c r="BA198" s="384">
        <f>clean_data!Y198</f>
        <v>92</v>
      </c>
    </row>
    <row r="199" spans="1:53" x14ac:dyDescent="0.2">
      <c r="A199">
        <f>coder1_YH!B199</f>
        <v>0</v>
      </c>
      <c r="B199">
        <f>coder1_YH!C199</f>
        <v>199</v>
      </c>
      <c r="C199" t="b">
        <f>coder1_YH!D199</f>
        <v>1</v>
      </c>
      <c r="D199" t="b">
        <f>coder1_YH!E199</f>
        <v>1</v>
      </c>
      <c r="E199" t="b">
        <f>coder1_YH!F199</f>
        <v>1</v>
      </c>
      <c r="F199" s="321" t="str">
        <f>IF(coder1_YH!G199="", clean_mod!F198, coder1_YH!G199)</f>
        <v>Hock et al., 2017</v>
      </c>
      <c r="G199" s="321" t="str">
        <f t="shared" si="63"/>
        <v>135</v>
      </c>
      <c r="H199" s="321">
        <f>IF(coder1_YH!H199="", clean_mod!H198, coder1_YH!H199)</f>
        <v>135</v>
      </c>
      <c r="I199" s="404" t="str">
        <f t="shared" si="78"/>
        <v>2017</v>
      </c>
      <c r="J199" s="344" t="str">
        <f>IF(coder1_YH!I199="",J198,coder1_YH!I199)</f>
        <v>USA</v>
      </c>
      <c r="K199" s="345">
        <f t="shared" si="64"/>
        <v>0</v>
      </c>
      <c r="L199" s="344" t="str">
        <f>IF(coder1_YH!J199 = "",L198, coder1_YH!J199)</f>
        <v>English</v>
      </c>
      <c r="M199" s="345">
        <f t="shared" si="65"/>
        <v>0</v>
      </c>
      <c r="N199" s="345" t="str">
        <f>IF(coder1_YH!K199 = "", N198, LEFT(coder1_YH!K199,1))</f>
        <v>0</v>
      </c>
      <c r="O199" s="345" t="str">
        <f>IF(coder1_YH!L199 = "", O198, LEFT(coder1_YH!L199,1))</f>
        <v>0</v>
      </c>
      <c r="P199" s="345" t="str">
        <f>IF(coder1_YH!M199 = "", P198, LEFT(coder1_YH!M199,1))</f>
        <v>1</v>
      </c>
      <c r="Q199" s="321">
        <f>coder1_YH!P199</f>
        <v>1</v>
      </c>
      <c r="R199" s="321" t="str">
        <f>coder1_YH!Q199</f>
        <v>Fusion (year 1)</v>
      </c>
      <c r="S199" s="323" t="str">
        <f t="shared" si="66"/>
        <v>N</v>
      </c>
      <c r="T199" s="323" t="str">
        <f t="shared" si="67"/>
        <v>V</v>
      </c>
      <c r="U199" s="323" t="str">
        <f t="shared" si="68"/>
        <v>G</v>
      </c>
      <c r="V199" s="323" t="str">
        <f t="shared" si="69"/>
        <v/>
      </c>
      <c r="W199" s="323">
        <f t="shared" si="70"/>
        <v>3</v>
      </c>
      <c r="X199" s="385" t="str">
        <f>IF(coder1_YH!N199 = "",X198,coder1_YH!N199)</f>
        <v>NVG</v>
      </c>
      <c r="Y199" s="385" t="str">
        <f>IF(coder1_YH!O199 = "",Y198,coder1_YH!O199)</f>
        <v>cm</v>
      </c>
      <c r="Z199" s="385" t="str">
        <f t="shared" si="71"/>
        <v>M</v>
      </c>
      <c r="AA199" s="385" t="str">
        <f t="shared" si="60"/>
        <v>R</v>
      </c>
      <c r="AB199" s="385" t="str">
        <f t="shared" si="61"/>
        <v>MR</v>
      </c>
      <c r="AC199" s="323" t="str">
        <f t="shared" si="72"/>
        <v>NVGcm</v>
      </c>
      <c r="AD199" s="323" t="str">
        <f t="shared" si="73"/>
        <v>NVG_R</v>
      </c>
      <c r="AE199" s="323">
        <f>IF(Y199="cm", 1,0)</f>
        <v>1</v>
      </c>
      <c r="AF199" s="369" t="str">
        <f t="shared" si="74"/>
        <v>135-NVGcm</v>
      </c>
      <c r="AG199" s="369" t="str">
        <f t="shared" si="75"/>
        <v>135-NVG_R</v>
      </c>
      <c r="AH199" s="344">
        <f>IF(coder1_YH!R199="",AH198,coder1_YH!R199)</f>
        <v>6</v>
      </c>
      <c r="AI199" s="344">
        <f t="shared" si="62"/>
        <v>6</v>
      </c>
      <c r="AJ199" s="345">
        <f t="shared" si="76"/>
        <v>1</v>
      </c>
      <c r="AK199" s="408">
        <f>IF(coder1_YH!S199="",AK198,coder1_YH!S199)</f>
        <v>11.5</v>
      </c>
      <c r="AL199" s="345">
        <f>IF(coder1_YH!T199="",AL198,IF(coder1_YH!T199="mixed",0.25,coder1_YH!T199))</f>
        <v>1</v>
      </c>
      <c r="AM199" s="345">
        <f>IF(coder1_YH!U199 = "", AM198, IF(coder1_YH!U199="mixed","NA",coder1_YH!U199))</f>
        <v>1</v>
      </c>
      <c r="AN199" s="345">
        <f>IF(coder1_YH!V199="",AN198,coder1_YH!V199)</f>
        <v>0.55000000000000004</v>
      </c>
      <c r="AO199" s="345" t="str">
        <f>IF(coder1_YH!W199="",AO198,coder1_YH!W199)</f>
        <v>NA</v>
      </c>
      <c r="AP199" s="345">
        <f>IF(coder1_YH!X199="",AP198,coder1_YH!X199)</f>
        <v>0.6</v>
      </c>
      <c r="AQ199" s="345">
        <f>IF(coder1_YH!Y199="",AQ198,coder1_YH!Y199)</f>
        <v>0.35</v>
      </c>
      <c r="AR199" t="str">
        <f>coder1_YH!AB199</f>
        <v>1 = Published/Commercially available curriculum</v>
      </c>
      <c r="AS199" s="345" t="str">
        <f>IF(coder1_YH!AC199 = "", AS198,IF(coder1_YH!AC199="BAU","BAU",LEFT(coder1_YH!AC199)))</f>
        <v>1</v>
      </c>
      <c r="AT199" s="345" t="str">
        <f>IF(coder1_YH!AD199 = "", AT198,IF(coder1_YH!AD199="BAU","BAU",LEFT(coder1_YH!AD199)))</f>
        <v>1</v>
      </c>
      <c r="AU199" s="345" t="str">
        <f>IF(coder1_YH!AE199 = "", AU198,IF(coder1_YH!AE199="BAU","BAU",LEFT(coder1_YH!AE199)))</f>
        <v>1</v>
      </c>
      <c r="AV199" s="345">
        <f>IF(coder1_YH!AF199="",AV198,coder1_YH!AF199)</f>
        <v>9000</v>
      </c>
      <c r="AW199" s="345">
        <f t="shared" si="77"/>
        <v>150</v>
      </c>
      <c r="AX199" s="345">
        <f>IF(coder1_YH!AG199="",AX198,coder1_YH!AG199)</f>
        <v>180</v>
      </c>
      <c r="AY199" s="345">
        <f>IF(coder1_YH!AH199="",AY198,coder1_YH!AH199)</f>
        <v>50</v>
      </c>
      <c r="AZ199" s="345" t="str">
        <f>IF(coder1_YH!AI199 = "", AZ198, IF(coder1_YH!AI199="BAU","BAU",LEFT(coder1_YH!AI199)))</f>
        <v>1</v>
      </c>
      <c r="BA199" s="384">
        <f>clean_data!Y199</f>
        <v>20</v>
      </c>
    </row>
    <row r="200" spans="1:53" x14ac:dyDescent="0.2">
      <c r="A200">
        <f>coder1_YH!B200</f>
        <v>0</v>
      </c>
      <c r="B200">
        <f>coder1_YH!C200</f>
        <v>200</v>
      </c>
      <c r="C200">
        <f>coder1_YH!D200</f>
        <v>0</v>
      </c>
      <c r="D200" t="str">
        <f>coder1_YH!E200</f>
        <v/>
      </c>
      <c r="E200" t="str">
        <f>coder1_YH!F200</f>
        <v/>
      </c>
      <c r="F200" s="321" t="str">
        <f>IF(coder1_YH!G200="", clean_mod!F199, coder1_YH!G200)</f>
        <v>Hock et al., 2017</v>
      </c>
      <c r="G200" s="321" t="str">
        <f t="shared" si="63"/>
        <v>135</v>
      </c>
      <c r="H200" s="321">
        <f>IF(coder1_YH!H200="", clean_mod!H199, coder1_YH!H200)</f>
        <v>135</v>
      </c>
      <c r="I200" s="404" t="str">
        <f t="shared" si="78"/>
        <v>2017</v>
      </c>
      <c r="J200" s="344" t="str">
        <f>IF(coder1_YH!I200="",J199,coder1_YH!I200)</f>
        <v>USA</v>
      </c>
      <c r="K200" s="345">
        <f t="shared" si="64"/>
        <v>0</v>
      </c>
      <c r="L200" s="344" t="str">
        <f>IF(coder1_YH!J200 = "",L199, coder1_YH!J200)</f>
        <v>English</v>
      </c>
      <c r="M200" s="345">
        <f t="shared" si="65"/>
        <v>0</v>
      </c>
      <c r="N200" s="345" t="str">
        <f>IF(coder1_YH!K200 = "", N199, LEFT(coder1_YH!K200,1))</f>
        <v>0</v>
      </c>
      <c r="O200" s="345" t="str">
        <f>IF(coder1_YH!L200 = "", O199, LEFT(coder1_YH!L200,1))</f>
        <v>0</v>
      </c>
      <c r="P200" s="345" t="str">
        <f>IF(coder1_YH!M200 = "", P199, LEFT(coder1_YH!M200,1))</f>
        <v>1</v>
      </c>
      <c r="Q200" s="321">
        <f>coder1_YH!P200</f>
        <v>0</v>
      </c>
      <c r="R200" s="321">
        <f>coder1_YH!Q200</f>
        <v>0</v>
      </c>
      <c r="S200" s="323" t="str">
        <f t="shared" si="66"/>
        <v>N</v>
      </c>
      <c r="T200" s="323" t="str">
        <f t="shared" si="67"/>
        <v>V</v>
      </c>
      <c r="U200" s="323" t="str">
        <f t="shared" si="68"/>
        <v>G</v>
      </c>
      <c r="V200" s="323" t="str">
        <f t="shared" si="69"/>
        <v/>
      </c>
      <c r="W200" s="323">
        <f t="shared" si="70"/>
        <v>3</v>
      </c>
      <c r="X200" s="385" t="str">
        <f>IF(coder1_YH!N200 = "",X199,coder1_YH!N200)</f>
        <v>NVG</v>
      </c>
      <c r="Y200" s="385" t="str">
        <f>IF(coder1_YH!O200 = "",Y199,coder1_YH!O200)</f>
        <v>cm</v>
      </c>
      <c r="Z200" s="385" t="str">
        <f t="shared" si="71"/>
        <v>M</v>
      </c>
      <c r="AA200" s="385" t="str">
        <f t="shared" si="60"/>
        <v>R</v>
      </c>
      <c r="AB200" s="385" t="str">
        <f t="shared" si="61"/>
        <v>MR</v>
      </c>
      <c r="AC200" s="323" t="str">
        <f t="shared" si="72"/>
        <v>NVGcm</v>
      </c>
      <c r="AD200" s="323" t="str">
        <f t="shared" si="73"/>
        <v>NVG_R</v>
      </c>
      <c r="AF200" s="369" t="str">
        <f t="shared" si="74"/>
        <v>135-NVGcm</v>
      </c>
      <c r="AG200" s="369" t="str">
        <f t="shared" si="75"/>
        <v>135-NVG_R</v>
      </c>
      <c r="AH200" s="344">
        <f>IF(coder1_YH!R200="",AH199,coder1_YH!R200)</f>
        <v>6</v>
      </c>
      <c r="AI200" s="344">
        <f t="shared" si="62"/>
        <v>6</v>
      </c>
      <c r="AJ200" s="345">
        <f t="shared" si="76"/>
        <v>1</v>
      </c>
      <c r="AK200" s="408">
        <f>IF(coder1_YH!S200="",AK199,coder1_YH!S200)</f>
        <v>11.5</v>
      </c>
      <c r="AL200" s="345">
        <f>IF(coder1_YH!T200="",AL199,IF(coder1_YH!T200="mixed",0.25,coder1_YH!T200))</f>
        <v>1</v>
      </c>
      <c r="AM200" s="345">
        <f>IF(coder1_YH!U200 = "", AM199, IF(coder1_YH!U200="mixed","NA",coder1_YH!U200))</f>
        <v>1</v>
      </c>
      <c r="AN200" s="345">
        <f>IF(coder1_YH!V200="",AN199,coder1_YH!V200)</f>
        <v>0.55000000000000004</v>
      </c>
      <c r="AO200" s="345" t="str">
        <f>IF(coder1_YH!W200="",AO199,coder1_YH!W200)</f>
        <v>NA</v>
      </c>
      <c r="AP200" s="345">
        <f>IF(coder1_YH!X200="",AP199,coder1_YH!X200)</f>
        <v>0.6</v>
      </c>
      <c r="AQ200" s="345">
        <f>IF(coder1_YH!Y200="",AQ199,coder1_YH!Y200)</f>
        <v>0.35</v>
      </c>
      <c r="AR200">
        <f>coder1_YH!AB200</f>
        <v>0</v>
      </c>
      <c r="AS200" s="345" t="str">
        <f>IF(coder1_YH!AC200 = "", AS199,IF(coder1_YH!AC200="BAU","BAU",LEFT(coder1_YH!AC200)))</f>
        <v>1</v>
      </c>
      <c r="AT200" s="345" t="str">
        <f>IF(coder1_YH!AD200 = "", AT199,IF(coder1_YH!AD200="BAU","BAU",LEFT(coder1_YH!AD200)))</f>
        <v>1</v>
      </c>
      <c r="AU200" s="345" t="str">
        <f>IF(coder1_YH!AE200 = "", AU199,IF(coder1_YH!AE200="BAU","BAU",LEFT(coder1_YH!AE200)))</f>
        <v>1</v>
      </c>
      <c r="AV200" s="345">
        <f>IF(coder1_YH!AF200="",AV199,coder1_YH!AF200)</f>
        <v>9000</v>
      </c>
      <c r="AW200" s="345">
        <f t="shared" si="77"/>
        <v>150</v>
      </c>
      <c r="AX200" s="345">
        <f>IF(coder1_YH!AG200="",AX199,coder1_YH!AG200)</f>
        <v>180</v>
      </c>
      <c r="AY200" s="345">
        <f>IF(coder1_YH!AH200="",AY199,coder1_YH!AH200)</f>
        <v>50</v>
      </c>
      <c r="AZ200" s="345" t="str">
        <f>IF(coder1_YH!AI200 = "", AZ199, IF(coder1_YH!AI200="BAU","BAU",LEFT(coder1_YH!AI200)))</f>
        <v>1</v>
      </c>
      <c r="BA200" s="384">
        <f>clean_data!Y200</f>
        <v>20</v>
      </c>
    </row>
    <row r="201" spans="1:53" x14ac:dyDescent="0.2">
      <c r="A201">
        <f>coder1_YH!B201</f>
        <v>0</v>
      </c>
      <c r="B201">
        <f>coder1_YH!C201</f>
        <v>201</v>
      </c>
      <c r="C201">
        <f>coder1_YH!D201</f>
        <v>0</v>
      </c>
      <c r="D201" t="str">
        <f>coder1_YH!E201</f>
        <v/>
      </c>
      <c r="E201" t="str">
        <f>coder1_YH!F201</f>
        <v/>
      </c>
      <c r="F201" s="321" t="str">
        <f>IF(coder1_YH!G201="", clean_mod!F200, coder1_YH!G201)</f>
        <v>Hock et al., 2017</v>
      </c>
      <c r="G201" s="321" t="str">
        <f t="shared" si="63"/>
        <v>135</v>
      </c>
      <c r="H201" s="321">
        <f>IF(coder1_YH!H201="", clean_mod!H200, coder1_YH!H201)</f>
        <v>135</v>
      </c>
      <c r="I201" s="404" t="str">
        <f t="shared" si="78"/>
        <v>2017</v>
      </c>
      <c r="J201" s="344" t="str">
        <f>IF(coder1_YH!I201="",J200,coder1_YH!I201)</f>
        <v>USA</v>
      </c>
      <c r="K201" s="345">
        <f t="shared" si="64"/>
        <v>0</v>
      </c>
      <c r="L201" s="344" t="str">
        <f>IF(coder1_YH!J201 = "",L200, coder1_YH!J201)</f>
        <v>English</v>
      </c>
      <c r="M201" s="345">
        <f t="shared" si="65"/>
        <v>0</v>
      </c>
      <c r="N201" s="345" t="str">
        <f>IF(coder1_YH!K201 = "", N200, LEFT(coder1_YH!K201,1))</f>
        <v>0</v>
      </c>
      <c r="O201" s="345" t="str">
        <f>IF(coder1_YH!L201 = "", O200, LEFT(coder1_YH!L201,1))</f>
        <v>0</v>
      </c>
      <c r="P201" s="345" t="str">
        <f>IF(coder1_YH!M201 = "", P200, LEFT(coder1_YH!M201,1))</f>
        <v>1</v>
      </c>
      <c r="Q201" s="321">
        <f>coder1_YH!P201</f>
        <v>0</v>
      </c>
      <c r="R201" s="321">
        <f>coder1_YH!Q201</f>
        <v>0</v>
      </c>
      <c r="S201" s="323" t="str">
        <f t="shared" si="66"/>
        <v>N</v>
      </c>
      <c r="T201" s="323" t="str">
        <f t="shared" si="67"/>
        <v>V</v>
      </c>
      <c r="U201" s="323" t="str">
        <f t="shared" si="68"/>
        <v>G</v>
      </c>
      <c r="V201" s="323" t="str">
        <f t="shared" si="69"/>
        <v/>
      </c>
      <c r="W201" s="323">
        <f t="shared" si="70"/>
        <v>3</v>
      </c>
      <c r="X201" s="385" t="str">
        <f>IF(coder1_YH!N201 = "",X200,coder1_YH!N201)</f>
        <v>NVG</v>
      </c>
      <c r="Y201" s="385" t="str">
        <f>IF(coder1_YH!O201 = "",Y200,coder1_YH!O201)</f>
        <v>cm</v>
      </c>
      <c r="Z201" s="385" t="str">
        <f t="shared" si="71"/>
        <v>M</v>
      </c>
      <c r="AA201" s="385" t="str">
        <f t="shared" si="60"/>
        <v>R</v>
      </c>
      <c r="AB201" s="385" t="str">
        <f t="shared" si="61"/>
        <v>MR</v>
      </c>
      <c r="AC201" s="323" t="str">
        <f t="shared" si="72"/>
        <v>NVGcm</v>
      </c>
      <c r="AD201" s="323" t="str">
        <f t="shared" si="73"/>
        <v>NVG_R</v>
      </c>
      <c r="AF201" s="369" t="str">
        <f t="shared" si="74"/>
        <v>135-NVGcm</v>
      </c>
      <c r="AG201" s="369" t="str">
        <f t="shared" si="75"/>
        <v>135-NVG_R</v>
      </c>
      <c r="AH201" s="344">
        <f>IF(coder1_YH!R201="",AH200,coder1_YH!R201)</f>
        <v>6</v>
      </c>
      <c r="AI201" s="344">
        <f t="shared" si="62"/>
        <v>6</v>
      </c>
      <c r="AJ201" s="345">
        <f t="shared" si="76"/>
        <v>1</v>
      </c>
      <c r="AK201" s="408">
        <f>IF(coder1_YH!S201="",AK200,coder1_YH!S201)</f>
        <v>11.5</v>
      </c>
      <c r="AL201" s="345">
        <f>IF(coder1_YH!T201="",AL200,IF(coder1_YH!T201="mixed",0.25,coder1_YH!T201))</f>
        <v>1</v>
      </c>
      <c r="AM201" s="345">
        <f>IF(coder1_YH!U201 = "", AM200, IF(coder1_YH!U201="mixed","NA",coder1_YH!U201))</f>
        <v>1</v>
      </c>
      <c r="AN201" s="345">
        <f>IF(coder1_YH!V201="",AN200,coder1_YH!V201)</f>
        <v>0.55000000000000004</v>
      </c>
      <c r="AO201" s="345" t="str">
        <f>IF(coder1_YH!W201="",AO200,coder1_YH!W201)</f>
        <v>NA</v>
      </c>
      <c r="AP201" s="345">
        <f>IF(coder1_YH!X201="",AP200,coder1_YH!X201)</f>
        <v>0.6</v>
      </c>
      <c r="AQ201" s="345">
        <f>IF(coder1_YH!Y201="",AQ200,coder1_YH!Y201)</f>
        <v>0.35</v>
      </c>
      <c r="AR201">
        <f>coder1_YH!AB201</f>
        <v>0</v>
      </c>
      <c r="AS201" s="345" t="str">
        <f>IF(coder1_YH!AC201 = "", AS200,IF(coder1_YH!AC201="BAU","BAU",LEFT(coder1_YH!AC201)))</f>
        <v>1</v>
      </c>
      <c r="AT201" s="345" t="str">
        <f>IF(coder1_YH!AD201 = "", AT200,IF(coder1_YH!AD201="BAU","BAU",LEFT(coder1_YH!AD201)))</f>
        <v>1</v>
      </c>
      <c r="AU201" s="345" t="str">
        <f>IF(coder1_YH!AE201 = "", AU200,IF(coder1_YH!AE201="BAU","BAU",LEFT(coder1_YH!AE201)))</f>
        <v>1</v>
      </c>
      <c r="AV201" s="345">
        <f>IF(coder1_YH!AF201="",AV200,coder1_YH!AF201)</f>
        <v>9000</v>
      </c>
      <c r="AW201" s="345">
        <f t="shared" si="77"/>
        <v>150</v>
      </c>
      <c r="AX201" s="345">
        <f>IF(coder1_YH!AG201="",AX200,coder1_YH!AG201)</f>
        <v>180</v>
      </c>
      <c r="AY201" s="345">
        <f>IF(coder1_YH!AH201="",AY200,coder1_YH!AH201)</f>
        <v>50</v>
      </c>
      <c r="AZ201" s="345" t="str">
        <f>IF(coder1_YH!AI201 = "", AZ200, IF(coder1_YH!AI201="BAU","BAU",LEFT(coder1_YH!AI201)))</f>
        <v>1</v>
      </c>
      <c r="BA201" s="384">
        <f>clean_data!Y201</f>
        <v>20</v>
      </c>
    </row>
    <row r="202" spans="1:53" x14ac:dyDescent="0.2">
      <c r="A202">
        <f>coder1_YH!B202</f>
        <v>0</v>
      </c>
      <c r="B202">
        <f>coder1_YH!C202</f>
        <v>202</v>
      </c>
      <c r="C202">
        <f>coder1_YH!D202</f>
        <v>0</v>
      </c>
      <c r="D202" t="str">
        <f>coder1_YH!E202</f>
        <v/>
      </c>
      <c r="E202" t="b">
        <f>coder1_YH!F202</f>
        <v>1</v>
      </c>
      <c r="F202" s="321" t="str">
        <f>IF(coder1_YH!G202="", clean_mod!F201, coder1_YH!G202)</f>
        <v>Hock et al., 2017</v>
      </c>
      <c r="G202" s="321" t="str">
        <f t="shared" si="63"/>
        <v>135</v>
      </c>
      <c r="H202" s="321">
        <f>IF(coder1_YH!H202="", clean_mod!H201, coder1_YH!H202)</f>
        <v>135</v>
      </c>
      <c r="I202" s="404" t="str">
        <f t="shared" si="78"/>
        <v>2017</v>
      </c>
      <c r="J202" s="344" t="str">
        <f>IF(coder1_YH!I202="",J201,coder1_YH!I202)</f>
        <v>USA</v>
      </c>
      <c r="K202" s="345">
        <f t="shared" si="64"/>
        <v>0</v>
      </c>
      <c r="L202" s="344" t="str">
        <f>IF(coder1_YH!J202 = "",L201, coder1_YH!J202)</f>
        <v>English</v>
      </c>
      <c r="M202" s="345">
        <f t="shared" si="65"/>
        <v>0</v>
      </c>
      <c r="N202" s="345" t="str">
        <f>IF(coder1_YH!K202 = "", N201, LEFT(coder1_YH!K202,1))</f>
        <v>0</v>
      </c>
      <c r="O202" s="345" t="str">
        <f>IF(coder1_YH!L202 = "", O201, LEFT(coder1_YH!L202,1))</f>
        <v>0</v>
      </c>
      <c r="P202" s="345" t="str">
        <f>IF(coder1_YH!M202 = "", P201, LEFT(coder1_YH!M202,1))</f>
        <v>1</v>
      </c>
      <c r="Q202" s="321" t="str">
        <f>coder1_YH!P202</f>
        <v>ctl</v>
      </c>
      <c r="R202" s="321" t="str">
        <f>coder1_YH!Q202</f>
        <v>Comparison - Corrective Reading(year1)</v>
      </c>
      <c r="S202" s="323" t="str">
        <f t="shared" si="66"/>
        <v/>
      </c>
      <c r="T202" s="323" t="str">
        <f t="shared" si="67"/>
        <v/>
      </c>
      <c r="U202" s="323" t="str">
        <f t="shared" si="68"/>
        <v/>
      </c>
      <c r="V202" s="323" t="str">
        <f t="shared" si="69"/>
        <v/>
      </c>
      <c r="W202" s="323">
        <f t="shared" si="70"/>
        <v>0</v>
      </c>
      <c r="X202" s="385" t="str">
        <f>IF(coder1_YH!N202 = "",X201,coder1_YH!N202)</f>
        <v>.</v>
      </c>
      <c r="Y202" s="385" t="str">
        <f>IF(coder1_YH!O202 = "",Y201,coder1_YH!O202)</f>
        <v xml:space="preserve">m </v>
      </c>
      <c r="Z202" s="385" t="str">
        <f t="shared" si="71"/>
        <v/>
      </c>
      <c r="AA202" s="385" t="str">
        <f t="shared" si="60"/>
        <v>R</v>
      </c>
      <c r="AB202" s="385" t="str">
        <f t="shared" si="61"/>
        <v>R</v>
      </c>
      <c r="AC202" s="323" t="str">
        <f t="shared" si="72"/>
        <v xml:space="preserve">.m </v>
      </c>
      <c r="AD202" s="323" t="str">
        <f t="shared" si="73"/>
        <v>R</v>
      </c>
      <c r="AF202" s="369" t="str">
        <f t="shared" si="74"/>
        <v xml:space="preserve">135-.m </v>
      </c>
      <c r="AG202" s="369" t="str">
        <f t="shared" si="75"/>
        <v>135-R</v>
      </c>
      <c r="AH202" s="344">
        <f>IF(coder1_YH!R202="",AH201,coder1_YH!R202)</f>
        <v>6</v>
      </c>
      <c r="AI202" s="344">
        <f t="shared" si="62"/>
        <v>6</v>
      </c>
      <c r="AJ202" s="345">
        <f t="shared" si="76"/>
        <v>1</v>
      </c>
      <c r="AK202" s="408">
        <f>IF(coder1_YH!S202="",AK201,coder1_YH!S202)</f>
        <v>11.5</v>
      </c>
      <c r="AL202" s="345">
        <f>IF(coder1_YH!T202="",AL201,IF(coder1_YH!T202="mixed",0.25,coder1_YH!T202))</f>
        <v>1</v>
      </c>
      <c r="AM202" s="345">
        <f>IF(coder1_YH!U202 = "", AM201, IF(coder1_YH!U202="mixed","NA",coder1_YH!U202))</f>
        <v>1</v>
      </c>
      <c r="AN202" s="345">
        <f>IF(coder1_YH!V202="",AN201,coder1_YH!V202)</f>
        <v>0.55000000000000004</v>
      </c>
      <c r="AO202" s="345" t="str">
        <f>IF(coder1_YH!W202="",AO201,coder1_YH!W202)</f>
        <v>NA</v>
      </c>
      <c r="AP202" s="345">
        <f>IF(coder1_YH!X202="",AP201,coder1_YH!X202)</f>
        <v>0.75</v>
      </c>
      <c r="AQ202" s="345">
        <f>IF(coder1_YH!Y202="",AQ201,coder1_YH!Y202)</f>
        <v>0.35</v>
      </c>
      <c r="AR202" t="str">
        <f>coder1_YH!AB202</f>
        <v>1 = Published/Commercially available curriculum</v>
      </c>
      <c r="AS202" s="345" t="str">
        <f>IF(coder1_YH!AC202 = "", AS201,IF(coder1_YH!AC202="BAU","BAU",LEFT(coder1_YH!AC202)))</f>
        <v>1</v>
      </c>
      <c r="AT202" s="345" t="str">
        <f>IF(coder1_YH!AD202 = "", AT201,IF(coder1_YH!AD202="BAU","BAU",LEFT(coder1_YH!AD202)))</f>
        <v>1</v>
      </c>
      <c r="AU202" s="345" t="str">
        <f>IF(coder1_YH!AE202 = "", AU201,IF(coder1_YH!AE202="BAU","BAU",LEFT(coder1_YH!AE202)))</f>
        <v>1</v>
      </c>
      <c r="AV202" s="345" t="str">
        <f>IF(coder1_YH!AF202="",AV201,coder1_YH!AF202)</f>
        <v>BAU</v>
      </c>
      <c r="AW202" s="345" t="str">
        <f t="shared" si="77"/>
        <v>BAU</v>
      </c>
      <c r="AX202" s="345" t="str">
        <f>IF(coder1_YH!AG202="",AX201,coder1_YH!AG202)</f>
        <v>BAU</v>
      </c>
      <c r="AY202" s="345" t="str">
        <f>IF(coder1_YH!AH202="",AY201,coder1_YH!AH202)</f>
        <v>BAU</v>
      </c>
      <c r="AZ202" s="345" t="str">
        <f>IF(coder1_YH!AI202 = "", AZ201, IF(coder1_YH!AI202="BAU","BAU",LEFT(coder1_YH!AI202)))</f>
        <v>1</v>
      </c>
      <c r="BA202" s="384">
        <f>clean_data!Y202</f>
        <v>20</v>
      </c>
    </row>
    <row r="203" spans="1:53" x14ac:dyDescent="0.2">
      <c r="A203">
        <f>coder1_YH!B203</f>
        <v>0</v>
      </c>
      <c r="B203">
        <f>coder1_YH!C203</f>
        <v>203</v>
      </c>
      <c r="C203">
        <f>coder1_YH!D203</f>
        <v>0</v>
      </c>
      <c r="D203" t="str">
        <f>coder1_YH!E203</f>
        <v/>
      </c>
      <c r="E203" t="str">
        <f>coder1_YH!F203</f>
        <v/>
      </c>
      <c r="F203" s="321" t="str">
        <f>IF(coder1_YH!G203="", clean_mod!F202, coder1_YH!G203)</f>
        <v>Hock et al., 2017</v>
      </c>
      <c r="G203" s="321" t="str">
        <f t="shared" si="63"/>
        <v>135</v>
      </c>
      <c r="H203" s="321">
        <f>IF(coder1_YH!H203="", clean_mod!H202, coder1_YH!H203)</f>
        <v>135</v>
      </c>
      <c r="I203" s="404" t="str">
        <f t="shared" si="78"/>
        <v>2017</v>
      </c>
      <c r="J203" s="344" t="str">
        <f>IF(coder1_YH!I203="",J202,coder1_YH!I203)</f>
        <v>USA</v>
      </c>
      <c r="K203" s="345">
        <f t="shared" si="64"/>
        <v>0</v>
      </c>
      <c r="L203" s="344" t="str">
        <f>IF(coder1_YH!J203 = "",L202, coder1_YH!J203)</f>
        <v>English</v>
      </c>
      <c r="M203" s="345">
        <f t="shared" si="65"/>
        <v>0</v>
      </c>
      <c r="N203" s="345" t="str">
        <f>IF(coder1_YH!K203 = "", N202, LEFT(coder1_YH!K203,1))</f>
        <v>0</v>
      </c>
      <c r="O203" s="345" t="str">
        <f>IF(coder1_YH!L203 = "", O202, LEFT(coder1_YH!L203,1))</f>
        <v>0</v>
      </c>
      <c r="P203" s="345" t="str">
        <f>IF(coder1_YH!M203 = "", P202, LEFT(coder1_YH!M203,1))</f>
        <v>1</v>
      </c>
      <c r="Q203" s="321">
        <f>coder1_YH!P203</f>
        <v>0</v>
      </c>
      <c r="R203" s="321">
        <f>coder1_YH!Q203</f>
        <v>0</v>
      </c>
      <c r="S203" s="323" t="str">
        <f t="shared" si="66"/>
        <v/>
      </c>
      <c r="T203" s="323" t="str">
        <f t="shared" si="67"/>
        <v/>
      </c>
      <c r="U203" s="323" t="str">
        <f t="shared" si="68"/>
        <v/>
      </c>
      <c r="V203" s="323" t="str">
        <f t="shared" si="69"/>
        <v/>
      </c>
      <c r="W203" s="323">
        <f t="shared" si="70"/>
        <v>0</v>
      </c>
      <c r="X203" s="385" t="str">
        <f>IF(coder1_YH!N203 = "",X202,coder1_YH!N203)</f>
        <v>.</v>
      </c>
      <c r="Y203" s="385" t="str">
        <f>IF(coder1_YH!O203 = "",Y202,coder1_YH!O203)</f>
        <v xml:space="preserve">m </v>
      </c>
      <c r="Z203" s="385" t="str">
        <f t="shared" ref="Z203:Z228" si="79">IF(X203=".","","M")</f>
        <v/>
      </c>
      <c r="AA203" s="385" t="str">
        <f t="shared" si="60"/>
        <v>R</v>
      </c>
      <c r="AB203" s="385" t="str">
        <f t="shared" si="61"/>
        <v>R</v>
      </c>
      <c r="AC203" s="323" t="str">
        <f t="shared" si="72"/>
        <v xml:space="preserve">.m </v>
      </c>
      <c r="AD203" s="323" t="str">
        <f t="shared" si="73"/>
        <v>R</v>
      </c>
      <c r="AF203" s="369" t="str">
        <f t="shared" si="74"/>
        <v xml:space="preserve">135-.m </v>
      </c>
      <c r="AG203" s="369" t="str">
        <f t="shared" si="75"/>
        <v>135-R</v>
      </c>
      <c r="AH203" s="344">
        <f>IF(coder1_YH!R203="",AH202,coder1_YH!R203)</f>
        <v>6</v>
      </c>
      <c r="AI203" s="344">
        <f t="shared" si="62"/>
        <v>6</v>
      </c>
      <c r="AJ203" s="345">
        <f t="shared" si="76"/>
        <v>1</v>
      </c>
      <c r="AK203" s="408">
        <f>IF(coder1_YH!S203="",AK202,coder1_YH!S203)</f>
        <v>11.5</v>
      </c>
      <c r="AL203" s="345">
        <f>IF(coder1_YH!T203="",AL202,IF(coder1_YH!T203="mixed",0.25,coder1_YH!T203))</f>
        <v>1</v>
      </c>
      <c r="AM203" s="345">
        <f>IF(coder1_YH!U203 = "", AM202, IF(coder1_YH!U203="mixed","NA",coder1_YH!U203))</f>
        <v>1</v>
      </c>
      <c r="AN203" s="345">
        <f>IF(coder1_YH!V203="",AN202,coder1_YH!V203)</f>
        <v>0.55000000000000004</v>
      </c>
      <c r="AO203" s="345" t="str">
        <f>IF(coder1_YH!W203="",AO202,coder1_YH!W203)</f>
        <v>NA</v>
      </c>
      <c r="AP203" s="345">
        <f>IF(coder1_YH!X203="",AP202,coder1_YH!X203)</f>
        <v>0.75</v>
      </c>
      <c r="AQ203" s="345">
        <f>IF(coder1_YH!Y203="",AQ202,coder1_YH!Y203)</f>
        <v>0.35</v>
      </c>
      <c r="AR203">
        <f>coder1_YH!AB203</f>
        <v>0</v>
      </c>
      <c r="AS203" s="345" t="str">
        <f>IF(coder1_YH!AC203 = "", AS202,IF(coder1_YH!AC203="BAU","BAU",LEFT(coder1_YH!AC203)))</f>
        <v>1</v>
      </c>
      <c r="AT203" s="345" t="str">
        <f>IF(coder1_YH!AD203 = "", AT202,IF(coder1_YH!AD203="BAU","BAU",LEFT(coder1_YH!AD203)))</f>
        <v>1</v>
      </c>
      <c r="AU203" s="345" t="str">
        <f>IF(coder1_YH!AE203 = "", AU202,IF(coder1_YH!AE203="BAU","BAU",LEFT(coder1_YH!AE203)))</f>
        <v>1</v>
      </c>
      <c r="AV203" s="345" t="str">
        <f>IF(coder1_YH!AF203="",AV202,coder1_YH!AF203)</f>
        <v>BAU</v>
      </c>
      <c r="AW203" s="345" t="str">
        <f t="shared" si="77"/>
        <v>BAU</v>
      </c>
      <c r="AX203" s="345" t="str">
        <f>IF(coder1_YH!AG203="",AX202,coder1_YH!AG203)</f>
        <v>BAU</v>
      </c>
      <c r="AY203" s="345" t="str">
        <f>IF(coder1_YH!AH203="",AY202,coder1_YH!AH203)</f>
        <v>BAU</v>
      </c>
      <c r="AZ203" s="345" t="str">
        <f>IF(coder1_YH!AI203 = "", AZ202, IF(coder1_YH!AI203="BAU","BAU",LEFT(coder1_YH!AI203)))</f>
        <v>1</v>
      </c>
      <c r="BA203" s="384">
        <f>clean_data!Y203</f>
        <v>20</v>
      </c>
    </row>
    <row r="204" spans="1:53" x14ac:dyDescent="0.2">
      <c r="A204">
        <f>coder1_YH!B204</f>
        <v>0</v>
      </c>
      <c r="B204">
        <f>coder1_YH!C204</f>
        <v>204</v>
      </c>
      <c r="C204">
        <f>coder1_YH!D204</f>
        <v>0</v>
      </c>
      <c r="D204" t="str">
        <f>coder1_YH!E204</f>
        <v/>
      </c>
      <c r="E204" t="str">
        <f>coder1_YH!F204</f>
        <v/>
      </c>
      <c r="F204" s="321" t="str">
        <f>IF(coder1_YH!G204="", clean_mod!F203, coder1_YH!G204)</f>
        <v>Hock et al., 2017</v>
      </c>
      <c r="G204" s="321" t="str">
        <f t="shared" si="63"/>
        <v>135</v>
      </c>
      <c r="H204" s="321">
        <f>IF(coder1_YH!H204="", clean_mod!H203, coder1_YH!H204)</f>
        <v>135</v>
      </c>
      <c r="I204" s="404" t="str">
        <f t="shared" si="78"/>
        <v>2017</v>
      </c>
      <c r="J204" s="344" t="str">
        <f>IF(coder1_YH!I204="",J203,coder1_YH!I204)</f>
        <v>USA</v>
      </c>
      <c r="K204" s="345">
        <f t="shared" si="64"/>
        <v>0</v>
      </c>
      <c r="L204" s="344" t="str">
        <f>IF(coder1_YH!J204 = "",L203, coder1_YH!J204)</f>
        <v>English</v>
      </c>
      <c r="M204" s="345">
        <f t="shared" si="65"/>
        <v>0</v>
      </c>
      <c r="N204" s="345" t="str">
        <f>IF(coder1_YH!K204 = "", N203, LEFT(coder1_YH!K204,1))</f>
        <v>0</v>
      </c>
      <c r="O204" s="345" t="str">
        <f>IF(coder1_YH!L204 = "", O203, LEFT(coder1_YH!L204,1))</f>
        <v>0</v>
      </c>
      <c r="P204" s="345" t="str">
        <f>IF(coder1_YH!M204 = "", P203, LEFT(coder1_YH!M204,1))</f>
        <v>1</v>
      </c>
      <c r="Q204" s="321">
        <f>coder1_YH!P204</f>
        <v>0</v>
      </c>
      <c r="R204" s="321">
        <f>coder1_YH!Q204</f>
        <v>0</v>
      </c>
      <c r="S204" s="323" t="str">
        <f t="shared" si="66"/>
        <v/>
      </c>
      <c r="T204" s="323" t="str">
        <f t="shared" si="67"/>
        <v/>
      </c>
      <c r="U204" s="323" t="str">
        <f t="shared" si="68"/>
        <v/>
      </c>
      <c r="V204" s="323" t="str">
        <f t="shared" si="69"/>
        <v/>
      </c>
      <c r="W204" s="323">
        <f t="shared" si="70"/>
        <v>0</v>
      </c>
      <c r="X204" s="385" t="str">
        <f>IF(coder1_YH!N204 = "",X203,coder1_YH!N204)</f>
        <v>.</v>
      </c>
      <c r="Y204" s="385" t="str">
        <f>IF(coder1_YH!O204 = "",Y203,coder1_YH!O204)</f>
        <v xml:space="preserve">m </v>
      </c>
      <c r="Z204" s="385" t="str">
        <f t="shared" si="79"/>
        <v/>
      </c>
      <c r="AA204" s="385" t="str">
        <f t="shared" si="60"/>
        <v>R</v>
      </c>
      <c r="AB204" s="385" t="str">
        <f t="shared" si="61"/>
        <v>R</v>
      </c>
      <c r="AC204" s="323" t="str">
        <f t="shared" si="72"/>
        <v xml:space="preserve">.m </v>
      </c>
      <c r="AD204" s="323" t="str">
        <f t="shared" si="73"/>
        <v>R</v>
      </c>
      <c r="AF204" s="369" t="str">
        <f t="shared" si="74"/>
        <v xml:space="preserve">135-.m </v>
      </c>
      <c r="AG204" s="369" t="str">
        <f t="shared" si="75"/>
        <v>135-R</v>
      </c>
      <c r="AH204" s="344">
        <f>IF(coder1_YH!R204="",AH203,coder1_YH!R204)</f>
        <v>6</v>
      </c>
      <c r="AI204" s="344">
        <f t="shared" si="62"/>
        <v>6</v>
      </c>
      <c r="AJ204" s="345">
        <f t="shared" si="76"/>
        <v>1</v>
      </c>
      <c r="AK204" s="408">
        <f>IF(coder1_YH!S204="",AK203,coder1_YH!S204)</f>
        <v>11.5</v>
      </c>
      <c r="AL204" s="345">
        <f>IF(coder1_YH!T204="",AL203,IF(coder1_YH!T204="mixed",0.25,coder1_YH!T204))</f>
        <v>1</v>
      </c>
      <c r="AM204" s="345">
        <f>IF(coder1_YH!U204 = "", AM203, IF(coder1_YH!U204="mixed","NA",coder1_YH!U204))</f>
        <v>1</v>
      </c>
      <c r="AN204" s="345">
        <f>IF(coder1_YH!V204="",AN203,coder1_YH!V204)</f>
        <v>0.55000000000000004</v>
      </c>
      <c r="AO204" s="345" t="str">
        <f>IF(coder1_YH!W204="",AO203,coder1_YH!W204)</f>
        <v>NA</v>
      </c>
      <c r="AP204" s="345">
        <f>IF(coder1_YH!X204="",AP203,coder1_YH!X204)</f>
        <v>0.75</v>
      </c>
      <c r="AQ204" s="345">
        <f>IF(coder1_YH!Y204="",AQ203,coder1_YH!Y204)</f>
        <v>0.35</v>
      </c>
      <c r="AR204">
        <f>coder1_YH!AB204</f>
        <v>0</v>
      </c>
      <c r="AS204" s="345" t="str">
        <f>IF(coder1_YH!AC204 = "", AS203,IF(coder1_YH!AC204="BAU","BAU",LEFT(coder1_YH!AC204)))</f>
        <v>1</v>
      </c>
      <c r="AT204" s="345" t="str">
        <f>IF(coder1_YH!AD204 = "", AT203,IF(coder1_YH!AD204="BAU","BAU",LEFT(coder1_YH!AD204)))</f>
        <v>1</v>
      </c>
      <c r="AU204" s="345" t="str">
        <f>IF(coder1_YH!AE204 = "", AU203,IF(coder1_YH!AE204="BAU","BAU",LEFT(coder1_YH!AE204)))</f>
        <v>1</v>
      </c>
      <c r="AV204" s="345" t="str">
        <f>IF(coder1_YH!AF204="",AV203,coder1_YH!AF204)</f>
        <v>BAU</v>
      </c>
      <c r="AW204" s="345" t="str">
        <f t="shared" si="77"/>
        <v>BAU</v>
      </c>
      <c r="AX204" s="345" t="str">
        <f>IF(coder1_YH!AG204="",AX203,coder1_YH!AG204)</f>
        <v>BAU</v>
      </c>
      <c r="AY204" s="345" t="str">
        <f>IF(coder1_YH!AH204="",AY203,coder1_YH!AH204)</f>
        <v>BAU</v>
      </c>
      <c r="AZ204" s="345" t="str">
        <f>IF(coder1_YH!AI204 = "", AZ203, IF(coder1_YH!AI204="BAU","BAU",LEFT(coder1_YH!AI204)))</f>
        <v>1</v>
      </c>
      <c r="BA204" s="384">
        <f>clean_data!Y204</f>
        <v>20</v>
      </c>
    </row>
    <row r="205" spans="1:53" x14ac:dyDescent="0.2">
      <c r="A205">
        <f>coder1_YH!B205</f>
        <v>0</v>
      </c>
      <c r="B205">
        <f>coder1_YH!C205</f>
        <v>205</v>
      </c>
      <c r="C205">
        <f>coder1_YH!D205</f>
        <v>0</v>
      </c>
      <c r="D205">
        <f>coder1_YH!E205</f>
        <v>0</v>
      </c>
      <c r="E205" t="b">
        <f>coder1_YH!F205</f>
        <v>1</v>
      </c>
      <c r="F205" s="321" t="str">
        <f>IF(coder1_YH!G205="", clean_mod!F204, coder1_YH!G205)</f>
        <v>Schunk et al., 1996</v>
      </c>
      <c r="G205" s="321" t="str">
        <f t="shared" si="63"/>
        <v>136</v>
      </c>
      <c r="H205" s="321">
        <f>IF(coder1_YH!H205="", clean_mod!H204, coder1_YH!H205)</f>
        <v>136</v>
      </c>
      <c r="I205" s="404" t="str">
        <f t="shared" si="78"/>
        <v>1996</v>
      </c>
      <c r="J205" s="344" t="str">
        <f>IF(coder1_YH!I205="",J204,coder1_YH!I205)</f>
        <v>USA</v>
      </c>
      <c r="K205" s="345">
        <f t="shared" si="64"/>
        <v>0</v>
      </c>
      <c r="L205" s="344" t="str">
        <f>IF(coder1_YH!J205 = "",L204, coder1_YH!J205)</f>
        <v>English</v>
      </c>
      <c r="M205" s="345">
        <f t="shared" si="65"/>
        <v>0</v>
      </c>
      <c r="N205" s="345" t="str">
        <f>IF(coder1_YH!K205 = "", N204, LEFT(coder1_YH!K205,1))</f>
        <v>0</v>
      </c>
      <c r="O205" s="345" t="str">
        <f>IF(coder1_YH!L205 = "", O204, LEFT(coder1_YH!L205,1))</f>
        <v>0</v>
      </c>
      <c r="P205" s="345" t="str">
        <f>IF(coder1_YH!M205 = "", P204, LEFT(coder1_YH!M205,1))</f>
        <v>0</v>
      </c>
      <c r="Q205" s="321">
        <f>coder1_YH!P205</f>
        <v>1</v>
      </c>
      <c r="R205" s="321" t="str">
        <f>coder1_YH!Q205</f>
        <v>Fading only</v>
      </c>
      <c r="S205" s="323" t="str">
        <f t="shared" si="66"/>
        <v/>
      </c>
      <c r="T205" s="323" t="str">
        <f t="shared" si="67"/>
        <v/>
      </c>
      <c r="U205" s="323" t="str">
        <f t="shared" si="68"/>
        <v/>
      </c>
      <c r="V205" s="323" t="str">
        <f t="shared" si="69"/>
        <v/>
      </c>
      <c r="W205" s="323">
        <f t="shared" si="70"/>
        <v>0</v>
      </c>
      <c r="X205" s="385" t="str">
        <f>IF(coder1_YH!N205 = "",X204,coder1_YH!N205)</f>
        <v>.</v>
      </c>
      <c r="Y205" s="385" t="str">
        <f>IF(coder1_YH!O205 = "",Y204,coder1_YH!O205)</f>
        <v xml:space="preserve">m </v>
      </c>
      <c r="Z205" s="385" t="str">
        <f t="shared" si="79"/>
        <v/>
      </c>
      <c r="AA205" s="385" t="str">
        <f t="shared" si="60"/>
        <v>R</v>
      </c>
      <c r="AB205" s="385" t="str">
        <f t="shared" si="61"/>
        <v>R</v>
      </c>
      <c r="AC205" s="323" t="str">
        <f t="shared" si="72"/>
        <v xml:space="preserve">.m </v>
      </c>
      <c r="AD205" s="323" t="str">
        <f t="shared" si="73"/>
        <v>R</v>
      </c>
      <c r="AF205" s="369" t="str">
        <f t="shared" si="74"/>
        <v xml:space="preserve">136-.m </v>
      </c>
      <c r="AG205" s="369" t="str">
        <f t="shared" si="75"/>
        <v>136-R</v>
      </c>
      <c r="AH205" s="344">
        <f>IF(coder1_YH!R205="",AH204,coder1_YH!R205)</f>
        <v>5</v>
      </c>
      <c r="AI205" s="344">
        <f t="shared" si="62"/>
        <v>5</v>
      </c>
      <c r="AJ205" s="345">
        <f t="shared" si="76"/>
        <v>0</v>
      </c>
      <c r="AK205" s="408">
        <f>IF(coder1_YH!S205="",AK204,coder1_YH!S205)</f>
        <v>10.7</v>
      </c>
      <c r="AL205" s="345">
        <f>IF(coder1_YH!T205="",AL204,IF(coder1_YH!T205="mixed",0.25,coder1_YH!T205))</f>
        <v>1</v>
      </c>
      <c r="AM205" s="345" t="str">
        <f>IF(coder1_YH!U205 = "", AM204, IF(coder1_YH!U205="mixed","NA",coder1_YH!U205))</f>
        <v>NA</v>
      </c>
      <c r="AN205" s="345">
        <f>IF(coder1_YH!V205="",AN204,coder1_YH!V205)</f>
        <v>0.85</v>
      </c>
      <c r="AO205" s="345">
        <f>IF(coder1_YH!W205="",AO204,coder1_YH!W205)</f>
        <v>0.27272727272727271</v>
      </c>
      <c r="AP205" s="345">
        <f>IF(coder1_YH!X205="",AP204,coder1_YH!X205)</f>
        <v>0.36363636363636365</v>
      </c>
      <c r="AQ205" s="345">
        <f>IF(coder1_YH!Y205="",AQ204,coder1_YH!Y205)</f>
        <v>0.90909090909090906</v>
      </c>
      <c r="AR205" t="str">
        <f>coder1_YH!AB205</f>
        <v>0 = Researcher-developed/adapted curriculum</v>
      </c>
      <c r="AS205" s="345" t="str">
        <f>IF(coder1_YH!AC205 = "", AS204,IF(coder1_YH!AC205="BAU","BAU",LEFT(coder1_YH!AC205)))</f>
        <v>1</v>
      </c>
      <c r="AT205" s="345" t="str">
        <f>IF(coder1_YH!AD205 = "", AT204,IF(coder1_YH!AD205="BAU","BAU",LEFT(coder1_YH!AD205)))</f>
        <v>1</v>
      </c>
      <c r="AU205" s="345" t="str">
        <f>IF(coder1_YH!AE205 = "", AU204,IF(coder1_YH!AE205="BAU","BAU",LEFT(coder1_YH!AE205)))</f>
        <v>0</v>
      </c>
      <c r="AV205" s="345">
        <f>IF(coder1_YH!AF205="",AV204,coder1_YH!AF205)</f>
        <v>420</v>
      </c>
      <c r="AW205" s="345">
        <f t="shared" si="77"/>
        <v>7</v>
      </c>
      <c r="AX205" s="345">
        <f>IF(coder1_YH!AG205="",AX204,coder1_YH!AG205)</f>
        <v>12</v>
      </c>
      <c r="AY205" s="345">
        <f>IF(coder1_YH!AH205="",AY204,coder1_YH!AH205)</f>
        <v>35</v>
      </c>
      <c r="AZ205" s="345" t="str">
        <f>IF(coder1_YH!AI205 = "", AZ204, IF(coder1_YH!AI205="BAU","BAU",LEFT(coder1_YH!AI205)))</f>
        <v>0</v>
      </c>
      <c r="BA205" s="384">
        <f>clean_data!Y205</f>
        <v>11</v>
      </c>
    </row>
    <row r="206" spans="1:53" x14ac:dyDescent="0.2">
      <c r="A206">
        <f>coder1_YH!B206</f>
        <v>0</v>
      </c>
      <c r="B206">
        <f>coder1_YH!C206</f>
        <v>206</v>
      </c>
      <c r="C206" t="b">
        <f>coder1_YH!D206</f>
        <v>1</v>
      </c>
      <c r="D206" t="b">
        <f>coder1_YH!E206</f>
        <v>1</v>
      </c>
      <c r="E206" t="b">
        <f>coder1_YH!F206</f>
        <v>1</v>
      </c>
      <c r="F206" s="321" t="str">
        <f>IF(coder1_YH!G206="", clean_mod!F205, coder1_YH!G206)</f>
        <v>Schunk et al., 1996</v>
      </c>
      <c r="G206" s="321" t="str">
        <f t="shared" si="63"/>
        <v>136</v>
      </c>
      <c r="H206" s="321">
        <f>IF(coder1_YH!H206="", clean_mod!H205, coder1_YH!H206)</f>
        <v>136</v>
      </c>
      <c r="I206" s="404" t="str">
        <f t="shared" si="78"/>
        <v>1996</v>
      </c>
      <c r="J206" s="344" t="str">
        <f>IF(coder1_YH!I206="",J205,coder1_YH!I206)</f>
        <v>USA</v>
      </c>
      <c r="K206" s="345">
        <f t="shared" si="64"/>
        <v>0</v>
      </c>
      <c r="L206" s="344" t="str">
        <f>IF(coder1_YH!J206 = "",L205, coder1_YH!J206)</f>
        <v>English</v>
      </c>
      <c r="M206" s="345">
        <f t="shared" si="65"/>
        <v>0</v>
      </c>
      <c r="N206" s="345" t="str">
        <f>IF(coder1_YH!K206 = "", N205, LEFT(coder1_YH!K206,1))</f>
        <v>0</v>
      </c>
      <c r="O206" s="345" t="str">
        <f>IF(coder1_YH!L206 = "", O205, LEFT(coder1_YH!L206,1))</f>
        <v>0</v>
      </c>
      <c r="P206" s="345" t="str">
        <f>IF(coder1_YH!M206 = "", P205, LEFT(coder1_YH!M206,1))</f>
        <v>0</v>
      </c>
      <c r="Q206" s="321">
        <f>coder1_YH!P206</f>
        <v>2</v>
      </c>
      <c r="R206" s="321" t="str">
        <f>coder1_YH!Q206</f>
        <v>Feedback only</v>
      </c>
      <c r="S206" s="323" t="str">
        <f t="shared" si="66"/>
        <v/>
      </c>
      <c r="T206" s="323" t="str">
        <f t="shared" si="67"/>
        <v>V</v>
      </c>
      <c r="U206" s="323" t="str">
        <f t="shared" si="68"/>
        <v/>
      </c>
      <c r="V206" s="323" t="str">
        <f t="shared" si="69"/>
        <v>T</v>
      </c>
      <c r="W206" s="323">
        <f t="shared" si="70"/>
        <v>2</v>
      </c>
      <c r="X206" s="385" t="str">
        <f>IF(coder1_YH!N206 = "",X205,coder1_YH!N206)</f>
        <v>VT</v>
      </c>
      <c r="Y206" s="385" t="str">
        <f>IF(coder1_YH!O206 = "",Y205,coder1_YH!O206)</f>
        <v xml:space="preserve">m </v>
      </c>
      <c r="Z206" s="385" t="str">
        <f t="shared" si="79"/>
        <v>M</v>
      </c>
      <c r="AA206" s="385" t="str">
        <f t="shared" si="60"/>
        <v>R</v>
      </c>
      <c r="AB206" s="385" t="str">
        <f t="shared" si="61"/>
        <v>MR</v>
      </c>
      <c r="AC206" s="323" t="str">
        <f t="shared" si="72"/>
        <v xml:space="preserve">VTm </v>
      </c>
      <c r="AD206" s="323" t="str">
        <f t="shared" si="73"/>
        <v>VT_R</v>
      </c>
      <c r="AE206" s="323">
        <f>IF(Y206="cm", 1,0)</f>
        <v>0</v>
      </c>
      <c r="AF206" s="369" t="str">
        <f t="shared" si="74"/>
        <v xml:space="preserve">136-VTm </v>
      </c>
      <c r="AG206" s="369" t="str">
        <f t="shared" si="75"/>
        <v>136-VT_R</v>
      </c>
      <c r="AH206" s="344">
        <f>IF(coder1_YH!R206="",AH205,coder1_YH!R206)</f>
        <v>5</v>
      </c>
      <c r="AI206" s="344">
        <f t="shared" si="62"/>
        <v>5</v>
      </c>
      <c r="AJ206" s="345">
        <f t="shared" si="76"/>
        <v>0</v>
      </c>
      <c r="AK206" s="408">
        <f>IF(coder1_YH!S206="",AK205,coder1_YH!S206)</f>
        <v>10.4</v>
      </c>
      <c r="AL206" s="345">
        <f>IF(coder1_YH!T206="",AL205,IF(coder1_YH!T206="mixed",0.25,coder1_YH!T206))</f>
        <v>1</v>
      </c>
      <c r="AM206" s="345" t="str">
        <f>IF(coder1_YH!U206 = "", AM205, IF(coder1_YH!U206="mixed","NA",coder1_YH!U206))</f>
        <v>NA</v>
      </c>
      <c r="AN206" s="345">
        <f>IF(coder1_YH!V206="",AN205,coder1_YH!V206)</f>
        <v>0.85</v>
      </c>
      <c r="AO206" s="345">
        <f>IF(coder1_YH!W206="",AO205,coder1_YH!W206)</f>
        <v>0.27272727272727271</v>
      </c>
      <c r="AP206" s="345">
        <f>IF(coder1_YH!X206="",AP205,coder1_YH!X206)</f>
        <v>0.36363636363636365</v>
      </c>
      <c r="AQ206" s="345">
        <f>IF(coder1_YH!Y206="",AQ205,coder1_YH!Y206)</f>
        <v>0.63636363636363635</v>
      </c>
      <c r="AR206" t="str">
        <f>coder1_YH!AB206</f>
        <v>0 = Researcher-developed/adapted curriculum</v>
      </c>
      <c r="AS206" s="345" t="str">
        <f>IF(coder1_YH!AC206 = "", AS205,IF(coder1_YH!AC206="BAU","BAU",LEFT(coder1_YH!AC206)))</f>
        <v>1</v>
      </c>
      <c r="AT206" s="345" t="str">
        <f>IF(coder1_YH!AD206 = "", AT205,IF(coder1_YH!AD206="BAU","BAU",LEFT(coder1_YH!AD206)))</f>
        <v>1</v>
      </c>
      <c r="AU206" s="345" t="str">
        <f>IF(coder1_YH!AE206 = "", AU205,IF(coder1_YH!AE206="BAU","BAU",LEFT(coder1_YH!AE206)))</f>
        <v>0</v>
      </c>
      <c r="AV206" s="345">
        <f>IF(coder1_YH!AF206="",AV205,coder1_YH!AF206)</f>
        <v>420</v>
      </c>
      <c r="AW206" s="345">
        <f t="shared" si="77"/>
        <v>7</v>
      </c>
      <c r="AX206" s="345">
        <f>IF(coder1_YH!AG206="",AX205,coder1_YH!AG206)</f>
        <v>12</v>
      </c>
      <c r="AY206" s="345">
        <f>IF(coder1_YH!AH206="",AY205,coder1_YH!AH206)</f>
        <v>35</v>
      </c>
      <c r="AZ206" s="345" t="str">
        <f>IF(coder1_YH!AI206 = "", AZ205, IF(coder1_YH!AI206="BAU","BAU",LEFT(coder1_YH!AI206)))</f>
        <v>0</v>
      </c>
      <c r="BA206" s="384">
        <f>clean_data!Y206</f>
        <v>11</v>
      </c>
    </row>
    <row r="207" spans="1:53" x14ac:dyDescent="0.2">
      <c r="A207" t="str">
        <f>coder1_YH!B207</f>
        <v>EX</v>
      </c>
      <c r="B207">
        <f>coder1_YH!C207</f>
        <v>207</v>
      </c>
      <c r="C207">
        <f>coder1_YH!D207</f>
        <v>0</v>
      </c>
      <c r="D207">
        <f>coder1_YH!E207</f>
        <v>0</v>
      </c>
      <c r="E207" t="b">
        <f>coder1_YH!F207</f>
        <v>1</v>
      </c>
      <c r="F207" s="321" t="str">
        <f>IF(coder1_YH!G207="", clean_mod!F206, coder1_YH!G207)</f>
        <v>Schunk et al., 1996</v>
      </c>
      <c r="G207" s="321" t="str">
        <f t="shared" si="63"/>
        <v>136</v>
      </c>
      <c r="H207" s="321">
        <f>IF(coder1_YH!H207="", clean_mod!H206, coder1_YH!H207)</f>
        <v>136</v>
      </c>
      <c r="I207" s="404" t="str">
        <f t="shared" si="78"/>
        <v>1996</v>
      </c>
      <c r="J207" s="344" t="str">
        <f>IF(coder1_YH!I207="",J206,coder1_YH!I207)</f>
        <v>USA</v>
      </c>
      <c r="K207" s="345">
        <f t="shared" si="64"/>
        <v>0</v>
      </c>
      <c r="L207" s="344" t="str">
        <f>IF(coder1_YH!J207 = "",L206, coder1_YH!J207)</f>
        <v>English</v>
      </c>
      <c r="M207" s="345">
        <f t="shared" si="65"/>
        <v>0</v>
      </c>
      <c r="N207" s="345" t="str">
        <f>IF(coder1_YH!K207 = "", N206, LEFT(coder1_YH!K207,1))</f>
        <v>0</v>
      </c>
      <c r="O207" s="345" t="str">
        <f>IF(coder1_YH!L207 = "", O206, LEFT(coder1_YH!L207,1))</f>
        <v>0</v>
      </c>
      <c r="P207" s="345" t="str">
        <f>IF(coder1_YH!M207 = "", P206, LEFT(coder1_YH!M207,1))</f>
        <v>0</v>
      </c>
      <c r="Q207" s="321">
        <f>coder1_YH!P207</f>
        <v>3</v>
      </c>
      <c r="R207" s="321" t="str">
        <f>coder1_YH!Q207</f>
        <v>Fading + feedback</v>
      </c>
      <c r="S207" s="323" t="str">
        <f t="shared" si="66"/>
        <v/>
      </c>
      <c r="T207" s="323" t="str">
        <f t="shared" si="67"/>
        <v>V</v>
      </c>
      <c r="U207" s="323" t="str">
        <f t="shared" si="68"/>
        <v/>
      </c>
      <c r="V207" s="323" t="str">
        <f t="shared" si="69"/>
        <v>T</v>
      </c>
      <c r="W207" s="323">
        <f t="shared" si="70"/>
        <v>2</v>
      </c>
      <c r="X207" s="385" t="str">
        <f>IF(coder1_YH!N207 = "",X206,coder1_YH!N207)</f>
        <v>VT</v>
      </c>
      <c r="Y207" s="385" t="str">
        <f>IF(coder1_YH!O207 = "",Y206,coder1_YH!O207)</f>
        <v xml:space="preserve">m </v>
      </c>
      <c r="Z207" s="385" t="str">
        <f t="shared" si="79"/>
        <v>M</v>
      </c>
      <c r="AA207" s="385" t="str">
        <f t="shared" si="60"/>
        <v>R</v>
      </c>
      <c r="AB207" s="385" t="str">
        <f t="shared" si="61"/>
        <v>MR</v>
      </c>
      <c r="AC207" s="323" t="str">
        <f t="shared" si="72"/>
        <v xml:space="preserve">VTm </v>
      </c>
      <c r="AD207" s="323" t="str">
        <f t="shared" si="73"/>
        <v>VT_R</v>
      </c>
      <c r="AF207" s="369" t="str">
        <f t="shared" si="74"/>
        <v xml:space="preserve">136-VTm </v>
      </c>
      <c r="AG207" s="369" t="str">
        <f t="shared" si="75"/>
        <v>136-VT_R</v>
      </c>
      <c r="AH207" s="344">
        <f>IF(coder1_YH!R207="",AH206,coder1_YH!R207)</f>
        <v>5</v>
      </c>
      <c r="AI207" s="344">
        <f t="shared" si="62"/>
        <v>5</v>
      </c>
      <c r="AJ207" s="345">
        <f t="shared" si="76"/>
        <v>0</v>
      </c>
      <c r="AK207" s="408">
        <f>IF(coder1_YH!S207="",AK206,coder1_YH!S207)</f>
        <v>10.8</v>
      </c>
      <c r="AL207" s="345">
        <f>IF(coder1_YH!T207="",AL206,IF(coder1_YH!T207="mixed",0.25,coder1_YH!T207))</f>
        <v>1</v>
      </c>
      <c r="AM207" s="345" t="str">
        <f>IF(coder1_YH!U207 = "", AM206, IF(coder1_YH!U207="mixed","NA",coder1_YH!U207))</f>
        <v>NA</v>
      </c>
      <c r="AN207" s="345">
        <f>IF(coder1_YH!V207="",AN206,coder1_YH!V207)</f>
        <v>0.85</v>
      </c>
      <c r="AO207" s="345">
        <f>IF(coder1_YH!W207="",AO206,coder1_YH!W207)</f>
        <v>0.27272727272727271</v>
      </c>
      <c r="AP207" s="345">
        <f>IF(coder1_YH!X207="",AP206,coder1_YH!X207)</f>
        <v>0.45454545454545453</v>
      </c>
      <c r="AQ207" s="345">
        <f>IF(coder1_YH!Y207="",AQ206,coder1_YH!Y207)</f>
        <v>0.72727272727272729</v>
      </c>
      <c r="AR207" t="str">
        <f>coder1_YH!AB207</f>
        <v>0 = Researcher-developed/adapted curriculum</v>
      </c>
      <c r="AS207" s="345" t="str">
        <f>IF(coder1_YH!AC207 = "", AS206,IF(coder1_YH!AC207="BAU","BAU",LEFT(coder1_YH!AC207)))</f>
        <v>1</v>
      </c>
      <c r="AT207" s="345" t="str">
        <f>IF(coder1_YH!AD207 = "", AT206,IF(coder1_YH!AD207="BAU","BAU",LEFT(coder1_YH!AD207)))</f>
        <v>1</v>
      </c>
      <c r="AU207" s="345" t="str">
        <f>IF(coder1_YH!AE207 = "", AU206,IF(coder1_YH!AE207="BAU","BAU",LEFT(coder1_YH!AE207)))</f>
        <v>0</v>
      </c>
      <c r="AV207" s="345">
        <f>IF(coder1_YH!AF207="",AV206,coder1_YH!AF207)</f>
        <v>420</v>
      </c>
      <c r="AW207" s="345">
        <f t="shared" si="77"/>
        <v>7</v>
      </c>
      <c r="AX207" s="345">
        <f>IF(coder1_YH!AG207="",AX206,coder1_YH!AG207)</f>
        <v>12</v>
      </c>
      <c r="AY207" s="345">
        <f>IF(coder1_YH!AH207="",AY206,coder1_YH!AH207)</f>
        <v>35</v>
      </c>
      <c r="AZ207" s="345" t="str">
        <f>IF(coder1_YH!AI207 = "", AZ206, IF(coder1_YH!AI207="BAU","BAU",LEFT(coder1_YH!AI207)))</f>
        <v>0</v>
      </c>
      <c r="BA207" s="384">
        <f>clean_data!Y207</f>
        <v>11</v>
      </c>
    </row>
    <row r="208" spans="1:53" x14ac:dyDescent="0.2">
      <c r="A208">
        <f>coder1_YH!B208</f>
        <v>0</v>
      </c>
      <c r="B208">
        <f>coder1_YH!C208</f>
        <v>208</v>
      </c>
      <c r="C208">
        <f>coder1_YH!D208</f>
        <v>0</v>
      </c>
      <c r="D208">
        <f>coder1_YH!E208</f>
        <v>0</v>
      </c>
      <c r="E208" t="b">
        <f>coder1_YH!F208</f>
        <v>1</v>
      </c>
      <c r="F208" s="321" t="str">
        <f>IF(coder1_YH!G208="", clean_mod!F207, coder1_YH!G208)</f>
        <v>Schunk et al., 1996</v>
      </c>
      <c r="G208" s="321" t="str">
        <f t="shared" si="63"/>
        <v>136</v>
      </c>
      <c r="H208" s="321">
        <f>IF(coder1_YH!H208="", clean_mod!H207, coder1_YH!H208)</f>
        <v>136</v>
      </c>
      <c r="I208" s="404" t="str">
        <f t="shared" si="78"/>
        <v>1996</v>
      </c>
      <c r="J208" s="344" t="str">
        <f>IF(coder1_YH!I208="",J207,coder1_YH!I208)</f>
        <v>USA</v>
      </c>
      <c r="K208" s="345">
        <f t="shared" si="64"/>
        <v>0</v>
      </c>
      <c r="L208" s="344" t="str">
        <f>IF(coder1_YH!J208 = "",L207, coder1_YH!J208)</f>
        <v>English</v>
      </c>
      <c r="M208" s="345">
        <f t="shared" si="65"/>
        <v>0</v>
      </c>
      <c r="N208" s="345" t="str">
        <f>IF(coder1_YH!K208 = "", N207, LEFT(coder1_YH!K208,1))</f>
        <v>0</v>
      </c>
      <c r="O208" s="345" t="str">
        <f>IF(coder1_YH!L208 = "", O207, LEFT(coder1_YH!L208,1))</f>
        <v>0</v>
      </c>
      <c r="P208" s="345" t="str">
        <f>IF(coder1_YH!M208 = "", P207, LEFT(coder1_YH!M208,1))</f>
        <v>0</v>
      </c>
      <c r="Q208" s="321" t="str">
        <f>coder1_YH!P208</f>
        <v>ctl</v>
      </c>
      <c r="R208" s="321" t="str">
        <f>coder1_YH!Q208</f>
        <v>No fading/feedback</v>
      </c>
      <c r="S208" s="323" t="str">
        <f t="shared" si="66"/>
        <v/>
      </c>
      <c r="T208" s="323" t="str">
        <f t="shared" si="67"/>
        <v/>
      </c>
      <c r="U208" s="323" t="str">
        <f t="shared" si="68"/>
        <v/>
      </c>
      <c r="V208" s="323" t="str">
        <f t="shared" si="69"/>
        <v/>
      </c>
      <c r="W208" s="323">
        <f t="shared" si="70"/>
        <v>0</v>
      </c>
      <c r="X208" s="385" t="str">
        <f>IF(coder1_YH!N208 = "",X207,coder1_YH!N208)</f>
        <v>.</v>
      </c>
      <c r="Y208" s="385" t="str">
        <f>IF(coder1_YH!O208 = "",Y207,coder1_YH!O208)</f>
        <v xml:space="preserve">m </v>
      </c>
      <c r="Z208" s="385" t="str">
        <f t="shared" si="79"/>
        <v/>
      </c>
      <c r="AA208" s="385" t="str">
        <f t="shared" si="60"/>
        <v>R</v>
      </c>
      <c r="AB208" s="385" t="str">
        <f t="shared" si="61"/>
        <v>R</v>
      </c>
      <c r="AC208" s="323" t="str">
        <f t="shared" si="72"/>
        <v xml:space="preserve">.m </v>
      </c>
      <c r="AD208" s="323" t="str">
        <f t="shared" si="73"/>
        <v>R</v>
      </c>
      <c r="AF208" s="369" t="str">
        <f t="shared" si="74"/>
        <v xml:space="preserve">136-.m </v>
      </c>
      <c r="AG208" s="369" t="str">
        <f t="shared" si="75"/>
        <v>136-R</v>
      </c>
      <c r="AH208" s="344">
        <f>IF(coder1_YH!R208="",AH207,coder1_YH!R208)</f>
        <v>5</v>
      </c>
      <c r="AI208" s="344">
        <f t="shared" si="62"/>
        <v>5</v>
      </c>
      <c r="AJ208" s="345">
        <f t="shared" si="76"/>
        <v>0</v>
      </c>
      <c r="AK208" s="408">
        <f>IF(coder1_YH!S208="",AK207,coder1_YH!S208)</f>
        <v>10.8</v>
      </c>
      <c r="AL208" s="345">
        <f>IF(coder1_YH!T208="",AL207,IF(coder1_YH!T208="mixed",0.25,coder1_YH!T208))</f>
        <v>1</v>
      </c>
      <c r="AM208" s="345" t="str">
        <f>IF(coder1_YH!U208 = "", AM207, IF(coder1_YH!U208="mixed","NA",coder1_YH!U208))</f>
        <v>NA</v>
      </c>
      <c r="AN208" s="345">
        <f>IF(coder1_YH!V208="",AN207,coder1_YH!V208)</f>
        <v>0.85</v>
      </c>
      <c r="AO208" s="345">
        <f>IF(coder1_YH!W208="",AO207,coder1_YH!W208)</f>
        <v>0.18181818181818182</v>
      </c>
      <c r="AP208" s="345">
        <f>IF(coder1_YH!X208="",AP207,coder1_YH!X208)</f>
        <v>0.27272727272727271</v>
      </c>
      <c r="AQ208" s="345">
        <f>IF(coder1_YH!Y208="",AQ207,coder1_YH!Y208)</f>
        <v>0.72727272727272729</v>
      </c>
      <c r="AR208" t="str">
        <f>coder1_YH!AB208</f>
        <v>0 = Researcher-developed/adapted curriculum</v>
      </c>
      <c r="AS208" s="345" t="str">
        <f>IF(coder1_YH!AC208 = "", AS207,IF(coder1_YH!AC208="BAU","BAU",LEFT(coder1_YH!AC208)))</f>
        <v>1</v>
      </c>
      <c r="AT208" s="345" t="str">
        <f>IF(coder1_YH!AD208 = "", AT207,IF(coder1_YH!AD208="BAU","BAU",LEFT(coder1_YH!AD208)))</f>
        <v>1</v>
      </c>
      <c r="AU208" s="345" t="str">
        <f>IF(coder1_YH!AE208 = "", AU207,IF(coder1_YH!AE208="BAU","BAU",LEFT(coder1_YH!AE208)))</f>
        <v>0</v>
      </c>
      <c r="AV208" s="345">
        <f>IF(coder1_YH!AF208="",AV207,coder1_YH!AF208)</f>
        <v>420</v>
      </c>
      <c r="AW208" s="345">
        <f t="shared" si="77"/>
        <v>7</v>
      </c>
      <c r="AX208" s="345">
        <f>IF(coder1_YH!AG208="",AX207,coder1_YH!AG208)</f>
        <v>12</v>
      </c>
      <c r="AY208" s="345">
        <f>IF(coder1_YH!AH208="",AY207,coder1_YH!AH208)</f>
        <v>35</v>
      </c>
      <c r="AZ208" s="345" t="str">
        <f>IF(coder1_YH!AI208 = "", AZ207, IF(coder1_YH!AI208="BAU","BAU",LEFT(coder1_YH!AI208)))</f>
        <v>0</v>
      </c>
      <c r="BA208" s="384">
        <f>clean_data!Y208</f>
        <v>11</v>
      </c>
    </row>
    <row r="209" spans="1:53" x14ac:dyDescent="0.2">
      <c r="A209">
        <f>coder1_YH!B209</f>
        <v>0</v>
      </c>
      <c r="B209">
        <f>coder1_YH!C209</f>
        <v>209</v>
      </c>
      <c r="C209">
        <f>coder1_YH!D209</f>
        <v>0</v>
      </c>
      <c r="D209">
        <f>coder1_YH!E209</f>
        <v>0</v>
      </c>
      <c r="E209" t="b">
        <f>coder1_YH!F209</f>
        <v>1</v>
      </c>
      <c r="F209" s="321" t="str">
        <f>IF(coder1_YH!G209="", clean_mod!F208, coder1_YH!G209)</f>
        <v>Schunk &amp; Rice., 1992</v>
      </c>
      <c r="G209" s="321" t="str">
        <f t="shared" si="63"/>
        <v>137</v>
      </c>
      <c r="H209" s="321">
        <f>IF(coder1_YH!H209="", clean_mod!H208, coder1_YH!H209)</f>
        <v>137</v>
      </c>
      <c r="I209" s="404" t="str">
        <f t="shared" si="78"/>
        <v>1992</v>
      </c>
      <c r="J209" s="344" t="str">
        <f>IF(coder1_YH!I209="",J208,coder1_YH!I209)</f>
        <v>USA</v>
      </c>
      <c r="K209" s="345">
        <f t="shared" si="64"/>
        <v>0</v>
      </c>
      <c r="L209" s="344" t="str">
        <f>IF(coder1_YH!J209 = "",L208, coder1_YH!J209)</f>
        <v>English</v>
      </c>
      <c r="M209" s="345">
        <f t="shared" si="65"/>
        <v>0</v>
      </c>
      <c r="N209" s="345" t="str">
        <f>IF(coder1_YH!K209 = "", N208, LEFT(coder1_YH!K209,1))</f>
        <v>0</v>
      </c>
      <c r="O209" s="345" t="str">
        <f>IF(coder1_YH!L209 = "", O208, LEFT(coder1_YH!L209,1))</f>
        <v>0</v>
      </c>
      <c r="P209" s="345" t="str">
        <f>IF(coder1_YH!M209 = "", P208, LEFT(coder1_YH!M209,1))</f>
        <v>0</v>
      </c>
      <c r="Q209" s="321">
        <f>coder1_YH!P209</f>
        <v>1</v>
      </c>
      <c r="R209" s="321" t="str">
        <f>coder1_YH!Q209</f>
        <v>Strategy Instruction</v>
      </c>
      <c r="S209" s="323" t="str">
        <f t="shared" si="66"/>
        <v>N</v>
      </c>
      <c r="T209" s="323" t="str">
        <f t="shared" si="67"/>
        <v/>
      </c>
      <c r="U209" s="323" t="str">
        <f t="shared" si="68"/>
        <v/>
      </c>
      <c r="V209" s="323" t="str">
        <f t="shared" si="69"/>
        <v/>
      </c>
      <c r="W209" s="323">
        <f t="shared" si="70"/>
        <v>1</v>
      </c>
      <c r="X209" s="385" t="str">
        <f>IF(coder1_YH!N209 = "",X208,coder1_YH!N209)</f>
        <v>N</v>
      </c>
      <c r="Y209" s="385" t="str">
        <f>IF(coder1_YH!O209 = "",Y208,coder1_YH!O209)</f>
        <v xml:space="preserve">m </v>
      </c>
      <c r="Z209" s="385" t="str">
        <f t="shared" si="79"/>
        <v>M</v>
      </c>
      <c r="AA209" s="385" t="str">
        <f t="shared" si="60"/>
        <v>R</v>
      </c>
      <c r="AB209" s="385" t="str">
        <f t="shared" si="61"/>
        <v>MR</v>
      </c>
      <c r="AC209" s="323" t="str">
        <f t="shared" si="72"/>
        <v xml:space="preserve">Nm </v>
      </c>
      <c r="AD209" s="323" t="str">
        <f t="shared" si="73"/>
        <v>N_R</v>
      </c>
      <c r="AF209" s="369" t="str">
        <f t="shared" si="74"/>
        <v xml:space="preserve">137-Nm </v>
      </c>
      <c r="AG209" s="369" t="str">
        <f t="shared" si="75"/>
        <v>137-N_R</v>
      </c>
      <c r="AH209" s="344">
        <f>IF(coder1_YH!R209="",AH208,coder1_YH!R209)</f>
        <v>5</v>
      </c>
      <c r="AI209" s="344">
        <f t="shared" si="62"/>
        <v>5</v>
      </c>
      <c r="AJ209" s="345">
        <f t="shared" si="76"/>
        <v>0</v>
      </c>
      <c r="AK209" s="408">
        <f>IF(coder1_YH!S209="",AK208,coder1_YH!S209)</f>
        <v>10.6</v>
      </c>
      <c r="AL209" s="345">
        <f>IF(coder1_YH!T209="",AL208,IF(coder1_YH!T209="mixed",0.25,coder1_YH!T209))</f>
        <v>1</v>
      </c>
      <c r="AM209" s="345" t="str">
        <f>IF(coder1_YH!U209 = "", AM208, IF(coder1_YH!U209="mixed","NA",coder1_YH!U209))</f>
        <v>NA</v>
      </c>
      <c r="AN209" s="345">
        <f>IF(coder1_YH!V209="",AN208,coder1_YH!V209)</f>
        <v>0.85</v>
      </c>
      <c r="AO209" s="345">
        <f>IF(coder1_YH!W209="",AO208,coder1_YH!W209)</f>
        <v>0.25</v>
      </c>
      <c r="AP209" s="345">
        <f>IF(coder1_YH!X209="",AP208,coder1_YH!X209)</f>
        <v>0.5757575757575758</v>
      </c>
      <c r="AQ209" s="345">
        <f>IF(coder1_YH!Y209="",AQ208,coder1_YH!Y209)</f>
        <v>0.74</v>
      </c>
      <c r="AR209" t="str">
        <f>coder1_YH!AB209</f>
        <v>0 = Researcher-developed/adapted curriculum</v>
      </c>
      <c r="AS209" s="345" t="str">
        <f>IF(coder1_YH!AC209 = "", AS208,IF(coder1_YH!AC209="BAU","BAU",LEFT(coder1_YH!AC209)))</f>
        <v>1</v>
      </c>
      <c r="AT209" s="345" t="str">
        <f>IF(coder1_YH!AD209 = "", AT208,IF(coder1_YH!AD209="BAU","BAU",LEFT(coder1_YH!AD209)))</f>
        <v>1</v>
      </c>
      <c r="AU209" s="345" t="str">
        <f>IF(coder1_YH!AE209 = "", AU208,IF(coder1_YH!AE209="BAU","BAU",LEFT(coder1_YH!AE209)))</f>
        <v>0</v>
      </c>
      <c r="AV209" s="345">
        <f>IF(coder1_YH!AF209="",AV208,coder1_YH!AF209)</f>
        <v>525</v>
      </c>
      <c r="AW209" s="345">
        <f t="shared" si="77"/>
        <v>8.75</v>
      </c>
      <c r="AX209" s="345">
        <f>IF(coder1_YH!AG209="",AX208,coder1_YH!AG209)</f>
        <v>15</v>
      </c>
      <c r="AY209" s="345">
        <f>IF(coder1_YH!AH209="",AY208,coder1_YH!AH209)</f>
        <v>35</v>
      </c>
      <c r="AZ209" s="345" t="str">
        <f>IF(coder1_YH!AI209 = "", AZ208, IF(coder1_YH!AI209="BAU","BAU",LEFT(coder1_YH!AI209)))</f>
        <v>0</v>
      </c>
      <c r="BA209" s="384">
        <f>clean_data!Y209</f>
        <v>11</v>
      </c>
    </row>
    <row r="210" spans="1:53" x14ac:dyDescent="0.2">
      <c r="A210">
        <f>coder1_YH!B210</f>
        <v>0</v>
      </c>
      <c r="B210">
        <f>coder1_YH!C210</f>
        <v>210</v>
      </c>
      <c r="C210" t="b">
        <f>coder1_YH!D210</f>
        <v>1</v>
      </c>
      <c r="D210" t="b">
        <f>coder1_YH!E210</f>
        <v>1</v>
      </c>
      <c r="E210" t="b">
        <f>coder1_YH!F210</f>
        <v>1</v>
      </c>
      <c r="F210" s="321" t="str">
        <f>IF(coder1_YH!G210="", clean_mod!F209, coder1_YH!G210)</f>
        <v>Schunk &amp; Rice., 1992</v>
      </c>
      <c r="G210" s="321" t="str">
        <f t="shared" si="63"/>
        <v>137</v>
      </c>
      <c r="H210" s="321">
        <f>IF(coder1_YH!H210="", clean_mod!H209, coder1_YH!H210)</f>
        <v>137</v>
      </c>
      <c r="I210" s="404" t="str">
        <f t="shared" si="78"/>
        <v>1992</v>
      </c>
      <c r="J210" s="344" t="str">
        <f>IF(coder1_YH!I210="",J209,coder1_YH!I210)</f>
        <v>USA</v>
      </c>
      <c r="K210" s="345">
        <f t="shared" si="64"/>
        <v>0</v>
      </c>
      <c r="L210" s="344" t="str">
        <f>IF(coder1_YH!J210 = "",L209, coder1_YH!J210)</f>
        <v>English</v>
      </c>
      <c r="M210" s="345">
        <f t="shared" si="65"/>
        <v>0</v>
      </c>
      <c r="N210" s="345" t="str">
        <f>IF(coder1_YH!K210 = "", N209, LEFT(coder1_YH!K210,1))</f>
        <v>0</v>
      </c>
      <c r="O210" s="345" t="str">
        <f>IF(coder1_YH!L210 = "", O209, LEFT(coder1_YH!L210,1))</f>
        <v>0</v>
      </c>
      <c r="P210" s="345" t="str">
        <f>IF(coder1_YH!M210 = "", P209, LEFT(coder1_YH!M210,1))</f>
        <v>0</v>
      </c>
      <c r="Q210" s="321">
        <f>coder1_YH!P210</f>
        <v>2</v>
      </c>
      <c r="R210" s="321" t="str">
        <f>coder1_YH!Q210</f>
        <v>Strategy Feedback</v>
      </c>
      <c r="S210" s="323" t="str">
        <f t="shared" si="66"/>
        <v>N</v>
      </c>
      <c r="T210" s="323" t="str">
        <f t="shared" si="67"/>
        <v>V</v>
      </c>
      <c r="U210" s="323" t="str">
        <f t="shared" si="68"/>
        <v/>
      </c>
      <c r="V210" s="323" t="str">
        <f t="shared" si="69"/>
        <v>T</v>
      </c>
      <c r="W210" s="323">
        <f t="shared" si="70"/>
        <v>3</v>
      </c>
      <c r="X210" s="385" t="str">
        <f>IF(coder1_YH!N210 = "",X209,coder1_YH!N210)</f>
        <v>NVT</v>
      </c>
      <c r="Y210" s="385" t="str">
        <f>IF(coder1_YH!O210 = "",Y209,coder1_YH!O210)</f>
        <v xml:space="preserve">m </v>
      </c>
      <c r="Z210" s="385" t="str">
        <f t="shared" si="79"/>
        <v>M</v>
      </c>
      <c r="AA210" s="385" t="str">
        <f t="shared" si="60"/>
        <v>R</v>
      </c>
      <c r="AB210" s="385" t="str">
        <f t="shared" si="61"/>
        <v>MR</v>
      </c>
      <c r="AC210" s="323" t="str">
        <f t="shared" si="72"/>
        <v xml:space="preserve">NVTm </v>
      </c>
      <c r="AD210" s="323" t="str">
        <f t="shared" si="73"/>
        <v>NVT_R</v>
      </c>
      <c r="AE210" s="323">
        <f>IF(Y210="cm", 1,0)</f>
        <v>0</v>
      </c>
      <c r="AF210" s="369" t="str">
        <f t="shared" si="74"/>
        <v xml:space="preserve">137-NVTm </v>
      </c>
      <c r="AG210" s="369" t="str">
        <f t="shared" si="75"/>
        <v>137-NVT_R</v>
      </c>
      <c r="AH210" s="344">
        <f>IF(coder1_YH!R210="",AH209,coder1_YH!R210)</f>
        <v>5</v>
      </c>
      <c r="AI210" s="344">
        <f t="shared" si="62"/>
        <v>5</v>
      </c>
      <c r="AJ210" s="345">
        <f t="shared" si="76"/>
        <v>0</v>
      </c>
      <c r="AK210" s="408">
        <f>IF(coder1_YH!S210="",AK209,coder1_YH!S210)</f>
        <v>10.6</v>
      </c>
      <c r="AL210" s="345">
        <f>IF(coder1_YH!T210="",AL209,IF(coder1_YH!T210="mixed",0.25,coder1_YH!T210))</f>
        <v>1</v>
      </c>
      <c r="AM210" s="345" t="str">
        <f>IF(coder1_YH!U210 = "", AM209, IF(coder1_YH!U210="mixed","NA",coder1_YH!U210))</f>
        <v>NA</v>
      </c>
      <c r="AN210" s="345">
        <f>IF(coder1_YH!V210="",AN209,coder1_YH!V210)</f>
        <v>0.85</v>
      </c>
      <c r="AO210" s="345">
        <f>IF(coder1_YH!W210="",AO209,coder1_YH!W210)</f>
        <v>0.25</v>
      </c>
      <c r="AP210" s="345">
        <f>IF(coder1_YH!X210="",AP209,coder1_YH!X210)</f>
        <v>0.5757575757575758</v>
      </c>
      <c r="AQ210" s="345">
        <f>IF(coder1_YH!Y210="",AQ209,coder1_YH!Y210)</f>
        <v>0.74</v>
      </c>
      <c r="AR210" t="str">
        <f>coder1_YH!AB210</f>
        <v>0 = Researcher-developed/adapted curriculum</v>
      </c>
      <c r="AS210" s="345" t="str">
        <f>IF(coder1_YH!AC210 = "", AS209,IF(coder1_YH!AC210="BAU","BAU",LEFT(coder1_YH!AC210)))</f>
        <v>1</v>
      </c>
      <c r="AT210" s="345" t="str">
        <f>IF(coder1_YH!AD210 = "", AT209,IF(coder1_YH!AD210="BAU","BAU",LEFT(coder1_YH!AD210)))</f>
        <v>1</v>
      </c>
      <c r="AU210" s="345" t="str">
        <f>IF(coder1_YH!AE210 = "", AU209,IF(coder1_YH!AE210="BAU","BAU",LEFT(coder1_YH!AE210)))</f>
        <v>0</v>
      </c>
      <c r="AV210" s="345">
        <f>IF(coder1_YH!AF210="",AV209,coder1_YH!AF210)</f>
        <v>525</v>
      </c>
      <c r="AW210" s="345">
        <f t="shared" si="77"/>
        <v>8.75</v>
      </c>
      <c r="AX210" s="345">
        <f>IF(coder1_YH!AG210="",AX209,coder1_YH!AG210)</f>
        <v>15</v>
      </c>
      <c r="AY210" s="345">
        <f>IF(coder1_YH!AH210="",AY209,coder1_YH!AH210)</f>
        <v>35</v>
      </c>
      <c r="AZ210" s="345" t="str">
        <f>IF(coder1_YH!AI210 = "", AZ209, IF(coder1_YH!AI210="BAU","BAU",LEFT(coder1_YH!AI210)))</f>
        <v>0</v>
      </c>
      <c r="BA210" s="384">
        <f>clean_data!Y210</f>
        <v>11</v>
      </c>
    </row>
    <row r="211" spans="1:53" x14ac:dyDescent="0.2">
      <c r="A211">
        <f>coder1_YH!B211</f>
        <v>0</v>
      </c>
      <c r="B211">
        <f>coder1_YH!C211</f>
        <v>211</v>
      </c>
      <c r="C211">
        <f>coder1_YH!D211</f>
        <v>0</v>
      </c>
      <c r="D211" t="str">
        <f>coder1_YH!E211</f>
        <v/>
      </c>
      <c r="E211" t="b">
        <f>coder1_YH!F211</f>
        <v>1</v>
      </c>
      <c r="F211" s="321" t="str">
        <f>IF(coder1_YH!G211="", clean_mod!F210, coder1_YH!G211)</f>
        <v>Schunk &amp; Rice., 1992</v>
      </c>
      <c r="G211" s="321" t="str">
        <f t="shared" si="63"/>
        <v>137</v>
      </c>
      <c r="H211" s="321">
        <f>IF(coder1_YH!H211="", clean_mod!H210, coder1_YH!H211)</f>
        <v>137</v>
      </c>
      <c r="I211" s="404" t="str">
        <f t="shared" si="78"/>
        <v>1992</v>
      </c>
      <c r="J211" s="344" t="str">
        <f>IF(coder1_YH!I211="",J210,coder1_YH!I211)</f>
        <v>USA</v>
      </c>
      <c r="K211" s="345">
        <f t="shared" si="64"/>
        <v>0</v>
      </c>
      <c r="L211" s="344" t="str">
        <f>IF(coder1_YH!J211 = "",L210, coder1_YH!J211)</f>
        <v>English</v>
      </c>
      <c r="M211" s="345">
        <f t="shared" si="65"/>
        <v>0</v>
      </c>
      <c r="N211" s="345" t="str">
        <f>IF(coder1_YH!K211 = "", N210, LEFT(coder1_YH!K211,1))</f>
        <v>0</v>
      </c>
      <c r="O211" s="345" t="str">
        <f>IF(coder1_YH!L211 = "", O210, LEFT(coder1_YH!L211,1))</f>
        <v>0</v>
      </c>
      <c r="P211" s="345" t="str">
        <f>IF(coder1_YH!M211 = "", P210, LEFT(coder1_YH!M211,1))</f>
        <v>0</v>
      </c>
      <c r="Q211" s="321" t="str">
        <f>coder1_YH!P211</f>
        <v>ctl</v>
      </c>
      <c r="R211" s="321" t="str">
        <f>coder1_YH!Q211</f>
        <v xml:space="preserve">Control </v>
      </c>
      <c r="S211" s="323" t="str">
        <f t="shared" si="66"/>
        <v/>
      </c>
      <c r="T211" s="323" t="str">
        <f t="shared" si="67"/>
        <v/>
      </c>
      <c r="U211" s="323" t="str">
        <f t="shared" si="68"/>
        <v/>
      </c>
      <c r="V211" s="323" t="str">
        <f t="shared" si="69"/>
        <v/>
      </c>
      <c r="W211" s="323">
        <f t="shared" si="70"/>
        <v>0</v>
      </c>
      <c r="X211" s="385" t="str">
        <f>IF(coder1_YH!N211 = "",X210,coder1_YH!N211)</f>
        <v>.</v>
      </c>
      <c r="Y211" s="385" t="str">
        <f>IF(coder1_YH!O211 = "",Y210,coder1_YH!O211)</f>
        <v xml:space="preserve">m </v>
      </c>
      <c r="Z211" s="385" t="str">
        <f t="shared" si="79"/>
        <v/>
      </c>
      <c r="AA211" s="385" t="str">
        <f t="shared" si="60"/>
        <v>R</v>
      </c>
      <c r="AB211" s="385" t="str">
        <f t="shared" si="61"/>
        <v>R</v>
      </c>
      <c r="AC211" s="323" t="str">
        <f t="shared" si="72"/>
        <v xml:space="preserve">.m </v>
      </c>
      <c r="AD211" s="323" t="str">
        <f t="shared" si="73"/>
        <v>R</v>
      </c>
      <c r="AF211" s="369" t="str">
        <f t="shared" si="74"/>
        <v xml:space="preserve">137-.m </v>
      </c>
      <c r="AG211" s="369" t="str">
        <f t="shared" si="75"/>
        <v>137-R</v>
      </c>
      <c r="AH211" s="344">
        <f>IF(coder1_YH!R211="",AH210,coder1_YH!R211)</f>
        <v>5</v>
      </c>
      <c r="AI211" s="344">
        <f t="shared" si="62"/>
        <v>5</v>
      </c>
      <c r="AJ211" s="345">
        <f t="shared" si="76"/>
        <v>0</v>
      </c>
      <c r="AK211" s="408">
        <f>IF(coder1_YH!S211="",AK210,coder1_YH!S211)</f>
        <v>10.6</v>
      </c>
      <c r="AL211" s="345">
        <f>IF(coder1_YH!T211="",AL210,IF(coder1_YH!T211="mixed",0.25,coder1_YH!T211))</f>
        <v>1</v>
      </c>
      <c r="AM211" s="345" t="str">
        <f>IF(coder1_YH!U211 = "", AM210, IF(coder1_YH!U211="mixed","NA",coder1_YH!U211))</f>
        <v>NA</v>
      </c>
      <c r="AN211" s="345">
        <f>IF(coder1_YH!V211="",AN210,coder1_YH!V211)</f>
        <v>0.85</v>
      </c>
      <c r="AO211" s="345">
        <f>IF(coder1_YH!W211="",AO210,coder1_YH!W211)</f>
        <v>0.25</v>
      </c>
      <c r="AP211" s="345">
        <f>IF(coder1_YH!X211="",AP210,coder1_YH!X211)</f>
        <v>0.5757575757575758</v>
      </c>
      <c r="AQ211" s="345">
        <f>IF(coder1_YH!Y211="",AQ210,coder1_YH!Y211)</f>
        <v>0.74</v>
      </c>
      <c r="AR211" t="str">
        <f>coder1_YH!AB211</f>
        <v>0 = Researcher-developed/adapted curriculum</v>
      </c>
      <c r="AS211" s="345" t="str">
        <f>IF(coder1_YH!AC211 = "", AS210,IF(coder1_YH!AC211="BAU","BAU",LEFT(coder1_YH!AC211)))</f>
        <v>1</v>
      </c>
      <c r="AT211" s="345" t="str">
        <f>IF(coder1_YH!AD211 = "", AT210,IF(coder1_YH!AD211="BAU","BAU",LEFT(coder1_YH!AD211)))</f>
        <v>1</v>
      </c>
      <c r="AU211" s="345" t="str">
        <f>IF(coder1_YH!AE211 = "", AU210,IF(coder1_YH!AE211="BAU","BAU",LEFT(coder1_YH!AE211)))</f>
        <v>0</v>
      </c>
      <c r="AV211" s="345">
        <f>IF(coder1_YH!AF211="",AV210,coder1_YH!AF211)</f>
        <v>525</v>
      </c>
      <c r="AW211" s="345">
        <f t="shared" si="77"/>
        <v>8.75</v>
      </c>
      <c r="AX211" s="345">
        <f>IF(coder1_YH!AG211="",AX210,coder1_YH!AG211)</f>
        <v>15</v>
      </c>
      <c r="AY211" s="345">
        <f>IF(coder1_YH!AH211="",AY210,coder1_YH!AH211)</f>
        <v>35</v>
      </c>
      <c r="AZ211" s="345" t="str">
        <f>IF(coder1_YH!AI211 = "", AZ210, IF(coder1_YH!AI211="BAU","BAU",LEFT(coder1_YH!AI211)))</f>
        <v>0</v>
      </c>
      <c r="BA211" s="384">
        <f>clean_data!Y211</f>
        <v>11</v>
      </c>
    </row>
    <row r="212" spans="1:53" x14ac:dyDescent="0.2">
      <c r="A212">
        <f>coder1_YH!B212</f>
        <v>0</v>
      </c>
      <c r="B212">
        <f>coder1_YH!C212</f>
        <v>212</v>
      </c>
      <c r="C212" t="b">
        <f>coder1_YH!D212</f>
        <v>1</v>
      </c>
      <c r="D212" t="b">
        <f>coder1_YH!E212</f>
        <v>1</v>
      </c>
      <c r="E212" t="b">
        <f>coder1_YH!F212</f>
        <v>1</v>
      </c>
      <c r="F212" s="321" t="str">
        <f>IF(coder1_YH!G212="", clean_mod!F211, coder1_YH!G212)</f>
        <v>van Rijk et al., 2017</v>
      </c>
      <c r="G212" s="321" t="str">
        <f t="shared" si="63"/>
        <v>138</v>
      </c>
      <c r="H212" s="321">
        <f>IF(coder1_YH!H212="", clean_mod!H211, coder1_YH!H212)</f>
        <v>138</v>
      </c>
      <c r="I212" s="404" t="str">
        <f t="shared" si="78"/>
        <v>2017</v>
      </c>
      <c r="J212" s="344" t="str">
        <f>IF(coder1_YH!I212="",J211,coder1_YH!I212)</f>
        <v>Netherlands</v>
      </c>
      <c r="K212" s="345">
        <f t="shared" si="64"/>
        <v>1</v>
      </c>
      <c r="L212" s="344" t="str">
        <f>IF(coder1_YH!J212 = "",L211, coder1_YH!J212)</f>
        <v>Dutch</v>
      </c>
      <c r="M212" s="345">
        <f t="shared" si="65"/>
        <v>1</v>
      </c>
      <c r="N212" s="345" t="str">
        <f>IF(coder1_YH!K212 = "", N211, LEFT(coder1_YH!K212,1))</f>
        <v>0</v>
      </c>
      <c r="O212" s="345" t="str">
        <f>IF(coder1_YH!L212 = "", O211, LEFT(coder1_YH!L212,1))</f>
        <v>0</v>
      </c>
      <c r="P212" s="345" t="str">
        <f>IF(coder1_YH!M212 = "", P211, LEFT(coder1_YH!M212,1))</f>
        <v>1</v>
      </c>
      <c r="Q212" s="321">
        <f>coder1_YH!P212</f>
        <v>1</v>
      </c>
      <c r="R212" s="321" t="str">
        <f>coder1_YH!Q212</f>
        <v>DE (Developmental Education) - CORI</v>
      </c>
      <c r="S212" s="323" t="str">
        <f t="shared" si="66"/>
        <v>N</v>
      </c>
      <c r="T212" s="323" t="str">
        <f t="shared" si="67"/>
        <v/>
      </c>
      <c r="U212" s="323" t="str">
        <f t="shared" si="68"/>
        <v/>
      </c>
      <c r="V212" s="323" t="str">
        <f t="shared" si="69"/>
        <v/>
      </c>
      <c r="W212" s="323">
        <f t="shared" si="70"/>
        <v>1</v>
      </c>
      <c r="X212" s="385" t="str">
        <f>IF(coder1_YH!N212 = "",X211,coder1_YH!N212)</f>
        <v>N</v>
      </c>
      <c r="Y212" s="385" t="str">
        <f>IF(coder1_YH!O212 = "",Y211,coder1_YH!O212)</f>
        <v xml:space="preserve">m </v>
      </c>
      <c r="Z212" s="385" t="str">
        <f t="shared" si="79"/>
        <v>M</v>
      </c>
      <c r="AA212" s="385" t="str">
        <f t="shared" si="60"/>
        <v>R</v>
      </c>
      <c r="AB212" s="385" t="str">
        <f t="shared" si="61"/>
        <v>MR</v>
      </c>
      <c r="AC212" s="323" t="str">
        <f t="shared" si="72"/>
        <v xml:space="preserve">Nm </v>
      </c>
      <c r="AD212" s="323" t="str">
        <f t="shared" si="73"/>
        <v>N_R</v>
      </c>
      <c r="AE212" s="323">
        <f>IF(Y212="cm", 1,0)</f>
        <v>0</v>
      </c>
      <c r="AF212" s="369" t="str">
        <f t="shared" si="74"/>
        <v xml:space="preserve">138-Nm </v>
      </c>
      <c r="AG212" s="369" t="str">
        <f t="shared" si="75"/>
        <v>138-N_R</v>
      </c>
      <c r="AH212" s="344">
        <f>IF(coder1_YH!R212="",AH211,coder1_YH!R212)</f>
        <v>4</v>
      </c>
      <c r="AI212" s="344">
        <f t="shared" si="62"/>
        <v>4</v>
      </c>
      <c r="AJ212" s="345">
        <f t="shared" si="76"/>
        <v>0</v>
      </c>
      <c r="AK212" s="408">
        <f>IF(coder1_YH!S212="",AK211,coder1_YH!S212)</f>
        <v>9.5</v>
      </c>
      <c r="AL212" s="345" t="str">
        <f>IF(coder1_YH!T212="",AL211,IF(coder1_YH!T212="mixed",0.25,coder1_YH!T212))</f>
        <v>NA</v>
      </c>
      <c r="AM212" s="345" t="str">
        <f>IF(coder1_YH!U212 = "", AM211, IF(coder1_YH!U212="mixed","NA",coder1_YH!U212))</f>
        <v>NA</v>
      </c>
      <c r="AN212" s="345">
        <f>IF(coder1_YH!V212="",AN211,coder1_YH!V212)</f>
        <v>7.3999999999999996E-2</v>
      </c>
      <c r="AO212" s="345">
        <f>IF(coder1_YH!W212="",AO211,coder1_YH!W212)</f>
        <v>5.3999999999999999E-2</v>
      </c>
      <c r="AP212" s="345">
        <f>IF(coder1_YH!X212="",AP211,coder1_YH!X212)</f>
        <v>0.46100000000000002</v>
      </c>
      <c r="AQ212" s="345">
        <f>IF(coder1_YH!Y212="",AQ211,coder1_YH!Y212)</f>
        <v>0.31399999999999995</v>
      </c>
      <c r="AR212" t="str">
        <f>coder1_YH!AB212</f>
        <v>0 = Researcher-developed/adapted curriculum</v>
      </c>
      <c r="AS212" s="345" t="str">
        <f>IF(coder1_YH!AC212 = "", AS211,IF(coder1_YH!AC212="BAU","BAU",LEFT(coder1_YH!AC212)))</f>
        <v>0</v>
      </c>
      <c r="AT212" s="345" t="str">
        <f>IF(coder1_YH!AD212 = "", AT211,IF(coder1_YH!AD212="BAU","BAU",LEFT(coder1_YH!AD212)))</f>
        <v>0</v>
      </c>
      <c r="AU212" s="345" t="str">
        <f>IF(coder1_YH!AE212 = "", AU211,IF(coder1_YH!AE212="BAU","BAU",LEFT(coder1_YH!AE212)))</f>
        <v>1</v>
      </c>
      <c r="AV212" s="345">
        <f>IF(coder1_YH!AF212="",AV211,coder1_YH!AF212)</f>
        <v>2880</v>
      </c>
      <c r="AW212" s="345">
        <f t="shared" si="77"/>
        <v>48</v>
      </c>
      <c r="AX212" s="345">
        <f>IF(coder1_YH!AG212="",AX211,coder1_YH!AG212)</f>
        <v>64</v>
      </c>
      <c r="AY212" s="345">
        <f>IF(coder1_YH!AH212="",AY211,coder1_YH!AH212)</f>
        <v>45</v>
      </c>
      <c r="AZ212" s="345" t="str">
        <f>IF(coder1_YH!AI212 = "", AZ211, IF(coder1_YH!AI212="BAU","BAU",LEFT(coder1_YH!AI212)))</f>
        <v>0</v>
      </c>
      <c r="BA212" s="384">
        <f>clean_data!Y212</f>
        <v>243</v>
      </c>
    </row>
    <row r="213" spans="1:53" x14ac:dyDescent="0.2">
      <c r="A213">
        <f>coder1_YH!B213</f>
        <v>0</v>
      </c>
      <c r="B213">
        <f>coder1_YH!C213</f>
        <v>213</v>
      </c>
      <c r="C213">
        <f>coder1_YH!D213</f>
        <v>0</v>
      </c>
      <c r="D213" t="str">
        <f>coder1_YH!E213</f>
        <v/>
      </c>
      <c r="E213" t="b">
        <f>coder1_YH!F213</f>
        <v>1</v>
      </c>
      <c r="F213" s="321" t="str">
        <f>IF(coder1_YH!G213="", clean_mod!F212, coder1_YH!G213)</f>
        <v>van Rijk et al., 2017</v>
      </c>
      <c r="G213" s="321" t="str">
        <f t="shared" si="63"/>
        <v>138</v>
      </c>
      <c r="H213" s="321">
        <f>IF(coder1_YH!H213="", clean_mod!H212, coder1_YH!H213)</f>
        <v>138</v>
      </c>
      <c r="I213" s="404" t="str">
        <f t="shared" si="78"/>
        <v>2017</v>
      </c>
      <c r="J213" s="344" t="str">
        <f>IF(coder1_YH!I213="",J212,coder1_YH!I213)</f>
        <v>Netherlands</v>
      </c>
      <c r="K213" s="345">
        <f t="shared" si="64"/>
        <v>1</v>
      </c>
      <c r="L213" s="344" t="str">
        <f>IF(coder1_YH!J213 = "",L212, coder1_YH!J213)</f>
        <v>Dutch</v>
      </c>
      <c r="M213" s="345">
        <f t="shared" si="65"/>
        <v>1</v>
      </c>
      <c r="N213" s="345" t="str">
        <f>IF(coder1_YH!K213 = "", N212, LEFT(coder1_YH!K213,1))</f>
        <v>0</v>
      </c>
      <c r="O213" s="345" t="str">
        <f>IF(coder1_YH!L213 = "", O212, LEFT(coder1_YH!L213,1))</f>
        <v>0</v>
      </c>
      <c r="P213" s="345" t="str">
        <f>IF(coder1_YH!M213 = "", P212, LEFT(coder1_YH!M213,1))</f>
        <v>1</v>
      </c>
      <c r="Q213" s="321" t="str">
        <f>coder1_YH!P213</f>
        <v>ctl</v>
      </c>
      <c r="R213" s="321" t="str">
        <f>coder1_YH!Q213</f>
        <v>PI (Programmatic Instruction)</v>
      </c>
      <c r="S213" s="323" t="str">
        <f t="shared" si="66"/>
        <v/>
      </c>
      <c r="T213" s="323" t="str">
        <f t="shared" si="67"/>
        <v/>
      </c>
      <c r="U213" s="323" t="str">
        <f t="shared" si="68"/>
        <v/>
      </c>
      <c r="V213" s="323" t="str">
        <f t="shared" si="69"/>
        <v/>
      </c>
      <c r="W213" s="323">
        <f t="shared" si="70"/>
        <v>0</v>
      </c>
      <c r="X213" s="385" t="str">
        <f>IF(coder1_YH!N213 = "",X212,coder1_YH!N213)</f>
        <v>.</v>
      </c>
      <c r="Y213" s="385" t="str">
        <f>IF(coder1_YH!O213 = "",Y212,coder1_YH!O213)</f>
        <v xml:space="preserve">m </v>
      </c>
      <c r="Z213" s="385" t="str">
        <f t="shared" si="79"/>
        <v/>
      </c>
      <c r="AA213" s="385" t="str">
        <f t="shared" si="60"/>
        <v>R</v>
      </c>
      <c r="AB213" s="385" t="str">
        <f t="shared" si="61"/>
        <v>R</v>
      </c>
      <c r="AC213" s="323" t="str">
        <f t="shared" si="72"/>
        <v xml:space="preserve">.m </v>
      </c>
      <c r="AD213" s="323" t="str">
        <f t="shared" si="73"/>
        <v>R</v>
      </c>
      <c r="AF213" s="369" t="str">
        <f t="shared" si="74"/>
        <v xml:space="preserve">138-.m </v>
      </c>
      <c r="AG213" s="369" t="str">
        <f t="shared" si="75"/>
        <v>138-R</v>
      </c>
      <c r="AH213" s="344">
        <f>IF(coder1_YH!R213="",AH212,coder1_YH!R213)</f>
        <v>4</v>
      </c>
      <c r="AI213" s="344">
        <f t="shared" si="62"/>
        <v>4</v>
      </c>
      <c r="AJ213" s="345">
        <f t="shared" si="76"/>
        <v>0</v>
      </c>
      <c r="AK213" s="408">
        <f>IF(coder1_YH!S213="",AK212,coder1_YH!S213)</f>
        <v>9.5</v>
      </c>
      <c r="AL213" s="345" t="str">
        <f>IF(coder1_YH!T213="",AL212,IF(coder1_YH!T213="mixed",0.25,coder1_YH!T213))</f>
        <v>NA</v>
      </c>
      <c r="AM213" s="345" t="str">
        <f>IF(coder1_YH!U213 = "", AM212, IF(coder1_YH!U213="mixed","NA",coder1_YH!U213))</f>
        <v>NA</v>
      </c>
      <c r="AN213" s="345">
        <f>IF(coder1_YH!V213="",AN212,coder1_YH!V213)</f>
        <v>5.8000000000000003E-2</v>
      </c>
      <c r="AO213" s="345">
        <f>IF(coder1_YH!W213="",AO212,coder1_YH!W213)</f>
        <v>1.9E-2</v>
      </c>
      <c r="AP213" s="345">
        <f>IF(coder1_YH!X213="",AP212,coder1_YH!X213)</f>
        <v>0.49399999999999999</v>
      </c>
      <c r="AQ213" s="345">
        <f>IF(coder1_YH!Y213="",AQ212,coder1_YH!Y213)</f>
        <v>0.253</v>
      </c>
      <c r="AR213" t="str">
        <f>coder1_YH!AB213</f>
        <v>2 = District/State curriculum</v>
      </c>
      <c r="AS213" s="345" t="str">
        <f>IF(coder1_YH!AC213 = "", AS212,IF(coder1_YH!AC213="BAU","BAU",LEFT(coder1_YH!AC213)))</f>
        <v>0</v>
      </c>
      <c r="AT213" s="345" t="str">
        <f>IF(coder1_YH!AD213 = "", AT212,IF(coder1_YH!AD213="BAU","BAU",LEFT(coder1_YH!AD213)))</f>
        <v>0</v>
      </c>
      <c r="AU213" s="345" t="str">
        <f>IF(coder1_YH!AE213 = "", AU212,IF(coder1_YH!AE213="BAU","BAU",LEFT(coder1_YH!AE213)))</f>
        <v>1</v>
      </c>
      <c r="AV213" s="345">
        <f>IF(coder1_YH!AF213="",AV212,coder1_YH!AF213)</f>
        <v>2880</v>
      </c>
      <c r="AW213" s="345">
        <f t="shared" si="77"/>
        <v>48</v>
      </c>
      <c r="AX213" s="345">
        <f>IF(coder1_YH!AG213="",AX212,coder1_YH!AG213)</f>
        <v>64</v>
      </c>
      <c r="AY213" s="345">
        <f>IF(coder1_YH!AH213="",AY212,coder1_YH!AH213)</f>
        <v>45</v>
      </c>
      <c r="AZ213" s="345" t="str">
        <f>IF(coder1_YH!AI213 = "", AZ212, IF(coder1_YH!AI213="BAU","BAU",LEFT(coder1_YH!AI213)))</f>
        <v>0</v>
      </c>
      <c r="BA213" s="384">
        <f>clean_data!Y213</f>
        <v>291</v>
      </c>
    </row>
    <row r="214" spans="1:53" x14ac:dyDescent="0.2">
      <c r="A214">
        <f>coder1_YH!B214</f>
        <v>0</v>
      </c>
      <c r="B214">
        <f>coder1_YH!C214</f>
        <v>214</v>
      </c>
      <c r="C214" t="b">
        <f>coder1_YH!D214</f>
        <v>1</v>
      </c>
      <c r="D214" t="b">
        <f>coder1_YH!E214</f>
        <v>1</v>
      </c>
      <c r="E214" t="b">
        <f>coder1_YH!F214</f>
        <v>1</v>
      </c>
      <c r="F214" s="321" t="str">
        <f>IF(coder1_YH!G214="", clean_mod!F213, coder1_YH!G214)</f>
        <v>McBreen &amp; Savage, 2022</v>
      </c>
      <c r="G214" s="321" t="str">
        <f t="shared" si="63"/>
        <v>139</v>
      </c>
      <c r="H214" s="321">
        <f>IF(coder1_YH!H214="", clean_mod!H213, coder1_YH!H214)</f>
        <v>139</v>
      </c>
      <c r="I214" s="404" t="str">
        <f t="shared" si="78"/>
        <v>2022</v>
      </c>
      <c r="J214" s="344" t="str">
        <f>IF(coder1_YH!I214="",J213,coder1_YH!I214)</f>
        <v>Canada</v>
      </c>
      <c r="K214" s="345">
        <f t="shared" si="64"/>
        <v>1</v>
      </c>
      <c r="L214" s="344" t="str">
        <f>IF(coder1_YH!J214 = "",L213, coder1_YH!J214)</f>
        <v>English</v>
      </c>
      <c r="M214" s="345">
        <f t="shared" si="65"/>
        <v>0</v>
      </c>
      <c r="N214" s="345" t="str">
        <f>IF(coder1_YH!K214 = "", N213, LEFT(coder1_YH!K214,1))</f>
        <v>0</v>
      </c>
      <c r="O214" s="345" t="str">
        <f>IF(coder1_YH!L214 = "", O213, LEFT(coder1_YH!L214,1))</f>
        <v>0</v>
      </c>
      <c r="P214" s="345" t="str">
        <f>IF(coder1_YH!M214 = "", P213, LEFT(coder1_YH!M214,1))</f>
        <v>0</v>
      </c>
      <c r="Q214" s="321">
        <f>coder1_YH!P214</f>
        <v>1</v>
      </c>
      <c r="R214" s="321" t="str">
        <f>coder1_YH!Q214</f>
        <v>Cognitive + Motivational</v>
      </c>
      <c r="S214" s="323" t="str">
        <f t="shared" si="66"/>
        <v>N</v>
      </c>
      <c r="T214" s="323" t="str">
        <f t="shared" si="67"/>
        <v/>
      </c>
      <c r="U214" s="323" t="str">
        <f t="shared" si="68"/>
        <v>G</v>
      </c>
      <c r="V214" s="323" t="str">
        <f t="shared" si="69"/>
        <v>T</v>
      </c>
      <c r="W214" s="323">
        <f t="shared" si="70"/>
        <v>3</v>
      </c>
      <c r="X214" s="385" t="str">
        <f>IF(coder1_YH!N214 = "",X213,coder1_YH!N214)</f>
        <v>NGT</v>
      </c>
      <c r="Y214" s="385" t="str">
        <f>IF(coder1_YH!O214 = "",Y213,coder1_YH!O214)</f>
        <v>cm</v>
      </c>
      <c r="Z214" s="385" t="str">
        <f t="shared" si="79"/>
        <v>M</v>
      </c>
      <c r="AA214" s="385" t="str">
        <f t="shared" si="60"/>
        <v>R</v>
      </c>
      <c r="AB214" s="385" t="str">
        <f t="shared" si="61"/>
        <v>MR</v>
      </c>
      <c r="AC214" s="323" t="str">
        <f t="shared" si="72"/>
        <v>NGTcm</v>
      </c>
      <c r="AD214" s="323" t="str">
        <f t="shared" si="73"/>
        <v>NGT_R</v>
      </c>
      <c r="AE214" s="323">
        <f>IF(Y214="cm", 1,0)</f>
        <v>1</v>
      </c>
      <c r="AF214" s="369" t="str">
        <f t="shared" si="74"/>
        <v>139-NGTcm</v>
      </c>
      <c r="AG214" s="369" t="str">
        <f t="shared" si="75"/>
        <v>139-NGT_R</v>
      </c>
      <c r="AH214" s="344">
        <f>IF(coder1_YH!R214="",AH213,coder1_YH!R214)</f>
        <v>3</v>
      </c>
      <c r="AI214" s="344">
        <f t="shared" si="62"/>
        <v>3</v>
      </c>
      <c r="AJ214" s="345">
        <f t="shared" si="76"/>
        <v>0</v>
      </c>
      <c r="AK214" s="408">
        <f>IF(coder1_YH!S214="",AK213,coder1_YH!S214)</f>
        <v>8.99</v>
      </c>
      <c r="AL214" s="345">
        <f>IF(coder1_YH!T214="",AL213,IF(coder1_YH!T214="mixed",0.25,coder1_YH!T214))</f>
        <v>1</v>
      </c>
      <c r="AM214" s="345">
        <f>IF(coder1_YH!U214 = "", AM213, IF(coder1_YH!U214="mixed","NA",coder1_YH!U214))</f>
        <v>0</v>
      </c>
      <c r="AN214" s="345">
        <f>IF(coder1_YH!V214="",AN213,coder1_YH!V214)</f>
        <v>0</v>
      </c>
      <c r="AO214" s="345">
        <f>IF(coder1_YH!W214="",AO213,coder1_YH!W214)</f>
        <v>0</v>
      </c>
      <c r="AP214" s="345">
        <f>IF(coder1_YH!X214="",AP213,coder1_YH!X214)</f>
        <v>0.64</v>
      </c>
      <c r="AQ214" s="345">
        <f>IF(coder1_YH!Y214="",AQ213,coder1_YH!Y214)</f>
        <v>0.43999999999999995</v>
      </c>
      <c r="AR214" t="str">
        <f>coder1_YH!AB214</f>
        <v>0 = Researcher-developed/adapted curriculum</v>
      </c>
      <c r="AS214" s="345" t="str">
        <f>IF(coder1_YH!AC214 = "", AS213,IF(coder1_YH!AC214="BAU","BAU",LEFT(coder1_YH!AC214)))</f>
        <v>0</v>
      </c>
      <c r="AT214" s="345" t="str">
        <f>IF(coder1_YH!AD214 = "", AT213,IF(coder1_YH!AD214="BAU","BAU",LEFT(coder1_YH!AD214)))</f>
        <v>1</v>
      </c>
      <c r="AU214" s="345" t="str">
        <f>IF(coder1_YH!AE214 = "", AU213,IF(coder1_YH!AE214="BAU","BAU",LEFT(coder1_YH!AE214)))</f>
        <v>0</v>
      </c>
      <c r="AV214" s="345">
        <f>IF(coder1_YH!AF214="",AV213,coder1_YH!AF214)</f>
        <v>900</v>
      </c>
      <c r="AW214" s="345">
        <f t="shared" si="77"/>
        <v>15</v>
      </c>
      <c r="AX214" s="345">
        <f>IF(coder1_YH!AG214="",AX213,coder1_YH!AG214)</f>
        <v>20</v>
      </c>
      <c r="AY214" s="345">
        <f>IF(coder1_YH!AH214="",AY213,coder1_YH!AH214)</f>
        <v>45</v>
      </c>
      <c r="AZ214" s="345" t="str">
        <f>IF(coder1_YH!AI214 = "", AZ213, IF(coder1_YH!AI214="BAU","BAU",LEFT(coder1_YH!AI214)))</f>
        <v>1</v>
      </c>
      <c r="BA214" s="384">
        <f>clean_data!Y214</f>
        <v>14</v>
      </c>
    </row>
    <row r="215" spans="1:53" x14ac:dyDescent="0.2">
      <c r="A215">
        <f>coder1_YH!B215</f>
        <v>0</v>
      </c>
      <c r="B215">
        <f>coder1_YH!C215</f>
        <v>215</v>
      </c>
      <c r="C215">
        <f>coder1_YH!D215</f>
        <v>0</v>
      </c>
      <c r="D215" t="str">
        <f>coder1_YH!E215</f>
        <v/>
      </c>
      <c r="E215" t="b">
        <f>coder1_YH!F215</f>
        <v>1</v>
      </c>
      <c r="F215" s="321" t="str">
        <f>IF(coder1_YH!G215="", clean_mod!F214, coder1_YH!G215)</f>
        <v>McBreen &amp; Savage, 2022</v>
      </c>
      <c r="G215" s="321" t="str">
        <f t="shared" si="63"/>
        <v>139</v>
      </c>
      <c r="H215" s="321">
        <f>IF(coder1_YH!H215="", clean_mod!H214, coder1_YH!H215)</f>
        <v>139</v>
      </c>
      <c r="I215" s="404" t="str">
        <f t="shared" si="78"/>
        <v>2022</v>
      </c>
      <c r="J215" s="344" t="str">
        <f>IF(coder1_YH!I215="",J214,coder1_YH!I215)</f>
        <v>Canada</v>
      </c>
      <c r="K215" s="345">
        <f t="shared" si="64"/>
        <v>1</v>
      </c>
      <c r="L215" s="344" t="str">
        <f>IF(coder1_YH!J215 = "",L214, coder1_YH!J215)</f>
        <v>English</v>
      </c>
      <c r="M215" s="345">
        <f t="shared" si="65"/>
        <v>0</v>
      </c>
      <c r="N215" s="345" t="str">
        <f>IF(coder1_YH!K215 = "", N214, LEFT(coder1_YH!K215,1))</f>
        <v>0</v>
      </c>
      <c r="O215" s="345" t="str">
        <f>IF(coder1_YH!L215 = "", O214, LEFT(coder1_YH!L215,1))</f>
        <v>0</v>
      </c>
      <c r="P215" s="345" t="str">
        <f>IF(coder1_YH!M215 = "", P214, LEFT(coder1_YH!M215,1))</f>
        <v>0</v>
      </c>
      <c r="Q215" s="321" t="str">
        <f>coder1_YH!P215</f>
        <v>ctl</v>
      </c>
      <c r="R215" s="321" t="str">
        <f>coder1_YH!Q215</f>
        <v>Cognitive-Only</v>
      </c>
      <c r="S215" s="323" t="str">
        <f t="shared" si="66"/>
        <v/>
      </c>
      <c r="T215" s="323" t="str">
        <f t="shared" si="67"/>
        <v/>
      </c>
      <c r="U215" s="323" t="str">
        <f t="shared" si="68"/>
        <v/>
      </c>
      <c r="V215" s="323" t="str">
        <f t="shared" si="69"/>
        <v/>
      </c>
      <c r="W215" s="323">
        <f t="shared" si="70"/>
        <v>0</v>
      </c>
      <c r="X215" s="385" t="str">
        <f>IF(coder1_YH!N215 = "",X214,coder1_YH!N215)</f>
        <v>.</v>
      </c>
      <c r="Y215" s="385" t="str">
        <f>IF(coder1_YH!O215 = "",Y214,coder1_YH!O215)</f>
        <v>cm</v>
      </c>
      <c r="Z215" s="385" t="str">
        <f t="shared" si="79"/>
        <v/>
      </c>
      <c r="AA215" s="385" t="str">
        <f t="shared" si="60"/>
        <v>R</v>
      </c>
      <c r="AB215" s="385" t="str">
        <f t="shared" si="61"/>
        <v>R</v>
      </c>
      <c r="AC215" s="323" t="str">
        <f t="shared" si="72"/>
        <v>.cm</v>
      </c>
      <c r="AD215" s="323" t="str">
        <f t="shared" si="73"/>
        <v>R</v>
      </c>
      <c r="AF215" s="369" t="str">
        <f t="shared" si="74"/>
        <v>139-.cm</v>
      </c>
      <c r="AG215" s="369" t="str">
        <f t="shared" si="75"/>
        <v>139-R</v>
      </c>
      <c r="AH215" s="344">
        <f>IF(coder1_YH!R215="",AH214,coder1_YH!R215)</f>
        <v>3</v>
      </c>
      <c r="AI215" s="344">
        <f t="shared" si="62"/>
        <v>3</v>
      </c>
      <c r="AJ215" s="345">
        <f t="shared" si="76"/>
        <v>0</v>
      </c>
      <c r="AK215" s="408">
        <f>IF(coder1_YH!S215="",AK214,coder1_YH!S215)</f>
        <v>8.99</v>
      </c>
      <c r="AL215" s="345">
        <f>IF(coder1_YH!T215="",AL214,IF(coder1_YH!T215="mixed",0.25,coder1_YH!T215))</f>
        <v>1</v>
      </c>
      <c r="AM215" s="345">
        <f>IF(coder1_YH!U215 = "", AM214, IF(coder1_YH!U215="mixed","NA",coder1_YH!U215))</f>
        <v>0</v>
      </c>
      <c r="AN215" s="345">
        <f>IF(coder1_YH!V215="",AN214,coder1_YH!V215)</f>
        <v>0</v>
      </c>
      <c r="AO215" s="345">
        <f>IF(coder1_YH!W215="",AO214,coder1_YH!W215)</f>
        <v>0</v>
      </c>
      <c r="AP215" s="345">
        <f>IF(coder1_YH!X215="",AP214,coder1_YH!X215)</f>
        <v>0.64</v>
      </c>
      <c r="AQ215" s="345">
        <f>IF(coder1_YH!Y215="",AQ214,coder1_YH!Y215)</f>
        <v>0.43999999999999995</v>
      </c>
      <c r="AR215" t="str">
        <f>coder1_YH!AB215</f>
        <v>0 = Researcher-developed/adapted curriculum</v>
      </c>
      <c r="AS215" s="345" t="str">
        <f>IF(coder1_YH!AC215 = "", AS214,IF(coder1_YH!AC215="BAU","BAU",LEFT(coder1_YH!AC215)))</f>
        <v>0</v>
      </c>
      <c r="AT215" s="345" t="str">
        <f>IF(coder1_YH!AD215 = "", AT214,IF(coder1_YH!AD215="BAU","BAU",LEFT(coder1_YH!AD215)))</f>
        <v>1</v>
      </c>
      <c r="AU215" s="345" t="str">
        <f>IF(coder1_YH!AE215 = "", AU214,IF(coder1_YH!AE215="BAU","BAU",LEFT(coder1_YH!AE215)))</f>
        <v>0</v>
      </c>
      <c r="AV215" s="345">
        <f>IF(coder1_YH!AF215="",AV214,coder1_YH!AF215)</f>
        <v>900</v>
      </c>
      <c r="AW215" s="345">
        <f t="shared" si="77"/>
        <v>15</v>
      </c>
      <c r="AX215" s="345">
        <f>IF(coder1_YH!AG215="",AX214,coder1_YH!AG215)</f>
        <v>20</v>
      </c>
      <c r="AY215" s="345">
        <f>IF(coder1_YH!AH215="",AY214,coder1_YH!AH215)</f>
        <v>45</v>
      </c>
      <c r="AZ215" s="345" t="str">
        <f>IF(coder1_YH!AI215 = "", AZ214, IF(coder1_YH!AI215="BAU","BAU",LEFT(coder1_YH!AI215)))</f>
        <v>1</v>
      </c>
      <c r="BA215" s="384">
        <f>clean_data!Y215</f>
        <v>11</v>
      </c>
    </row>
    <row r="216" spans="1:53" x14ac:dyDescent="0.2">
      <c r="A216">
        <f>coder1_YH!B216</f>
        <v>0</v>
      </c>
      <c r="B216">
        <f>coder1_YH!C216</f>
        <v>216</v>
      </c>
      <c r="C216" t="b">
        <f>coder1_YH!D216</f>
        <v>1</v>
      </c>
      <c r="D216" t="b">
        <f>coder1_YH!E216</f>
        <v>1</v>
      </c>
      <c r="E216" t="b">
        <f>coder1_YH!F216</f>
        <v>1</v>
      </c>
      <c r="F216" s="321" t="str">
        <f>IF(coder1_YH!G216="", clean_mod!F215, coder1_YH!G216)</f>
        <v>Alhaidari, 2006</v>
      </c>
      <c r="G216" s="321" t="str">
        <f t="shared" si="63"/>
        <v>140</v>
      </c>
      <c r="H216" s="321">
        <f>IF(coder1_YH!H216="", clean_mod!H215, coder1_YH!H216)</f>
        <v>140.1</v>
      </c>
      <c r="I216" s="404" t="str">
        <f t="shared" si="78"/>
        <v>2006</v>
      </c>
      <c r="J216" s="344" t="str">
        <f>IF(coder1_YH!I216="",J215,coder1_YH!I216)</f>
        <v>USA</v>
      </c>
      <c r="K216" s="345">
        <f t="shared" si="64"/>
        <v>0</v>
      </c>
      <c r="L216" s="344" t="str">
        <f>IF(coder1_YH!J216 = "",L215, coder1_YH!J216)</f>
        <v>English</v>
      </c>
      <c r="M216" s="345">
        <f t="shared" si="65"/>
        <v>0</v>
      </c>
      <c r="N216" s="345" t="str">
        <f>IF(coder1_YH!K216 = "", N215, LEFT(coder1_YH!K216,1))</f>
        <v>0</v>
      </c>
      <c r="O216" s="345" t="str">
        <f>IF(coder1_YH!L216 = "", O215, LEFT(coder1_YH!L216,1))</f>
        <v>1</v>
      </c>
      <c r="P216" s="345" t="str">
        <f>IF(coder1_YH!M216 = "", P215, LEFT(coder1_YH!M216,1))</f>
        <v>1</v>
      </c>
      <c r="Q216" s="321">
        <f>coder1_YH!P216</f>
        <v>1</v>
      </c>
      <c r="R216" s="321" t="str">
        <f>coder1_YH!Q216</f>
        <v>Experimental (coopeative learning)</v>
      </c>
      <c r="S216" s="323" t="str">
        <f t="shared" si="66"/>
        <v>N</v>
      </c>
      <c r="T216" s="323" t="str">
        <f t="shared" si="67"/>
        <v/>
      </c>
      <c r="U216" s="323" t="str">
        <f t="shared" si="68"/>
        <v/>
      </c>
      <c r="V216" s="323" t="str">
        <f t="shared" si="69"/>
        <v/>
      </c>
      <c r="W216" s="323">
        <f t="shared" si="70"/>
        <v>1</v>
      </c>
      <c r="X216" s="385" t="str">
        <f>IF(coder1_YH!N216 = "",X215,coder1_YH!N216)</f>
        <v>N</v>
      </c>
      <c r="Y216" s="385" t="str">
        <f>IF(coder1_YH!O216 = "",Y215,coder1_YH!O216)</f>
        <v>cm</v>
      </c>
      <c r="Z216" s="385" t="str">
        <f t="shared" si="79"/>
        <v>M</v>
      </c>
      <c r="AA216" s="385" t="str">
        <f t="shared" si="60"/>
        <v>R</v>
      </c>
      <c r="AB216" s="385" t="str">
        <f t="shared" si="61"/>
        <v>MR</v>
      </c>
      <c r="AC216" s="323" t="str">
        <f t="shared" si="72"/>
        <v>Ncm</v>
      </c>
      <c r="AD216" s="323" t="str">
        <f t="shared" si="73"/>
        <v>N_R</v>
      </c>
      <c r="AE216" s="323">
        <f>IF(Y216="cm", 1,0)</f>
        <v>1</v>
      </c>
      <c r="AF216" s="369" t="str">
        <f t="shared" si="74"/>
        <v>140.1-Ncm</v>
      </c>
      <c r="AG216" s="369" t="str">
        <f t="shared" si="75"/>
        <v>140.1-N_R</v>
      </c>
      <c r="AH216" s="344">
        <f>IF(coder1_YH!R216="",AH215,coder1_YH!R216)</f>
        <v>4</v>
      </c>
      <c r="AI216" s="344">
        <f t="shared" si="62"/>
        <v>4</v>
      </c>
      <c r="AJ216" s="345">
        <f t="shared" si="76"/>
        <v>0</v>
      </c>
      <c r="AK216" s="408">
        <f>IF(coder1_YH!S216="",AK215,coder1_YH!S216)</f>
        <v>9.5</v>
      </c>
      <c r="AL216" s="345" t="str">
        <f>IF(coder1_YH!T216="",AL215,IF(coder1_YH!T216="mixed",0.25,coder1_YH!T216))</f>
        <v>NA</v>
      </c>
      <c r="AM216" s="345" t="str">
        <f>IF(coder1_YH!U216 = "", AM215, IF(coder1_YH!U216="mixed","NA",coder1_YH!U216))</f>
        <v>NA</v>
      </c>
      <c r="AN216" s="345" t="str">
        <f>IF(coder1_YH!V216="",AN215,coder1_YH!V216)</f>
        <v>NA</v>
      </c>
      <c r="AO216" s="345">
        <f>IF(coder1_YH!W216="",AO215,coder1_YH!W216)</f>
        <v>1</v>
      </c>
      <c r="AP216" s="345">
        <f>IF(coder1_YH!X216="",AP215,coder1_YH!X216)</f>
        <v>1</v>
      </c>
      <c r="AQ216" s="345">
        <f>IF(coder1_YH!Y216="",AQ215,coder1_YH!Y216)</f>
        <v>1</v>
      </c>
      <c r="AR216" t="str">
        <f>coder1_YH!AB216</f>
        <v>0 = Researcher-developed/adapted curriculum</v>
      </c>
      <c r="AS216" s="345" t="str">
        <f>IF(coder1_YH!AC216 = "", AS215,IF(coder1_YH!AC216="BAU","BAU",LEFT(coder1_YH!AC216)))</f>
        <v>0</v>
      </c>
      <c r="AT216" s="345" t="str">
        <f>IF(coder1_YH!AD216 = "", AT215,IF(coder1_YH!AD216="BAU","BAU",LEFT(coder1_YH!AD216)))</f>
        <v>0</v>
      </c>
      <c r="AU216" s="345" t="str">
        <f>IF(coder1_YH!AE216 = "", AU215,IF(coder1_YH!AE216="BAU","BAU",LEFT(coder1_YH!AE216)))</f>
        <v>1</v>
      </c>
      <c r="AV216" s="345">
        <f>IF(coder1_YH!AF216="",AV215,coder1_YH!AF216)</f>
        <v>1080</v>
      </c>
      <c r="AW216" s="345">
        <f t="shared" si="77"/>
        <v>18</v>
      </c>
      <c r="AX216" s="345">
        <f>IF(coder1_YH!AG216="",AX215,coder1_YH!AG216)</f>
        <v>24</v>
      </c>
      <c r="AY216" s="345">
        <f>IF(coder1_YH!AH216="",AY215,coder1_YH!AH216)</f>
        <v>45</v>
      </c>
      <c r="AZ216" s="345" t="str">
        <f>IF(coder1_YH!AI216 = "", AZ215, IF(coder1_YH!AI216="BAU","BAU",LEFT(coder1_YH!AI216)))</f>
        <v>0</v>
      </c>
      <c r="BA216" s="384">
        <f>clean_data!Y216</f>
        <v>17</v>
      </c>
    </row>
    <row r="217" spans="1:53" x14ac:dyDescent="0.2">
      <c r="A217">
        <f>coder1_YH!B217</f>
        <v>0</v>
      </c>
      <c r="B217">
        <f>coder1_YH!C217</f>
        <v>217</v>
      </c>
      <c r="C217">
        <f>coder1_YH!D217</f>
        <v>0</v>
      </c>
      <c r="D217" t="str">
        <f>coder1_YH!E217</f>
        <v/>
      </c>
      <c r="E217" t="b">
        <f>coder1_YH!F217</f>
        <v>1</v>
      </c>
      <c r="F217" s="321" t="str">
        <f>IF(coder1_YH!G217="", clean_mod!F216, coder1_YH!G217)</f>
        <v>Alhaidari, 2006</v>
      </c>
      <c r="G217" s="321" t="str">
        <f t="shared" si="63"/>
        <v>140</v>
      </c>
      <c r="H217" s="321">
        <f>IF(coder1_YH!H217="", clean_mod!H216, coder1_YH!H217)</f>
        <v>140.1</v>
      </c>
      <c r="I217" s="404" t="str">
        <f t="shared" si="78"/>
        <v>2006</v>
      </c>
      <c r="J217" s="344" t="str">
        <f>IF(coder1_YH!I217="",J216,coder1_YH!I217)</f>
        <v>USA</v>
      </c>
      <c r="K217" s="345">
        <f t="shared" si="64"/>
        <v>0</v>
      </c>
      <c r="L217" s="344" t="str">
        <f>IF(coder1_YH!J217 = "",L216, coder1_YH!J217)</f>
        <v>English</v>
      </c>
      <c r="M217" s="345">
        <f t="shared" si="65"/>
        <v>0</v>
      </c>
      <c r="N217" s="345" t="str">
        <f>IF(coder1_YH!K217 = "", N216, LEFT(coder1_YH!K217,1))</f>
        <v>0</v>
      </c>
      <c r="O217" s="345" t="str">
        <f>IF(coder1_YH!L217 = "", O216, LEFT(coder1_YH!L217,1))</f>
        <v>1</v>
      </c>
      <c r="P217" s="345" t="str">
        <f>IF(coder1_YH!M217 = "", P216, LEFT(coder1_YH!M217,1))</f>
        <v>1</v>
      </c>
      <c r="Q217" s="321" t="str">
        <f>coder1_YH!P217</f>
        <v>ctl</v>
      </c>
      <c r="R217" s="321" t="str">
        <f>coder1_YH!Q217</f>
        <v>Comparison</v>
      </c>
      <c r="S217" s="323" t="str">
        <f t="shared" si="66"/>
        <v/>
      </c>
      <c r="T217" s="323" t="str">
        <f t="shared" si="67"/>
        <v/>
      </c>
      <c r="U217" s="323" t="str">
        <f t="shared" si="68"/>
        <v/>
      </c>
      <c r="V217" s="323" t="str">
        <f t="shared" si="69"/>
        <v/>
      </c>
      <c r="W217" s="323">
        <f t="shared" si="70"/>
        <v>0</v>
      </c>
      <c r="X217" s="385" t="str">
        <f>IF(coder1_YH!N217 = "",X216,coder1_YH!N217)</f>
        <v>.</v>
      </c>
      <c r="Y217" s="385" t="str">
        <f>IF(coder1_YH!O217 = "",Y216,coder1_YH!O217)</f>
        <v>.</v>
      </c>
      <c r="Z217" s="385" t="str">
        <f t="shared" si="79"/>
        <v/>
      </c>
      <c r="AA217" s="385" t="str">
        <f t="shared" si="60"/>
        <v>BAU</v>
      </c>
      <c r="AB217" s="385" t="str">
        <f t="shared" si="61"/>
        <v>BAU</v>
      </c>
      <c r="AC217" s="323" t="str">
        <f t="shared" si="72"/>
        <v>..</v>
      </c>
      <c r="AD217" s="323" t="str">
        <f t="shared" si="73"/>
        <v>BAU</v>
      </c>
      <c r="AF217" s="369" t="str">
        <f t="shared" si="74"/>
        <v>140.1-..</v>
      </c>
      <c r="AG217" s="369" t="str">
        <f t="shared" si="75"/>
        <v>140.1-BAU</v>
      </c>
      <c r="AH217" s="344">
        <f>IF(coder1_YH!R217="",AH216,coder1_YH!R217)</f>
        <v>4</v>
      </c>
      <c r="AI217" s="344">
        <f t="shared" si="62"/>
        <v>4</v>
      </c>
      <c r="AJ217" s="345">
        <f t="shared" si="76"/>
        <v>0</v>
      </c>
      <c r="AK217" s="408">
        <f>IF(coder1_YH!S217="",AK216,coder1_YH!S217)</f>
        <v>9.5</v>
      </c>
      <c r="AL217" s="345" t="str">
        <f>IF(coder1_YH!T217="",AL216,IF(coder1_YH!T217="mixed",0.25,coder1_YH!T217))</f>
        <v>NA</v>
      </c>
      <c r="AM217" s="345" t="str">
        <f>IF(coder1_YH!U217 = "", AM216, IF(coder1_YH!U217="mixed","NA",coder1_YH!U217))</f>
        <v>NA</v>
      </c>
      <c r="AN217" s="345" t="str">
        <f>IF(coder1_YH!V217="",AN216,coder1_YH!V217)</f>
        <v>NA</v>
      </c>
      <c r="AO217" s="345">
        <f>IF(coder1_YH!W217="",AO216,coder1_YH!W217)</f>
        <v>1</v>
      </c>
      <c r="AP217" s="345">
        <f>IF(coder1_YH!X217="",AP216,coder1_YH!X217)</f>
        <v>1</v>
      </c>
      <c r="AQ217" s="345">
        <f>IF(coder1_YH!Y217="",AQ216,coder1_YH!Y217)</f>
        <v>1</v>
      </c>
      <c r="AR217" t="str">
        <f>coder1_YH!AB217</f>
        <v>2 = District/State curriculum</v>
      </c>
      <c r="AS217" s="345" t="str">
        <f>IF(coder1_YH!AC217 = "", AS216,IF(coder1_YH!AC217="BAU","BAU",LEFT(coder1_YH!AC217)))</f>
        <v>0</v>
      </c>
      <c r="AT217" s="345" t="str">
        <f>IF(coder1_YH!AD217 = "", AT216,IF(coder1_YH!AD217="BAU","BAU",LEFT(coder1_YH!AD217)))</f>
        <v>0</v>
      </c>
      <c r="AU217" s="345" t="str">
        <f>IF(coder1_YH!AE217 = "", AU216,IF(coder1_YH!AE217="BAU","BAU",LEFT(coder1_YH!AE217)))</f>
        <v>1</v>
      </c>
      <c r="AV217" s="345">
        <f>IF(coder1_YH!AF217="",AV216,coder1_YH!AF217)</f>
        <v>1080</v>
      </c>
      <c r="AW217" s="345">
        <f t="shared" si="77"/>
        <v>18</v>
      </c>
      <c r="AX217" s="345">
        <f>IF(coder1_YH!AG217="",AX216,coder1_YH!AG217)</f>
        <v>24</v>
      </c>
      <c r="AY217" s="345">
        <f>IF(coder1_YH!AH217="",AY216,coder1_YH!AH217)</f>
        <v>45</v>
      </c>
      <c r="AZ217" s="345" t="str">
        <f>IF(coder1_YH!AI217 = "", AZ216, IF(coder1_YH!AI217="BAU","BAU",LEFT(coder1_YH!AI217)))</f>
        <v>0</v>
      </c>
      <c r="BA217" s="384">
        <f>clean_data!Y217</f>
        <v>14</v>
      </c>
    </row>
    <row r="218" spans="1:53" x14ac:dyDescent="0.2">
      <c r="A218">
        <f>coder1_YH!B218</f>
        <v>0</v>
      </c>
      <c r="B218">
        <f>coder1_YH!C218</f>
        <v>218</v>
      </c>
      <c r="C218">
        <f>coder1_YH!D218</f>
        <v>0</v>
      </c>
      <c r="D218" t="b">
        <f>coder1_YH!E218</f>
        <v>1</v>
      </c>
      <c r="E218" t="b">
        <f>coder1_YH!F218</f>
        <v>1</v>
      </c>
      <c r="F218" s="321" t="str">
        <f>IF(coder1_YH!G218="", clean_mod!F217, coder1_YH!G218)</f>
        <v>Alhaidari, 2006</v>
      </c>
      <c r="G218" s="321" t="str">
        <f t="shared" si="63"/>
        <v>140</v>
      </c>
      <c r="H218" s="321">
        <f>IF(coder1_YH!H218="", clean_mod!H217, coder1_YH!H218)</f>
        <v>140.19999999999999</v>
      </c>
      <c r="I218" s="404" t="str">
        <f t="shared" si="78"/>
        <v>2006</v>
      </c>
      <c r="J218" s="344" t="str">
        <f>IF(coder1_YH!I218="",J217,coder1_YH!I218)</f>
        <v>USA</v>
      </c>
      <c r="K218" s="345">
        <f t="shared" si="64"/>
        <v>0</v>
      </c>
      <c r="L218" s="344" t="str">
        <f>IF(coder1_YH!J218 = "",L217, coder1_YH!J218)</f>
        <v>English</v>
      </c>
      <c r="M218" s="345">
        <f t="shared" si="65"/>
        <v>0</v>
      </c>
      <c r="N218" s="345" t="str">
        <f>IF(coder1_YH!K218 = "", N217, LEFT(coder1_YH!K218,1))</f>
        <v>0</v>
      </c>
      <c r="O218" s="345" t="str">
        <f>IF(coder1_YH!L218 = "", O217, LEFT(coder1_YH!L218,1))</f>
        <v>1</v>
      </c>
      <c r="P218" s="345" t="str">
        <f>IF(coder1_YH!M218 = "", P217, LEFT(coder1_YH!M218,1))</f>
        <v>1</v>
      </c>
      <c r="Q218" s="321">
        <f>coder1_YH!P218</f>
        <v>1</v>
      </c>
      <c r="R218" s="321" t="str">
        <f>coder1_YH!Q218</f>
        <v>Experimental (coopeative learning)</v>
      </c>
      <c r="S218" s="323" t="str">
        <f t="shared" si="66"/>
        <v>N</v>
      </c>
      <c r="T218" s="323" t="str">
        <f t="shared" si="67"/>
        <v/>
      </c>
      <c r="U218" s="323" t="str">
        <f t="shared" si="68"/>
        <v/>
      </c>
      <c r="V218" s="323" t="str">
        <f t="shared" si="69"/>
        <v/>
      </c>
      <c r="W218" s="323">
        <f t="shared" si="70"/>
        <v>1</v>
      </c>
      <c r="X218" s="385" t="str">
        <f>IF(coder1_YH!N218 = "",X217,coder1_YH!N218)</f>
        <v>N</v>
      </c>
      <c r="Y218" s="385" t="str">
        <f>IF(coder1_YH!O218 = "",Y217,coder1_YH!O218)</f>
        <v>cm</v>
      </c>
      <c r="Z218" s="385" t="str">
        <f t="shared" si="79"/>
        <v>M</v>
      </c>
      <c r="AA218" s="385" t="str">
        <f t="shared" si="60"/>
        <v>R</v>
      </c>
      <c r="AB218" s="385" t="str">
        <f t="shared" si="61"/>
        <v>MR</v>
      </c>
      <c r="AC218" s="323" t="str">
        <f t="shared" si="72"/>
        <v>Ncm</v>
      </c>
      <c r="AD218" s="323" t="str">
        <f t="shared" si="73"/>
        <v>N_R</v>
      </c>
      <c r="AE218" s="323">
        <f>IF(Y218="cm", 1,0)</f>
        <v>1</v>
      </c>
      <c r="AF218" s="369" t="str">
        <f t="shared" si="74"/>
        <v>140.2-Ncm</v>
      </c>
      <c r="AG218" s="369" t="str">
        <f t="shared" si="75"/>
        <v>140.2-N_R</v>
      </c>
      <c r="AH218" s="344">
        <f>IF(coder1_YH!R218="",AH217,coder1_YH!R218)</f>
        <v>5</v>
      </c>
      <c r="AI218" s="344">
        <f t="shared" si="62"/>
        <v>5</v>
      </c>
      <c r="AJ218" s="345">
        <f t="shared" si="76"/>
        <v>0</v>
      </c>
      <c r="AK218" s="408">
        <f>IF(coder1_YH!S218="",AK217,coder1_YH!S218)</f>
        <v>10.5</v>
      </c>
      <c r="AL218" s="345" t="str">
        <f>IF(coder1_YH!T218="",AL217,IF(coder1_YH!T218="mixed",0.25,coder1_YH!T218))</f>
        <v>NA</v>
      </c>
      <c r="AM218" s="345" t="str">
        <f>IF(coder1_YH!U218 = "", AM217, IF(coder1_YH!U218="mixed","NA",coder1_YH!U218))</f>
        <v>NA</v>
      </c>
      <c r="AN218" s="345" t="str">
        <f>IF(coder1_YH!V218="",AN217,coder1_YH!V218)</f>
        <v>NA</v>
      </c>
      <c r="AO218" s="345">
        <f>IF(coder1_YH!W218="",AO217,coder1_YH!W218)</f>
        <v>1</v>
      </c>
      <c r="AP218" s="345">
        <f>IF(coder1_YH!X218="",AP217,coder1_YH!X218)</f>
        <v>1</v>
      </c>
      <c r="AQ218" s="345">
        <f>IF(coder1_YH!Y218="",AQ217,coder1_YH!Y218)</f>
        <v>1</v>
      </c>
      <c r="AR218" t="str">
        <f>coder1_YH!AB218</f>
        <v>0 = Researcher-developed/adapted curriculum</v>
      </c>
      <c r="AS218" s="345" t="str">
        <f>IF(coder1_YH!AC218 = "", AS217,IF(coder1_YH!AC218="BAU","BAU",LEFT(coder1_YH!AC218)))</f>
        <v>0</v>
      </c>
      <c r="AT218" s="345" t="str">
        <f>IF(coder1_YH!AD218 = "", AT217,IF(coder1_YH!AD218="BAU","BAU",LEFT(coder1_YH!AD218)))</f>
        <v>0</v>
      </c>
      <c r="AU218" s="345" t="str">
        <f>IF(coder1_YH!AE218 = "", AU217,IF(coder1_YH!AE218="BAU","BAU",LEFT(coder1_YH!AE218)))</f>
        <v>1</v>
      </c>
      <c r="AV218" s="345">
        <f>IF(coder1_YH!AF218="",AV217,coder1_YH!AF218)</f>
        <v>1080</v>
      </c>
      <c r="AW218" s="345">
        <f t="shared" si="77"/>
        <v>18</v>
      </c>
      <c r="AX218" s="345">
        <f>IF(coder1_YH!AG218="",AX217,coder1_YH!AG218)</f>
        <v>24</v>
      </c>
      <c r="AY218" s="345">
        <f>IF(coder1_YH!AH218="",AY217,coder1_YH!AH218)</f>
        <v>45</v>
      </c>
      <c r="AZ218" s="345" t="str">
        <f>IF(coder1_YH!AI218 = "", AZ217, IF(coder1_YH!AI218="BAU","BAU",LEFT(coder1_YH!AI218)))</f>
        <v>0</v>
      </c>
      <c r="BA218" s="384">
        <f>clean_data!Y218</f>
        <v>12</v>
      </c>
    </row>
    <row r="219" spans="1:53" x14ac:dyDescent="0.2">
      <c r="A219">
        <f>coder1_YH!B219</f>
        <v>0</v>
      </c>
      <c r="B219">
        <f>coder1_YH!C219</f>
        <v>219</v>
      </c>
      <c r="C219">
        <f>coder1_YH!D219</f>
        <v>0</v>
      </c>
      <c r="D219" t="str">
        <f>coder1_YH!E219</f>
        <v/>
      </c>
      <c r="E219" t="b">
        <f>coder1_YH!F219</f>
        <v>1</v>
      </c>
      <c r="F219" s="321" t="str">
        <f>IF(coder1_YH!G219="", clean_mod!F218, coder1_YH!G219)</f>
        <v>Alhaidari, 2006</v>
      </c>
      <c r="G219" s="321" t="str">
        <f t="shared" si="63"/>
        <v>140</v>
      </c>
      <c r="H219" s="321">
        <f>IF(coder1_YH!H219="", clean_mod!H218, coder1_YH!H219)</f>
        <v>140.19999999999999</v>
      </c>
      <c r="I219" s="404" t="str">
        <f t="shared" si="78"/>
        <v>2006</v>
      </c>
      <c r="J219" s="344" t="str">
        <f>IF(coder1_YH!I219="",J218,coder1_YH!I219)</f>
        <v>USA</v>
      </c>
      <c r="K219" s="345">
        <f t="shared" si="64"/>
        <v>0</v>
      </c>
      <c r="L219" s="344" t="str">
        <f>IF(coder1_YH!J219 = "",L218, coder1_YH!J219)</f>
        <v>English</v>
      </c>
      <c r="M219" s="345">
        <f t="shared" si="65"/>
        <v>0</v>
      </c>
      <c r="N219" s="345" t="str">
        <f>IF(coder1_YH!K219 = "", N218, LEFT(coder1_YH!K219,1))</f>
        <v>0</v>
      </c>
      <c r="O219" s="345" t="str">
        <f>IF(coder1_YH!L219 = "", O218, LEFT(coder1_YH!L219,1))</f>
        <v>1</v>
      </c>
      <c r="P219" s="345" t="str">
        <f>IF(coder1_YH!M219 = "", P218, LEFT(coder1_YH!M219,1))</f>
        <v>1</v>
      </c>
      <c r="Q219" s="321" t="str">
        <f>coder1_YH!P219</f>
        <v>ctl</v>
      </c>
      <c r="R219" s="321" t="str">
        <f>coder1_YH!Q219</f>
        <v>Comparison</v>
      </c>
      <c r="S219" s="323" t="str">
        <f t="shared" si="66"/>
        <v/>
      </c>
      <c r="T219" s="323" t="str">
        <f t="shared" si="67"/>
        <v/>
      </c>
      <c r="U219" s="323" t="str">
        <f t="shared" si="68"/>
        <v/>
      </c>
      <c r="V219" s="323" t="str">
        <f t="shared" si="69"/>
        <v/>
      </c>
      <c r="W219" s="323">
        <f t="shared" si="70"/>
        <v>0</v>
      </c>
      <c r="X219" s="385" t="str">
        <f>IF(coder1_YH!N219 = "",X218,coder1_YH!N219)</f>
        <v>.</v>
      </c>
      <c r="Y219" s="385" t="str">
        <f>IF(coder1_YH!O219 = "",Y218,coder1_YH!O219)</f>
        <v>.</v>
      </c>
      <c r="Z219" s="385" t="str">
        <f t="shared" si="79"/>
        <v/>
      </c>
      <c r="AA219" s="385" t="str">
        <f t="shared" si="60"/>
        <v>BAU</v>
      </c>
      <c r="AB219" s="385" t="str">
        <f t="shared" si="61"/>
        <v>BAU</v>
      </c>
      <c r="AC219" s="323" t="str">
        <f t="shared" si="72"/>
        <v>..</v>
      </c>
      <c r="AD219" s="323" t="str">
        <f t="shared" si="73"/>
        <v>BAU</v>
      </c>
      <c r="AF219" s="369" t="str">
        <f t="shared" si="74"/>
        <v>140.2-..</v>
      </c>
      <c r="AG219" s="369" t="str">
        <f t="shared" si="75"/>
        <v>140.2-BAU</v>
      </c>
      <c r="AH219" s="344">
        <f>IF(coder1_YH!R219="",AH218,coder1_YH!R219)</f>
        <v>5</v>
      </c>
      <c r="AI219" s="344">
        <f t="shared" si="62"/>
        <v>5</v>
      </c>
      <c r="AJ219" s="345">
        <f t="shared" si="76"/>
        <v>0</v>
      </c>
      <c r="AK219" s="408">
        <f>IF(coder1_YH!S219="",AK218,coder1_YH!S219)</f>
        <v>10.5</v>
      </c>
      <c r="AL219" s="345" t="str">
        <f>IF(coder1_YH!T219="",AL218,IF(coder1_YH!T219="mixed",0.25,coder1_YH!T219))</f>
        <v>NA</v>
      </c>
      <c r="AM219" s="345" t="str">
        <f>IF(coder1_YH!U219 = "", AM218, IF(coder1_YH!U219="mixed","NA",coder1_YH!U219))</f>
        <v>NA</v>
      </c>
      <c r="AN219" s="345" t="str">
        <f>IF(coder1_YH!V219="",AN218,coder1_YH!V219)</f>
        <v>NA</v>
      </c>
      <c r="AO219" s="345">
        <f>IF(coder1_YH!W219="",AO218,coder1_YH!W219)</f>
        <v>1</v>
      </c>
      <c r="AP219" s="345">
        <f>IF(coder1_YH!X219="",AP218,coder1_YH!X219)</f>
        <v>1</v>
      </c>
      <c r="AQ219" s="345">
        <f>IF(coder1_YH!Y219="",AQ218,coder1_YH!Y219)</f>
        <v>1</v>
      </c>
      <c r="AR219" t="str">
        <f>coder1_YH!AB219</f>
        <v>2 = District/State curriculum</v>
      </c>
      <c r="AS219" s="345" t="str">
        <f>IF(coder1_YH!AC219 = "", AS218,IF(coder1_YH!AC219="BAU","BAU",LEFT(coder1_YH!AC219)))</f>
        <v>0</v>
      </c>
      <c r="AT219" s="345" t="str">
        <f>IF(coder1_YH!AD219 = "", AT218,IF(coder1_YH!AD219="BAU","BAU",LEFT(coder1_YH!AD219)))</f>
        <v>0</v>
      </c>
      <c r="AU219" s="345" t="str">
        <f>IF(coder1_YH!AE219 = "", AU218,IF(coder1_YH!AE219="BAU","BAU",LEFT(coder1_YH!AE219)))</f>
        <v>1</v>
      </c>
      <c r="AV219" s="345">
        <f>IF(coder1_YH!AF219="",AV218,coder1_YH!AF219)</f>
        <v>1080</v>
      </c>
      <c r="AW219" s="345">
        <f t="shared" si="77"/>
        <v>18</v>
      </c>
      <c r="AX219" s="345">
        <f>IF(coder1_YH!AG219="",AX218,coder1_YH!AG219)</f>
        <v>24</v>
      </c>
      <c r="AY219" s="345">
        <f>IF(coder1_YH!AH219="",AY218,coder1_YH!AH219)</f>
        <v>45</v>
      </c>
      <c r="AZ219" s="345" t="str">
        <f>IF(coder1_YH!AI219 = "", AZ218, IF(coder1_YH!AI219="BAU","BAU",LEFT(coder1_YH!AI219)))</f>
        <v>0</v>
      </c>
      <c r="BA219" s="384">
        <f>clean_data!Y219</f>
        <v>14</v>
      </c>
    </row>
    <row r="220" spans="1:53" x14ac:dyDescent="0.2">
      <c r="A220">
        <f>coder1_YH!B220</f>
        <v>0</v>
      </c>
      <c r="B220">
        <f>coder1_YH!C220</f>
        <v>220</v>
      </c>
      <c r="C220" t="b">
        <f>coder1_YH!D220</f>
        <v>1</v>
      </c>
      <c r="D220" t="b">
        <f>coder1_YH!E220</f>
        <v>1</v>
      </c>
      <c r="E220" t="b">
        <f>coder1_YH!F220</f>
        <v>1</v>
      </c>
      <c r="F220" s="321" t="str">
        <f>IF(coder1_YH!G220="", clean_mod!F219, coder1_YH!G220)</f>
        <v>Berkeley， 2007</v>
      </c>
      <c r="G220" s="321" t="str">
        <f t="shared" si="63"/>
        <v>141</v>
      </c>
      <c r="H220" s="321">
        <f>IF(coder1_YH!H220="", clean_mod!H219, coder1_YH!H220)</f>
        <v>141</v>
      </c>
      <c r="I220" s="404" t="str">
        <f t="shared" si="78"/>
        <v>2007</v>
      </c>
      <c r="J220" s="344" t="str">
        <f>IF(coder1_YH!I220="",J219,coder1_YH!I220)</f>
        <v>USA</v>
      </c>
      <c r="K220" s="345">
        <f t="shared" si="64"/>
        <v>0</v>
      </c>
      <c r="L220" s="344" t="str">
        <f>IF(coder1_YH!J220 = "",L219, coder1_YH!J220)</f>
        <v>English</v>
      </c>
      <c r="M220" s="345">
        <f t="shared" si="65"/>
        <v>0</v>
      </c>
      <c r="N220" s="345" t="str">
        <f>IF(coder1_YH!K220 = "", N219, LEFT(coder1_YH!K220,1))</f>
        <v>0</v>
      </c>
      <c r="O220" s="345" t="str">
        <f>IF(coder1_YH!L220 = "", O219, LEFT(coder1_YH!L220,1))</f>
        <v>1</v>
      </c>
      <c r="P220" s="345" t="str">
        <f>IF(coder1_YH!M220 = "", P219, LEFT(coder1_YH!M220,1))</f>
        <v>0</v>
      </c>
      <c r="Q220" s="321">
        <f>coder1_YH!P220</f>
        <v>1</v>
      </c>
      <c r="R220" s="321" t="str">
        <f>coder1_YH!Q220</f>
        <v>RCS + AR (7 groups)</v>
      </c>
      <c r="S220" s="323" t="str">
        <f t="shared" si="66"/>
        <v>N</v>
      </c>
      <c r="T220" s="323" t="str">
        <f t="shared" si="67"/>
        <v/>
      </c>
      <c r="U220" s="323" t="str">
        <f t="shared" si="68"/>
        <v/>
      </c>
      <c r="V220" s="323" t="str">
        <f t="shared" si="69"/>
        <v>T</v>
      </c>
      <c r="W220" s="323">
        <f t="shared" si="70"/>
        <v>2</v>
      </c>
      <c r="X220" s="385" t="str">
        <f>IF(coder1_YH!N220 = "",X219,coder1_YH!N220)</f>
        <v>NT</v>
      </c>
      <c r="Y220" s="385" t="str">
        <f>IF(coder1_YH!O220 = "",Y219,coder1_YH!O220)</f>
        <v xml:space="preserve">m </v>
      </c>
      <c r="Z220" s="385" t="str">
        <f t="shared" si="79"/>
        <v>M</v>
      </c>
      <c r="AA220" s="385" t="str">
        <f t="shared" si="60"/>
        <v>R</v>
      </c>
      <c r="AB220" s="385" t="str">
        <f t="shared" si="61"/>
        <v>MR</v>
      </c>
      <c r="AC220" s="323" t="str">
        <f t="shared" si="72"/>
        <v xml:space="preserve">NTm </v>
      </c>
      <c r="AD220" s="323" t="str">
        <f t="shared" si="73"/>
        <v>NT_R</v>
      </c>
      <c r="AE220" s="323">
        <f>IF(Y220="cm", 1,0)</f>
        <v>0</v>
      </c>
      <c r="AF220" s="369" t="str">
        <f t="shared" si="74"/>
        <v xml:space="preserve">141-NTm </v>
      </c>
      <c r="AG220" s="369" t="str">
        <f t="shared" si="75"/>
        <v>141-NT_R</v>
      </c>
      <c r="AH220" s="344" t="str">
        <f>IF(coder1_YH!R220="",AH219,coder1_YH!R220)</f>
        <v>7, 8, 9</v>
      </c>
      <c r="AI220" s="344">
        <f t="shared" si="62"/>
        <v>8</v>
      </c>
      <c r="AJ220" s="345">
        <f t="shared" si="76"/>
        <v>1</v>
      </c>
      <c r="AK220" s="408">
        <f>IF(coder1_YH!S220="",AK219,coder1_YH!S220)</f>
        <v>13.2</v>
      </c>
      <c r="AL220" s="345">
        <f>IF(coder1_YH!T220="",AL219,IF(coder1_YH!T220="mixed",0.25,coder1_YH!T220))</f>
        <v>0.50800000000000001</v>
      </c>
      <c r="AM220" s="345">
        <f>IF(coder1_YH!U220 = "", AM219, IF(coder1_YH!U220="mixed","NA",coder1_YH!U220))</f>
        <v>1</v>
      </c>
      <c r="AN220" s="345" t="str">
        <f>IF(coder1_YH!V220="",AN219,coder1_YH!V220)</f>
        <v>NA</v>
      </c>
      <c r="AO220" s="345">
        <f>IF(coder1_YH!W220="",AO219,coder1_YH!W220)</f>
        <v>0.36363636363636365</v>
      </c>
      <c r="AP220" s="345">
        <f>IF(coder1_YH!X220="",AP219,coder1_YH!X220)</f>
        <v>0.72699999999999998</v>
      </c>
      <c r="AQ220" s="345">
        <f>IF(coder1_YH!Y220="",AQ219,coder1_YH!Y220)</f>
        <v>0.77300000000000002</v>
      </c>
      <c r="AR220" t="str">
        <f>coder1_YH!AB220</f>
        <v>0 = Researcher-developed/adapted curriculum</v>
      </c>
      <c r="AS220" s="345" t="str">
        <f>IF(coder1_YH!AC220 = "", AS219,IF(coder1_YH!AC220="BAU","BAU",LEFT(coder1_YH!AC220)))</f>
        <v>1</v>
      </c>
      <c r="AT220" s="345" t="str">
        <f>IF(coder1_YH!AD220 = "", AT219,IF(coder1_YH!AD220="BAU","BAU",LEFT(coder1_YH!AD220)))</f>
        <v>1</v>
      </c>
      <c r="AU220" s="345" t="str">
        <f>IF(coder1_YH!AE220 = "", AU219,IF(coder1_YH!AE220="BAU","BAU",LEFT(coder1_YH!AE220)))</f>
        <v>0</v>
      </c>
      <c r="AV220" s="345">
        <f>IF(coder1_YH!AF220="",AV219,coder1_YH!AF220)</f>
        <v>360</v>
      </c>
      <c r="AW220" s="345">
        <f t="shared" si="77"/>
        <v>6</v>
      </c>
      <c r="AX220" s="345">
        <f>IF(coder1_YH!AG220="",AX219,coder1_YH!AG220)</f>
        <v>12</v>
      </c>
      <c r="AY220" s="345">
        <f>IF(coder1_YH!AH220="",AY219,coder1_YH!AH220)</f>
        <v>30</v>
      </c>
      <c r="AZ220" s="345" t="str">
        <f>IF(coder1_YH!AI220 = "", AZ219, IF(coder1_YH!AI220="BAU","BAU",LEFT(coder1_YH!AI220)))</f>
        <v>1</v>
      </c>
      <c r="BA220" s="384">
        <f>clean_data!Y220</f>
        <v>22</v>
      </c>
    </row>
    <row r="221" spans="1:53" x14ac:dyDescent="0.2">
      <c r="A221">
        <f>coder1_YH!B221</f>
        <v>0</v>
      </c>
      <c r="B221">
        <f>coder1_YH!C221</f>
        <v>221</v>
      </c>
      <c r="C221">
        <f>coder1_YH!D221</f>
        <v>0</v>
      </c>
      <c r="D221" t="str">
        <f>coder1_YH!E221</f>
        <v/>
      </c>
      <c r="E221" t="str">
        <f>coder1_YH!F221</f>
        <v/>
      </c>
      <c r="F221" s="321" t="str">
        <f>IF(coder1_YH!G221="", clean_mod!F220, coder1_YH!G221)</f>
        <v>Berkeley， 2007</v>
      </c>
      <c r="G221" s="321" t="str">
        <f t="shared" si="63"/>
        <v>141</v>
      </c>
      <c r="H221" s="321">
        <f>IF(coder1_YH!H221="", clean_mod!H220, coder1_YH!H221)</f>
        <v>141</v>
      </c>
      <c r="I221" s="404" t="str">
        <f t="shared" si="78"/>
        <v>2007</v>
      </c>
      <c r="J221" s="344" t="str">
        <f>IF(coder1_YH!I221="",J220,coder1_YH!I221)</f>
        <v>USA</v>
      </c>
      <c r="K221" s="345">
        <f t="shared" si="64"/>
        <v>0</v>
      </c>
      <c r="L221" s="344" t="str">
        <f>IF(coder1_YH!J221 = "",L220, coder1_YH!J221)</f>
        <v>English</v>
      </c>
      <c r="M221" s="345">
        <f t="shared" si="65"/>
        <v>0</v>
      </c>
      <c r="N221" s="345" t="str">
        <f>IF(coder1_YH!K221 = "", N220, LEFT(coder1_YH!K221,1))</f>
        <v>0</v>
      </c>
      <c r="O221" s="345" t="str">
        <f>IF(coder1_YH!L221 = "", O220, LEFT(coder1_YH!L221,1))</f>
        <v>1</v>
      </c>
      <c r="P221" s="345" t="str">
        <f>IF(coder1_YH!M221 = "", P220, LEFT(coder1_YH!M221,1))</f>
        <v>0</v>
      </c>
      <c r="Q221" s="321">
        <f>coder1_YH!P221</f>
        <v>0</v>
      </c>
      <c r="R221" s="321">
        <f>coder1_YH!Q221</f>
        <v>0</v>
      </c>
      <c r="S221" s="323" t="str">
        <f t="shared" si="66"/>
        <v>N</v>
      </c>
      <c r="T221" s="323" t="str">
        <f t="shared" si="67"/>
        <v/>
      </c>
      <c r="U221" s="323" t="str">
        <f t="shared" si="68"/>
        <v/>
      </c>
      <c r="V221" s="323" t="str">
        <f t="shared" si="69"/>
        <v>T</v>
      </c>
      <c r="W221" s="323">
        <f t="shared" si="70"/>
        <v>2</v>
      </c>
      <c r="X221" s="385" t="str">
        <f>IF(coder1_YH!N221 = "",X220,coder1_YH!N221)</f>
        <v>NT</v>
      </c>
      <c r="Y221" s="385" t="str">
        <f>IF(coder1_YH!O221 = "",Y220,coder1_YH!O221)</f>
        <v xml:space="preserve">m </v>
      </c>
      <c r="Z221" s="385" t="str">
        <f t="shared" si="79"/>
        <v>M</v>
      </c>
      <c r="AA221" s="385" t="str">
        <f t="shared" si="60"/>
        <v>R</v>
      </c>
      <c r="AB221" s="385" t="str">
        <f t="shared" si="61"/>
        <v>MR</v>
      </c>
      <c r="AC221" s="323" t="str">
        <f t="shared" si="72"/>
        <v xml:space="preserve">NTm </v>
      </c>
      <c r="AD221" s="323" t="str">
        <f t="shared" si="73"/>
        <v>NT_R</v>
      </c>
      <c r="AF221" s="369" t="str">
        <f t="shared" si="74"/>
        <v xml:space="preserve">141-NTm </v>
      </c>
      <c r="AG221" s="369" t="str">
        <f t="shared" si="75"/>
        <v>141-NT_R</v>
      </c>
      <c r="AH221" s="344" t="str">
        <f>IF(coder1_YH!R221="",AH220,coder1_YH!R221)</f>
        <v>7, 8, 9</v>
      </c>
      <c r="AI221" s="344">
        <f t="shared" si="62"/>
        <v>8</v>
      </c>
      <c r="AJ221" s="345">
        <f t="shared" si="76"/>
        <v>1</v>
      </c>
      <c r="AK221" s="408">
        <f>IF(coder1_YH!S221="",AK220,coder1_YH!S221)</f>
        <v>13.2</v>
      </c>
      <c r="AL221" s="345">
        <f>IF(coder1_YH!T221="",AL220,IF(coder1_YH!T221="mixed",0.25,coder1_YH!T221))</f>
        <v>0.50800000000000001</v>
      </c>
      <c r="AM221" s="345">
        <f>IF(coder1_YH!U221 = "", AM220, IF(coder1_YH!U221="mixed","NA",coder1_YH!U221))</f>
        <v>1</v>
      </c>
      <c r="AN221" s="345" t="str">
        <f>IF(coder1_YH!V221="",AN220,coder1_YH!V221)</f>
        <v>NA</v>
      </c>
      <c r="AO221" s="345">
        <f>IF(coder1_YH!W221="",AO220,coder1_YH!W221)</f>
        <v>0.36363636363636365</v>
      </c>
      <c r="AP221" s="345">
        <f>IF(coder1_YH!X221="",AP220,coder1_YH!X221)</f>
        <v>0.72699999999999998</v>
      </c>
      <c r="AQ221" s="345">
        <f>IF(coder1_YH!Y221="",AQ220,coder1_YH!Y221)</f>
        <v>0.77300000000000002</v>
      </c>
      <c r="AR221">
        <f>coder1_YH!AB221</f>
        <v>0</v>
      </c>
      <c r="AS221" s="345" t="str">
        <f>IF(coder1_YH!AC221 = "", AS220,IF(coder1_YH!AC221="BAU","BAU",LEFT(coder1_YH!AC221)))</f>
        <v>1</v>
      </c>
      <c r="AT221" s="345" t="str">
        <f>IF(coder1_YH!AD221 = "", AT220,IF(coder1_YH!AD221="BAU","BAU",LEFT(coder1_YH!AD221)))</f>
        <v>1</v>
      </c>
      <c r="AU221" s="345" t="str">
        <f>IF(coder1_YH!AE221 = "", AU220,IF(coder1_YH!AE221="BAU","BAU",LEFT(coder1_YH!AE221)))</f>
        <v>0</v>
      </c>
      <c r="AV221" s="345">
        <f>IF(coder1_YH!AF221="",AV220,coder1_YH!AF221)</f>
        <v>360</v>
      </c>
      <c r="AW221" s="345">
        <f t="shared" si="77"/>
        <v>6</v>
      </c>
      <c r="AX221" s="345">
        <f>IF(coder1_YH!AG221="",AX220,coder1_YH!AG221)</f>
        <v>12</v>
      </c>
      <c r="AY221" s="345">
        <f>IF(coder1_YH!AH221="",AY220,coder1_YH!AH221)</f>
        <v>30</v>
      </c>
      <c r="AZ221" s="345" t="str">
        <f>IF(coder1_YH!AI221 = "", AZ220, IF(coder1_YH!AI221="BAU","BAU",LEFT(coder1_YH!AI221)))</f>
        <v>1</v>
      </c>
      <c r="BA221" s="384">
        <f>clean_data!Y221</f>
        <v>22</v>
      </c>
    </row>
    <row r="222" spans="1:53" x14ac:dyDescent="0.2">
      <c r="A222">
        <f>coder1_YH!B222</f>
        <v>0</v>
      </c>
      <c r="B222">
        <f>coder1_YH!C222</f>
        <v>222</v>
      </c>
      <c r="C222">
        <f>coder1_YH!D222</f>
        <v>0</v>
      </c>
      <c r="D222" t="str">
        <f>coder1_YH!E222</f>
        <v/>
      </c>
      <c r="E222" t="str">
        <f>coder1_YH!F222</f>
        <v/>
      </c>
      <c r="F222" s="321" t="str">
        <f>IF(coder1_YH!G222="", clean_mod!F221, coder1_YH!G222)</f>
        <v>Berkeley， 2007</v>
      </c>
      <c r="G222" s="321" t="str">
        <f t="shared" si="63"/>
        <v>141</v>
      </c>
      <c r="H222" s="321">
        <f>IF(coder1_YH!H222="", clean_mod!H221, coder1_YH!H222)</f>
        <v>141</v>
      </c>
      <c r="I222" s="404" t="str">
        <f t="shared" si="78"/>
        <v>2007</v>
      </c>
      <c r="J222" s="344" t="str">
        <f>IF(coder1_YH!I222="",J221,coder1_YH!I222)</f>
        <v>USA</v>
      </c>
      <c r="K222" s="345">
        <f t="shared" si="64"/>
        <v>0</v>
      </c>
      <c r="L222" s="344" t="str">
        <f>IF(coder1_YH!J222 = "",L221, coder1_YH!J222)</f>
        <v>English</v>
      </c>
      <c r="M222" s="345">
        <f t="shared" si="65"/>
        <v>0</v>
      </c>
      <c r="N222" s="345" t="str">
        <f>IF(coder1_YH!K222 = "", N221, LEFT(coder1_YH!K222,1))</f>
        <v>0</v>
      </c>
      <c r="O222" s="345" t="str">
        <f>IF(coder1_YH!L222 = "", O221, LEFT(coder1_YH!L222,1))</f>
        <v>1</v>
      </c>
      <c r="P222" s="345" t="str">
        <f>IF(coder1_YH!M222 = "", P221, LEFT(coder1_YH!M222,1))</f>
        <v>0</v>
      </c>
      <c r="Q222" s="321">
        <f>coder1_YH!P222</f>
        <v>0</v>
      </c>
      <c r="R222" s="321">
        <f>coder1_YH!Q222</f>
        <v>0</v>
      </c>
      <c r="S222" s="323" t="str">
        <f t="shared" si="66"/>
        <v>N</v>
      </c>
      <c r="T222" s="323" t="str">
        <f t="shared" si="67"/>
        <v/>
      </c>
      <c r="U222" s="323" t="str">
        <f t="shared" si="68"/>
        <v/>
      </c>
      <c r="V222" s="323" t="str">
        <f t="shared" si="69"/>
        <v>T</v>
      </c>
      <c r="W222" s="323">
        <f t="shared" si="70"/>
        <v>2</v>
      </c>
      <c r="X222" s="385" t="str">
        <f>IF(coder1_YH!N222 = "",X221,coder1_YH!N222)</f>
        <v>NT</v>
      </c>
      <c r="Y222" s="385" t="str">
        <f>IF(coder1_YH!O222 = "",Y221,coder1_YH!O222)</f>
        <v xml:space="preserve">m </v>
      </c>
      <c r="Z222" s="385" t="str">
        <f t="shared" si="79"/>
        <v>M</v>
      </c>
      <c r="AA222" s="385" t="str">
        <f t="shared" si="60"/>
        <v>R</v>
      </c>
      <c r="AB222" s="385" t="str">
        <f t="shared" si="61"/>
        <v>MR</v>
      </c>
      <c r="AC222" s="323" t="str">
        <f t="shared" si="72"/>
        <v xml:space="preserve">NTm </v>
      </c>
      <c r="AD222" s="323" t="str">
        <f t="shared" si="73"/>
        <v>NT_R</v>
      </c>
      <c r="AF222" s="369" t="str">
        <f t="shared" si="74"/>
        <v xml:space="preserve">141-NTm </v>
      </c>
      <c r="AG222" s="369" t="str">
        <f t="shared" si="75"/>
        <v>141-NT_R</v>
      </c>
      <c r="AH222" s="344" t="str">
        <f>IF(coder1_YH!R222="",AH221,coder1_YH!R222)</f>
        <v>7, 8, 9</v>
      </c>
      <c r="AI222" s="344">
        <f t="shared" si="62"/>
        <v>8</v>
      </c>
      <c r="AJ222" s="345">
        <f t="shared" si="76"/>
        <v>1</v>
      </c>
      <c r="AK222" s="408">
        <f>IF(coder1_YH!S222="",AK221,coder1_YH!S222)</f>
        <v>13.2</v>
      </c>
      <c r="AL222" s="345">
        <f>IF(coder1_YH!T222="",AL221,IF(coder1_YH!T222="mixed",0.25,coder1_YH!T222))</f>
        <v>0.50800000000000001</v>
      </c>
      <c r="AM222" s="345">
        <f>IF(coder1_YH!U222 = "", AM221, IF(coder1_YH!U222="mixed","NA",coder1_YH!U222))</f>
        <v>1</v>
      </c>
      <c r="AN222" s="345" t="str">
        <f>IF(coder1_YH!V222="",AN221,coder1_YH!V222)</f>
        <v>NA</v>
      </c>
      <c r="AO222" s="345">
        <f>IF(coder1_YH!W222="",AO221,coder1_YH!W222)</f>
        <v>0.36363636363636365</v>
      </c>
      <c r="AP222" s="345">
        <f>IF(coder1_YH!X222="",AP221,coder1_YH!X222)</f>
        <v>0.72699999999999998</v>
      </c>
      <c r="AQ222" s="345">
        <f>IF(coder1_YH!Y222="",AQ221,coder1_YH!Y222)</f>
        <v>0.77300000000000002</v>
      </c>
      <c r="AR222">
        <f>coder1_YH!AB222</f>
        <v>0</v>
      </c>
      <c r="AS222" s="345" t="str">
        <f>IF(coder1_YH!AC222 = "", AS221,IF(coder1_YH!AC222="BAU","BAU",LEFT(coder1_YH!AC222)))</f>
        <v>1</v>
      </c>
      <c r="AT222" s="345" t="str">
        <f>IF(coder1_YH!AD222 = "", AT221,IF(coder1_YH!AD222="BAU","BAU",LEFT(coder1_YH!AD222)))</f>
        <v>1</v>
      </c>
      <c r="AU222" s="345" t="str">
        <f>IF(coder1_YH!AE222 = "", AU221,IF(coder1_YH!AE222="BAU","BAU",LEFT(coder1_YH!AE222)))</f>
        <v>0</v>
      </c>
      <c r="AV222" s="345">
        <f>IF(coder1_YH!AF222="",AV221,coder1_YH!AF222)</f>
        <v>360</v>
      </c>
      <c r="AW222" s="345">
        <f t="shared" si="77"/>
        <v>6</v>
      </c>
      <c r="AX222" s="345">
        <f>IF(coder1_YH!AG222="",AX221,coder1_YH!AG222)</f>
        <v>12</v>
      </c>
      <c r="AY222" s="345">
        <f>IF(coder1_YH!AH222="",AY221,coder1_YH!AH222)</f>
        <v>30</v>
      </c>
      <c r="AZ222" s="345" t="str">
        <f>IF(coder1_YH!AI222 = "", AZ221, IF(coder1_YH!AI222="BAU","BAU",LEFT(coder1_YH!AI222)))</f>
        <v>1</v>
      </c>
      <c r="BA222" s="384">
        <f>clean_data!Y222</f>
        <v>22</v>
      </c>
    </row>
    <row r="223" spans="1:53" x14ac:dyDescent="0.2">
      <c r="A223">
        <f>coder1_YH!B223</f>
        <v>0</v>
      </c>
      <c r="B223">
        <f>coder1_YH!C223</f>
        <v>223</v>
      </c>
      <c r="C223">
        <f>coder1_YH!D223</f>
        <v>0</v>
      </c>
      <c r="D223" t="str">
        <f>coder1_YH!E223</f>
        <v/>
      </c>
      <c r="E223" t="str">
        <f>coder1_YH!F223</f>
        <v/>
      </c>
      <c r="F223" s="321" t="str">
        <f>IF(coder1_YH!G223="", clean_mod!F222, coder1_YH!G223)</f>
        <v>Berkeley， 2007</v>
      </c>
      <c r="G223" s="321" t="str">
        <f t="shared" si="63"/>
        <v>141</v>
      </c>
      <c r="H223" s="321">
        <f>IF(coder1_YH!H223="", clean_mod!H222, coder1_YH!H223)</f>
        <v>141</v>
      </c>
      <c r="I223" s="404" t="str">
        <f t="shared" si="78"/>
        <v>2007</v>
      </c>
      <c r="J223" s="344" t="str">
        <f>IF(coder1_YH!I223="",J222,coder1_YH!I223)</f>
        <v>USA</v>
      </c>
      <c r="K223" s="345">
        <f t="shared" si="64"/>
        <v>0</v>
      </c>
      <c r="L223" s="344" t="str">
        <f>IF(coder1_YH!J223 = "",L222, coder1_YH!J223)</f>
        <v>English</v>
      </c>
      <c r="M223" s="345">
        <f t="shared" si="65"/>
        <v>0</v>
      </c>
      <c r="N223" s="345" t="str">
        <f>IF(coder1_YH!K223 = "", N222, LEFT(coder1_YH!K223,1))</f>
        <v>0</v>
      </c>
      <c r="O223" s="345" t="str">
        <f>IF(coder1_YH!L223 = "", O222, LEFT(coder1_YH!L223,1))</f>
        <v>1</v>
      </c>
      <c r="P223" s="345" t="str">
        <f>IF(coder1_YH!M223 = "", P222, LEFT(coder1_YH!M223,1))</f>
        <v>0</v>
      </c>
      <c r="Q223" s="321">
        <f>coder1_YH!P223</f>
        <v>0</v>
      </c>
      <c r="R223" s="321">
        <f>coder1_YH!Q223</f>
        <v>0</v>
      </c>
      <c r="S223" s="323" t="str">
        <f t="shared" si="66"/>
        <v>N</v>
      </c>
      <c r="T223" s="323" t="str">
        <f t="shared" si="67"/>
        <v/>
      </c>
      <c r="U223" s="323" t="str">
        <f t="shared" si="68"/>
        <v/>
      </c>
      <c r="V223" s="323" t="str">
        <f t="shared" si="69"/>
        <v>T</v>
      </c>
      <c r="W223" s="323">
        <f t="shared" si="70"/>
        <v>2</v>
      </c>
      <c r="X223" s="385" t="str">
        <f>IF(coder1_YH!N223 = "",X222,coder1_YH!N223)</f>
        <v>NT</v>
      </c>
      <c r="Y223" s="385" t="str">
        <f>IF(coder1_YH!O223 = "",Y222,coder1_YH!O223)</f>
        <v xml:space="preserve">m </v>
      </c>
      <c r="Z223" s="385" t="str">
        <f t="shared" si="79"/>
        <v>M</v>
      </c>
      <c r="AA223" s="385" t="str">
        <f t="shared" si="60"/>
        <v>R</v>
      </c>
      <c r="AB223" s="385" t="str">
        <f t="shared" si="61"/>
        <v>MR</v>
      </c>
      <c r="AC223" s="323" t="str">
        <f t="shared" si="72"/>
        <v xml:space="preserve">NTm </v>
      </c>
      <c r="AD223" s="323" t="str">
        <f t="shared" si="73"/>
        <v>NT_R</v>
      </c>
      <c r="AF223" s="369" t="str">
        <f t="shared" si="74"/>
        <v xml:space="preserve">141-NTm </v>
      </c>
      <c r="AG223" s="369" t="str">
        <f t="shared" si="75"/>
        <v>141-NT_R</v>
      </c>
      <c r="AH223" s="344" t="str">
        <f>IF(coder1_YH!R223="",AH222,coder1_YH!R223)</f>
        <v>7, 8, 9</v>
      </c>
      <c r="AI223" s="344">
        <f t="shared" si="62"/>
        <v>8</v>
      </c>
      <c r="AJ223" s="345">
        <f t="shared" si="76"/>
        <v>1</v>
      </c>
      <c r="AK223" s="408">
        <f>IF(coder1_YH!S223="",AK222,coder1_YH!S223)</f>
        <v>13.2</v>
      </c>
      <c r="AL223" s="345">
        <f>IF(coder1_YH!T223="",AL222,IF(coder1_YH!T223="mixed",0.25,coder1_YH!T223))</f>
        <v>0.50800000000000001</v>
      </c>
      <c r="AM223" s="345">
        <f>IF(coder1_YH!U223 = "", AM222, IF(coder1_YH!U223="mixed","NA",coder1_YH!U223))</f>
        <v>1</v>
      </c>
      <c r="AN223" s="345" t="str">
        <f>IF(coder1_YH!V223="",AN222,coder1_YH!V223)</f>
        <v>NA</v>
      </c>
      <c r="AO223" s="345">
        <f>IF(coder1_YH!W223="",AO222,coder1_YH!W223)</f>
        <v>0.36363636363636365</v>
      </c>
      <c r="AP223" s="345">
        <f>IF(coder1_YH!X223="",AP222,coder1_YH!X223)</f>
        <v>0.72699999999999998</v>
      </c>
      <c r="AQ223" s="345">
        <f>IF(coder1_YH!Y223="",AQ222,coder1_YH!Y223)</f>
        <v>0.77300000000000002</v>
      </c>
      <c r="AR223">
        <f>coder1_YH!AB223</f>
        <v>0</v>
      </c>
      <c r="AS223" s="345" t="str">
        <f>IF(coder1_YH!AC223 = "", AS222,IF(coder1_YH!AC223="BAU","BAU",LEFT(coder1_YH!AC223)))</f>
        <v>1</v>
      </c>
      <c r="AT223" s="345" t="str">
        <f>IF(coder1_YH!AD223 = "", AT222,IF(coder1_YH!AD223="BAU","BAU",LEFT(coder1_YH!AD223)))</f>
        <v>1</v>
      </c>
      <c r="AU223" s="345" t="str">
        <f>IF(coder1_YH!AE223 = "", AU222,IF(coder1_YH!AE223="BAU","BAU",LEFT(coder1_YH!AE223)))</f>
        <v>0</v>
      </c>
      <c r="AV223" s="345">
        <f>IF(coder1_YH!AF223="",AV222,coder1_YH!AF223)</f>
        <v>360</v>
      </c>
      <c r="AW223" s="345">
        <f t="shared" si="77"/>
        <v>6</v>
      </c>
      <c r="AX223" s="345">
        <f>IF(coder1_YH!AG223="",AX222,coder1_YH!AG223)</f>
        <v>12</v>
      </c>
      <c r="AY223" s="345">
        <f>IF(coder1_YH!AH223="",AY222,coder1_YH!AH223)</f>
        <v>30</v>
      </c>
      <c r="AZ223" s="345" t="str">
        <f>IF(coder1_YH!AI223 = "", AZ222, IF(coder1_YH!AI223="BAU","BAU",LEFT(coder1_YH!AI223)))</f>
        <v>1</v>
      </c>
      <c r="BA223" s="384">
        <f>clean_data!Y223</f>
        <v>22</v>
      </c>
    </row>
    <row r="224" spans="1:53" x14ac:dyDescent="0.2">
      <c r="A224">
        <f>coder1_YH!B224</f>
        <v>0</v>
      </c>
      <c r="B224">
        <f>coder1_YH!C224</f>
        <v>224</v>
      </c>
      <c r="C224">
        <f>coder1_YH!D224</f>
        <v>0</v>
      </c>
      <c r="D224" t="str">
        <f>coder1_YH!E224</f>
        <v/>
      </c>
      <c r="E224" t="b">
        <f>coder1_YH!F224</f>
        <v>1</v>
      </c>
      <c r="F224" s="321" t="str">
        <f>IF(coder1_YH!G224="", clean_mod!F223, coder1_YH!G224)</f>
        <v>Berkeley， 2007</v>
      </c>
      <c r="G224" s="321" t="str">
        <f t="shared" si="63"/>
        <v>141</v>
      </c>
      <c r="H224" s="321">
        <f>IF(coder1_YH!H224="", clean_mod!H223, coder1_YH!H224)</f>
        <v>141</v>
      </c>
      <c r="I224" s="404" t="str">
        <f t="shared" si="78"/>
        <v>2007</v>
      </c>
      <c r="J224" s="344" t="str">
        <f>IF(coder1_YH!I224="",J223,coder1_YH!I224)</f>
        <v>USA</v>
      </c>
      <c r="K224" s="345">
        <f t="shared" si="64"/>
        <v>0</v>
      </c>
      <c r="L224" s="344" t="str">
        <f>IF(coder1_YH!J224 = "",L223, coder1_YH!J224)</f>
        <v>English</v>
      </c>
      <c r="M224" s="345">
        <f t="shared" si="65"/>
        <v>0</v>
      </c>
      <c r="N224" s="345" t="str">
        <f>IF(coder1_YH!K224 = "", N223, LEFT(coder1_YH!K224,1))</f>
        <v>0</v>
      </c>
      <c r="O224" s="345" t="str">
        <f>IF(coder1_YH!L224 = "", O223, LEFT(coder1_YH!L224,1))</f>
        <v>1</v>
      </c>
      <c r="P224" s="345" t="str">
        <f>IF(coder1_YH!M224 = "", P223, LEFT(coder1_YH!M224,1))</f>
        <v>0</v>
      </c>
      <c r="Q224" s="321">
        <f>coder1_YH!P224</f>
        <v>2</v>
      </c>
      <c r="R224" s="321" t="str">
        <f>coder1_YH!Q224</f>
        <v>RCS (7 groups)</v>
      </c>
      <c r="S224" s="323" t="str">
        <f t="shared" si="66"/>
        <v>N</v>
      </c>
      <c r="T224" s="323" t="str">
        <f t="shared" si="67"/>
        <v/>
      </c>
      <c r="U224" s="323" t="str">
        <f t="shared" si="68"/>
        <v/>
      </c>
      <c r="V224" s="323" t="str">
        <f t="shared" si="69"/>
        <v/>
      </c>
      <c r="W224" s="323">
        <f t="shared" si="70"/>
        <v>1</v>
      </c>
      <c r="X224" s="385" t="str">
        <f>IF(coder1_YH!N224 = "",X223,coder1_YH!N224)</f>
        <v>N</v>
      </c>
      <c r="Y224" s="385" t="str">
        <f>IF(coder1_YH!O224 = "",Y223,coder1_YH!O224)</f>
        <v xml:space="preserve">m </v>
      </c>
      <c r="Z224" s="385" t="str">
        <f t="shared" si="79"/>
        <v>M</v>
      </c>
      <c r="AA224" s="385" t="str">
        <f t="shared" si="60"/>
        <v>R</v>
      </c>
      <c r="AB224" s="385" t="str">
        <f t="shared" si="61"/>
        <v>MR</v>
      </c>
      <c r="AC224" s="323" t="str">
        <f t="shared" si="72"/>
        <v xml:space="preserve">Nm </v>
      </c>
      <c r="AD224" s="323" t="str">
        <f t="shared" si="73"/>
        <v>N_R</v>
      </c>
      <c r="AF224" s="369" t="str">
        <f t="shared" si="74"/>
        <v xml:space="preserve">141-Nm </v>
      </c>
      <c r="AG224" s="369" t="str">
        <f t="shared" si="75"/>
        <v>141-N_R</v>
      </c>
      <c r="AH224" s="344" t="str">
        <f>IF(coder1_YH!R224="",AH223,coder1_YH!R224)</f>
        <v>7, 8, 9</v>
      </c>
      <c r="AI224" s="344">
        <f t="shared" si="62"/>
        <v>8</v>
      </c>
      <c r="AJ224" s="345">
        <f t="shared" si="76"/>
        <v>1</v>
      </c>
      <c r="AK224" s="408">
        <f>IF(coder1_YH!S224="",AK223,coder1_YH!S224)</f>
        <v>13.2</v>
      </c>
      <c r="AL224" s="345">
        <f>IF(coder1_YH!T224="",AL223,IF(coder1_YH!T224="mixed",0.25,coder1_YH!T224))</f>
        <v>0.50800000000000001</v>
      </c>
      <c r="AM224" s="345">
        <f>IF(coder1_YH!U224 = "", AM223, IF(coder1_YH!U224="mixed","NA",coder1_YH!U224))</f>
        <v>1</v>
      </c>
      <c r="AN224" s="345" t="str">
        <f>IF(coder1_YH!V224="",AN223,coder1_YH!V224)</f>
        <v>NA</v>
      </c>
      <c r="AO224" s="345">
        <f>IF(coder1_YH!W224="",AO223,coder1_YH!W224)</f>
        <v>0.4</v>
      </c>
      <c r="AP224" s="345">
        <f>IF(coder1_YH!X224="",AP223,coder1_YH!X224)</f>
        <v>0.6</v>
      </c>
      <c r="AQ224" s="345">
        <f>IF(coder1_YH!Y224="",AQ223,coder1_YH!Y224)</f>
        <v>0.95</v>
      </c>
      <c r="AR224" t="str">
        <f>coder1_YH!AB224</f>
        <v>0 = Researcher-developed/adapted curriculum</v>
      </c>
      <c r="AS224" s="345" t="str">
        <f>IF(coder1_YH!AC224 = "", AS223,IF(coder1_YH!AC224="BAU","BAU",LEFT(coder1_YH!AC224)))</f>
        <v>1</v>
      </c>
      <c r="AT224" s="345" t="str">
        <f>IF(coder1_YH!AD224 = "", AT223,IF(coder1_YH!AD224="BAU","BAU",LEFT(coder1_YH!AD224)))</f>
        <v>1</v>
      </c>
      <c r="AU224" s="345" t="str">
        <f>IF(coder1_YH!AE224 = "", AU223,IF(coder1_YH!AE224="BAU","BAU",LEFT(coder1_YH!AE224)))</f>
        <v>1</v>
      </c>
      <c r="AV224" s="345">
        <f>IF(coder1_YH!AF224="",AV223,coder1_YH!AF224)</f>
        <v>360</v>
      </c>
      <c r="AW224" s="345">
        <f t="shared" si="77"/>
        <v>6</v>
      </c>
      <c r="AX224" s="345">
        <f>IF(coder1_YH!AG224="",AX223,coder1_YH!AG224)</f>
        <v>12</v>
      </c>
      <c r="AY224" s="345">
        <f>IF(coder1_YH!AH224="",AY223,coder1_YH!AH224)</f>
        <v>30</v>
      </c>
      <c r="AZ224" s="345" t="str">
        <f>IF(coder1_YH!AI224 = "", AZ223, IF(coder1_YH!AI224="BAU","BAU",LEFT(coder1_YH!AI224)))</f>
        <v>1</v>
      </c>
      <c r="BA224" s="384">
        <f>clean_data!Y224</f>
        <v>20</v>
      </c>
    </row>
    <row r="225" spans="1:53" x14ac:dyDescent="0.2">
      <c r="A225">
        <f>coder1_YH!B225</f>
        <v>0</v>
      </c>
      <c r="B225">
        <f>coder1_YH!C225</f>
        <v>225</v>
      </c>
      <c r="C225">
        <f>coder1_YH!D225</f>
        <v>0</v>
      </c>
      <c r="D225" t="str">
        <f>coder1_YH!E225</f>
        <v/>
      </c>
      <c r="E225" t="str">
        <f>coder1_YH!F225</f>
        <v/>
      </c>
      <c r="F225" s="321" t="str">
        <f>IF(coder1_YH!G225="", clean_mod!F224, coder1_YH!G225)</f>
        <v>Berkeley， 2007</v>
      </c>
      <c r="G225" s="321" t="str">
        <f t="shared" si="63"/>
        <v>141</v>
      </c>
      <c r="H225" s="321">
        <f>IF(coder1_YH!H225="", clean_mod!H224, coder1_YH!H225)</f>
        <v>141</v>
      </c>
      <c r="I225" s="404" t="str">
        <f t="shared" si="78"/>
        <v>2007</v>
      </c>
      <c r="J225" s="344" t="str">
        <f>IF(coder1_YH!I225="",J224,coder1_YH!I225)</f>
        <v>USA</v>
      </c>
      <c r="K225" s="345">
        <f t="shared" si="64"/>
        <v>0</v>
      </c>
      <c r="L225" s="344" t="str">
        <f>IF(coder1_YH!J225 = "",L224, coder1_YH!J225)</f>
        <v>English</v>
      </c>
      <c r="M225" s="345">
        <f t="shared" si="65"/>
        <v>0</v>
      </c>
      <c r="N225" s="345" t="str">
        <f>IF(coder1_YH!K225 = "", N224, LEFT(coder1_YH!K225,1))</f>
        <v>0</v>
      </c>
      <c r="O225" s="345" t="str">
        <f>IF(coder1_YH!L225 = "", O224, LEFT(coder1_YH!L225,1))</f>
        <v>1</v>
      </c>
      <c r="P225" s="345" t="str">
        <f>IF(coder1_YH!M225 = "", P224, LEFT(coder1_YH!M225,1))</f>
        <v>0</v>
      </c>
      <c r="Q225" s="321">
        <f>coder1_YH!P225</f>
        <v>0</v>
      </c>
      <c r="R225" s="321">
        <f>coder1_YH!Q225</f>
        <v>0</v>
      </c>
      <c r="S225" s="323" t="str">
        <f t="shared" si="66"/>
        <v>N</v>
      </c>
      <c r="T225" s="323" t="str">
        <f t="shared" si="67"/>
        <v/>
      </c>
      <c r="U225" s="323" t="str">
        <f t="shared" si="68"/>
        <v/>
      </c>
      <c r="V225" s="323" t="str">
        <f t="shared" si="69"/>
        <v/>
      </c>
      <c r="W225" s="323">
        <f t="shared" si="70"/>
        <v>1</v>
      </c>
      <c r="X225" s="385" t="str">
        <f>IF(coder1_YH!N225 = "",X224,coder1_YH!N225)</f>
        <v>N</v>
      </c>
      <c r="Y225" s="385" t="str">
        <f>IF(coder1_YH!O225 = "",Y224,coder1_YH!O225)</f>
        <v xml:space="preserve">m </v>
      </c>
      <c r="Z225" s="385" t="str">
        <f t="shared" si="79"/>
        <v>M</v>
      </c>
      <c r="AA225" s="385" t="str">
        <f t="shared" ref="AA225:AA228" si="80">IF(Y225=".","BAU","R")</f>
        <v>R</v>
      </c>
      <c r="AB225" s="385" t="str">
        <f t="shared" ref="AB225:AB258" si="81">Z225&amp;AA225</f>
        <v>MR</v>
      </c>
      <c r="AC225" s="323" t="str">
        <f t="shared" si="72"/>
        <v xml:space="preserve">Nm </v>
      </c>
      <c r="AD225" s="323" t="str">
        <f t="shared" si="73"/>
        <v>N_R</v>
      </c>
      <c r="AF225" s="369" t="str">
        <f t="shared" si="74"/>
        <v xml:space="preserve">141-Nm </v>
      </c>
      <c r="AG225" s="369" t="str">
        <f t="shared" si="75"/>
        <v>141-N_R</v>
      </c>
      <c r="AH225" s="344" t="str">
        <f>IF(coder1_YH!R225="",AH224,coder1_YH!R225)</f>
        <v>7, 8, 9</v>
      </c>
      <c r="AI225" s="344">
        <f t="shared" si="62"/>
        <v>8</v>
      </c>
      <c r="AJ225" s="345">
        <f t="shared" si="76"/>
        <v>1</v>
      </c>
      <c r="AK225" s="408">
        <f>IF(coder1_YH!S225="",AK224,coder1_YH!S225)</f>
        <v>13.2</v>
      </c>
      <c r="AL225" s="345">
        <f>IF(coder1_YH!T225="",AL224,IF(coder1_YH!T225="mixed",0.25,coder1_YH!T225))</f>
        <v>0.50800000000000001</v>
      </c>
      <c r="AM225" s="345">
        <f>IF(coder1_YH!U225 = "", AM224, IF(coder1_YH!U225="mixed","NA",coder1_YH!U225))</f>
        <v>1</v>
      </c>
      <c r="AN225" s="345" t="str">
        <f>IF(coder1_YH!V225="",AN224,coder1_YH!V225)</f>
        <v>NA</v>
      </c>
      <c r="AO225" s="345">
        <f>IF(coder1_YH!W225="",AO224,coder1_YH!W225)</f>
        <v>0.4</v>
      </c>
      <c r="AP225" s="345">
        <f>IF(coder1_YH!X225="",AP224,coder1_YH!X225)</f>
        <v>0.6</v>
      </c>
      <c r="AQ225" s="345">
        <f>IF(coder1_YH!Y225="",AQ224,coder1_YH!Y225)</f>
        <v>0.95</v>
      </c>
      <c r="AR225">
        <f>coder1_YH!AB225</f>
        <v>0</v>
      </c>
      <c r="AS225" s="345" t="str">
        <f>IF(coder1_YH!AC225 = "", AS224,IF(coder1_YH!AC225="BAU","BAU",LEFT(coder1_YH!AC225)))</f>
        <v>1</v>
      </c>
      <c r="AT225" s="345" t="str">
        <f>IF(coder1_YH!AD225 = "", AT224,IF(coder1_YH!AD225="BAU","BAU",LEFT(coder1_YH!AD225)))</f>
        <v>1</v>
      </c>
      <c r="AU225" s="345" t="str">
        <f>IF(coder1_YH!AE225 = "", AU224,IF(coder1_YH!AE225="BAU","BAU",LEFT(coder1_YH!AE225)))</f>
        <v>1</v>
      </c>
      <c r="AV225" s="345">
        <f>IF(coder1_YH!AF225="",AV224,coder1_YH!AF225)</f>
        <v>360</v>
      </c>
      <c r="AW225" s="345">
        <f t="shared" si="77"/>
        <v>6</v>
      </c>
      <c r="AX225" s="345">
        <f>IF(coder1_YH!AG225="",AX224,coder1_YH!AG225)</f>
        <v>12</v>
      </c>
      <c r="AY225" s="345">
        <f>IF(coder1_YH!AH225="",AY224,coder1_YH!AH225)</f>
        <v>30</v>
      </c>
      <c r="AZ225" s="345" t="str">
        <f>IF(coder1_YH!AI225 = "", AZ224, IF(coder1_YH!AI225="BAU","BAU",LEFT(coder1_YH!AI225)))</f>
        <v>1</v>
      </c>
      <c r="BA225" s="384">
        <f>clean_data!Y225</f>
        <v>20</v>
      </c>
    </row>
    <row r="226" spans="1:53" x14ac:dyDescent="0.2">
      <c r="A226">
        <f>coder1_YH!B226</f>
        <v>0</v>
      </c>
      <c r="B226">
        <f>coder1_YH!C226</f>
        <v>226</v>
      </c>
      <c r="C226">
        <f>coder1_YH!D226</f>
        <v>0</v>
      </c>
      <c r="D226" t="str">
        <f>coder1_YH!E226</f>
        <v/>
      </c>
      <c r="E226" t="str">
        <f>coder1_YH!F226</f>
        <v/>
      </c>
      <c r="F226" s="321" t="str">
        <f>IF(coder1_YH!G226="", clean_mod!F225, coder1_YH!G226)</f>
        <v>Berkeley， 2007</v>
      </c>
      <c r="G226" s="321" t="str">
        <f t="shared" si="63"/>
        <v>141</v>
      </c>
      <c r="H226" s="321">
        <f>IF(coder1_YH!H226="", clean_mod!H225, coder1_YH!H226)</f>
        <v>141</v>
      </c>
      <c r="I226" s="404" t="str">
        <f t="shared" si="78"/>
        <v>2007</v>
      </c>
      <c r="J226" s="344" t="str">
        <f>IF(coder1_YH!I226="",J225,coder1_YH!I226)</f>
        <v>USA</v>
      </c>
      <c r="K226" s="345">
        <f t="shared" si="64"/>
        <v>0</v>
      </c>
      <c r="L226" s="344" t="str">
        <f>IF(coder1_YH!J226 = "",L225, coder1_YH!J226)</f>
        <v>English</v>
      </c>
      <c r="M226" s="345">
        <f t="shared" si="65"/>
        <v>0</v>
      </c>
      <c r="N226" s="345" t="str">
        <f>IF(coder1_YH!K226 = "", N225, LEFT(coder1_YH!K226,1))</f>
        <v>0</v>
      </c>
      <c r="O226" s="345" t="str">
        <f>IF(coder1_YH!L226 = "", O225, LEFT(coder1_YH!L226,1))</f>
        <v>1</v>
      </c>
      <c r="P226" s="345" t="str">
        <f>IF(coder1_YH!M226 = "", P225, LEFT(coder1_YH!M226,1))</f>
        <v>0</v>
      </c>
      <c r="Q226" s="321">
        <f>coder1_YH!P226</f>
        <v>0</v>
      </c>
      <c r="R226" s="321">
        <f>coder1_YH!Q226</f>
        <v>0</v>
      </c>
      <c r="S226" s="323" t="str">
        <f t="shared" si="66"/>
        <v>N</v>
      </c>
      <c r="T226" s="323" t="str">
        <f t="shared" si="67"/>
        <v/>
      </c>
      <c r="U226" s="323" t="str">
        <f t="shared" si="68"/>
        <v/>
      </c>
      <c r="V226" s="323" t="str">
        <f t="shared" si="69"/>
        <v/>
      </c>
      <c r="W226" s="323">
        <f t="shared" si="70"/>
        <v>1</v>
      </c>
      <c r="X226" s="385" t="str">
        <f>IF(coder1_YH!N226 = "",X225,coder1_YH!N226)</f>
        <v>N</v>
      </c>
      <c r="Y226" s="385" t="str">
        <f>IF(coder1_YH!O226 = "",Y225,coder1_YH!O226)</f>
        <v xml:space="preserve">m </v>
      </c>
      <c r="Z226" s="385" t="str">
        <f t="shared" si="79"/>
        <v>M</v>
      </c>
      <c r="AA226" s="385" t="str">
        <f t="shared" si="80"/>
        <v>R</v>
      </c>
      <c r="AB226" s="385" t="str">
        <f t="shared" si="81"/>
        <v>MR</v>
      </c>
      <c r="AC226" s="323" t="str">
        <f t="shared" si="72"/>
        <v xml:space="preserve">Nm </v>
      </c>
      <c r="AD226" s="323" t="str">
        <f t="shared" si="73"/>
        <v>N_R</v>
      </c>
      <c r="AF226" s="369" t="str">
        <f t="shared" si="74"/>
        <v xml:space="preserve">141-Nm </v>
      </c>
      <c r="AG226" s="369" t="str">
        <f t="shared" si="75"/>
        <v>141-N_R</v>
      </c>
      <c r="AH226" s="344" t="str">
        <f>IF(coder1_YH!R226="",AH225,coder1_YH!R226)</f>
        <v>7, 8, 9</v>
      </c>
      <c r="AI226" s="344">
        <f t="shared" si="62"/>
        <v>8</v>
      </c>
      <c r="AJ226" s="345">
        <f t="shared" si="76"/>
        <v>1</v>
      </c>
      <c r="AK226" s="408">
        <f>IF(coder1_YH!S226="",AK225,coder1_YH!S226)</f>
        <v>13.2</v>
      </c>
      <c r="AL226" s="345">
        <f>IF(coder1_YH!T226="",AL225,IF(coder1_YH!T226="mixed",0.25,coder1_YH!T226))</f>
        <v>0.50800000000000001</v>
      </c>
      <c r="AM226" s="345">
        <f>IF(coder1_YH!U226 = "", AM225, IF(coder1_YH!U226="mixed","NA",coder1_YH!U226))</f>
        <v>1</v>
      </c>
      <c r="AN226" s="345" t="str">
        <f>IF(coder1_YH!V226="",AN225,coder1_YH!V226)</f>
        <v>NA</v>
      </c>
      <c r="AO226" s="345">
        <f>IF(coder1_YH!W226="",AO225,coder1_YH!W226)</f>
        <v>0.4</v>
      </c>
      <c r="AP226" s="345">
        <f>IF(coder1_YH!X226="",AP225,coder1_YH!X226)</f>
        <v>0.6</v>
      </c>
      <c r="AQ226" s="345">
        <f>IF(coder1_YH!Y226="",AQ225,coder1_YH!Y226)</f>
        <v>0.95</v>
      </c>
      <c r="AR226">
        <f>coder1_YH!AB226</f>
        <v>0</v>
      </c>
      <c r="AS226" s="345" t="str">
        <f>IF(coder1_YH!AC226 = "", AS225,IF(coder1_YH!AC226="BAU","BAU",LEFT(coder1_YH!AC226)))</f>
        <v>1</v>
      </c>
      <c r="AT226" s="345" t="str">
        <f>IF(coder1_YH!AD226 = "", AT225,IF(coder1_YH!AD226="BAU","BAU",LEFT(coder1_YH!AD226)))</f>
        <v>1</v>
      </c>
      <c r="AU226" s="345" t="str">
        <f>IF(coder1_YH!AE226 = "", AU225,IF(coder1_YH!AE226="BAU","BAU",LEFT(coder1_YH!AE226)))</f>
        <v>1</v>
      </c>
      <c r="AV226" s="345">
        <f>IF(coder1_YH!AF226="",AV225,coder1_YH!AF226)</f>
        <v>360</v>
      </c>
      <c r="AW226" s="345">
        <f t="shared" si="77"/>
        <v>6</v>
      </c>
      <c r="AX226" s="345">
        <f>IF(coder1_YH!AG226="",AX225,coder1_YH!AG226)</f>
        <v>12</v>
      </c>
      <c r="AY226" s="345">
        <f>IF(coder1_YH!AH226="",AY225,coder1_YH!AH226)</f>
        <v>30</v>
      </c>
      <c r="AZ226" s="345" t="str">
        <f>IF(coder1_YH!AI226 = "", AZ225, IF(coder1_YH!AI226="BAU","BAU",LEFT(coder1_YH!AI226)))</f>
        <v>1</v>
      </c>
      <c r="BA226" s="384">
        <f>clean_data!Y226</f>
        <v>20</v>
      </c>
    </row>
    <row r="227" spans="1:53" x14ac:dyDescent="0.2">
      <c r="A227">
        <f>coder1_YH!B227</f>
        <v>0</v>
      </c>
      <c r="B227">
        <f>coder1_YH!C227</f>
        <v>227</v>
      </c>
      <c r="C227">
        <f>coder1_YH!D227</f>
        <v>0</v>
      </c>
      <c r="D227" t="str">
        <f>coder1_YH!E227</f>
        <v/>
      </c>
      <c r="E227" t="str">
        <f>coder1_YH!F227</f>
        <v/>
      </c>
      <c r="F227" s="321" t="str">
        <f>IF(coder1_YH!G227="", clean_mod!F226, coder1_YH!G227)</f>
        <v>Berkeley， 2007</v>
      </c>
      <c r="G227" s="321" t="str">
        <f t="shared" si="63"/>
        <v>141</v>
      </c>
      <c r="H227" s="321">
        <f>IF(coder1_YH!H227="", clean_mod!H226, coder1_YH!H227)</f>
        <v>141</v>
      </c>
      <c r="I227" s="404" t="str">
        <f t="shared" si="78"/>
        <v>2007</v>
      </c>
      <c r="J227" s="344" t="str">
        <f>IF(coder1_YH!I227="",J226,coder1_YH!I227)</f>
        <v>USA</v>
      </c>
      <c r="K227" s="345">
        <f t="shared" si="64"/>
        <v>0</v>
      </c>
      <c r="L227" s="344" t="str">
        <f>IF(coder1_YH!J227 = "",L226, coder1_YH!J227)</f>
        <v>English</v>
      </c>
      <c r="M227" s="345">
        <f t="shared" si="65"/>
        <v>0</v>
      </c>
      <c r="N227" s="345" t="str">
        <f>IF(coder1_YH!K227 = "", N226, LEFT(coder1_YH!K227,1))</f>
        <v>0</v>
      </c>
      <c r="O227" s="345" t="str">
        <f>IF(coder1_YH!L227 = "", O226, LEFT(coder1_YH!L227,1))</f>
        <v>1</v>
      </c>
      <c r="P227" s="345" t="str">
        <f>IF(coder1_YH!M227 = "", P226, LEFT(coder1_YH!M227,1))</f>
        <v>0</v>
      </c>
      <c r="Q227" s="321">
        <f>coder1_YH!P227</f>
        <v>0</v>
      </c>
      <c r="R227" s="321">
        <f>coder1_YH!Q227</f>
        <v>0</v>
      </c>
      <c r="S227" s="323" t="str">
        <f t="shared" si="66"/>
        <v>N</v>
      </c>
      <c r="T227" s="323" t="str">
        <f t="shared" si="67"/>
        <v/>
      </c>
      <c r="U227" s="323" t="str">
        <f t="shared" si="68"/>
        <v/>
      </c>
      <c r="V227" s="323" t="str">
        <f t="shared" si="69"/>
        <v/>
      </c>
      <c r="W227" s="323">
        <f t="shared" si="70"/>
        <v>1</v>
      </c>
      <c r="X227" s="385" t="str">
        <f>IF(coder1_YH!N227 = "",X226,coder1_YH!N227)</f>
        <v>N</v>
      </c>
      <c r="Y227" s="385" t="str">
        <f>IF(coder1_YH!O227 = "",Y226,coder1_YH!O227)</f>
        <v xml:space="preserve">m </v>
      </c>
      <c r="Z227" s="385" t="str">
        <f t="shared" si="79"/>
        <v>M</v>
      </c>
      <c r="AA227" s="385" t="str">
        <f t="shared" si="80"/>
        <v>R</v>
      </c>
      <c r="AB227" s="385" t="str">
        <f t="shared" si="81"/>
        <v>MR</v>
      </c>
      <c r="AC227" s="323" t="str">
        <f t="shared" si="72"/>
        <v xml:space="preserve">Nm </v>
      </c>
      <c r="AD227" s="323" t="str">
        <f t="shared" si="73"/>
        <v>N_R</v>
      </c>
      <c r="AF227" s="369" t="str">
        <f t="shared" si="74"/>
        <v xml:space="preserve">141-Nm </v>
      </c>
      <c r="AG227" s="369" t="str">
        <f t="shared" si="75"/>
        <v>141-N_R</v>
      </c>
      <c r="AH227" s="344" t="str">
        <f>IF(coder1_YH!R227="",AH226,coder1_YH!R227)</f>
        <v>7, 8, 9</v>
      </c>
      <c r="AI227" s="344">
        <f t="shared" si="62"/>
        <v>8</v>
      </c>
      <c r="AJ227" s="345">
        <f t="shared" si="76"/>
        <v>1</v>
      </c>
      <c r="AK227" s="408">
        <f>IF(coder1_YH!S227="",AK226,coder1_YH!S227)</f>
        <v>13.2</v>
      </c>
      <c r="AL227" s="345">
        <f>IF(coder1_YH!T227="",AL226,IF(coder1_YH!T227="mixed",0.25,coder1_YH!T227))</f>
        <v>0.50800000000000001</v>
      </c>
      <c r="AM227" s="345">
        <f>IF(coder1_YH!U227 = "", AM226, IF(coder1_YH!U227="mixed","NA",coder1_YH!U227))</f>
        <v>1</v>
      </c>
      <c r="AN227" s="345" t="str">
        <f>IF(coder1_YH!V227="",AN226,coder1_YH!V227)</f>
        <v>NA</v>
      </c>
      <c r="AO227" s="345">
        <f>IF(coder1_YH!W227="",AO226,coder1_YH!W227)</f>
        <v>0.4</v>
      </c>
      <c r="AP227" s="345">
        <f>IF(coder1_YH!X227="",AP226,coder1_YH!X227)</f>
        <v>0.6</v>
      </c>
      <c r="AQ227" s="345">
        <f>IF(coder1_YH!Y227="",AQ226,coder1_YH!Y227)</f>
        <v>0.95</v>
      </c>
      <c r="AR227">
        <f>coder1_YH!AB227</f>
        <v>0</v>
      </c>
      <c r="AS227" s="345" t="str">
        <f>IF(coder1_YH!AC227 = "", AS226,IF(coder1_YH!AC227="BAU","BAU",LEFT(coder1_YH!AC227)))</f>
        <v>1</v>
      </c>
      <c r="AT227" s="345" t="str">
        <f>IF(coder1_YH!AD227 = "", AT226,IF(coder1_YH!AD227="BAU","BAU",LEFT(coder1_YH!AD227)))</f>
        <v>1</v>
      </c>
      <c r="AU227" s="345" t="str">
        <f>IF(coder1_YH!AE227 = "", AU226,IF(coder1_YH!AE227="BAU","BAU",LEFT(coder1_YH!AE227)))</f>
        <v>1</v>
      </c>
      <c r="AV227" s="345">
        <f>IF(coder1_YH!AF227="",AV226,coder1_YH!AF227)</f>
        <v>360</v>
      </c>
      <c r="AW227" s="345">
        <f t="shared" si="77"/>
        <v>6</v>
      </c>
      <c r="AX227" s="345">
        <f>IF(coder1_YH!AG227="",AX226,coder1_YH!AG227)</f>
        <v>12</v>
      </c>
      <c r="AY227" s="345">
        <f>IF(coder1_YH!AH227="",AY226,coder1_YH!AH227)</f>
        <v>30</v>
      </c>
      <c r="AZ227" s="345" t="str">
        <f>IF(coder1_YH!AI227 = "", AZ226, IF(coder1_YH!AI227="BAU","BAU",LEFT(coder1_YH!AI227)))</f>
        <v>1</v>
      </c>
      <c r="BA227" s="384">
        <f>clean_data!Y227</f>
        <v>20</v>
      </c>
    </row>
    <row r="228" spans="1:53" x14ac:dyDescent="0.2">
      <c r="A228">
        <f>coder1_YH!B228</f>
        <v>0</v>
      </c>
      <c r="B228">
        <f>coder1_YH!C228</f>
        <v>228</v>
      </c>
      <c r="C228">
        <f>coder1_YH!D228</f>
        <v>0</v>
      </c>
      <c r="D228" t="str">
        <f>coder1_YH!E228</f>
        <v/>
      </c>
      <c r="E228" t="b">
        <f>coder1_YH!F228</f>
        <v>1</v>
      </c>
      <c r="F228" s="321" t="str">
        <f>IF(coder1_YH!G228="", clean_mod!F227, coder1_YH!G228)</f>
        <v>Berkeley， 2007</v>
      </c>
      <c r="G228" s="321" t="str">
        <f t="shared" si="63"/>
        <v>141</v>
      </c>
      <c r="H228" s="321">
        <f>IF(coder1_YH!H228="", clean_mod!H227, coder1_YH!H228)</f>
        <v>141</v>
      </c>
      <c r="I228" s="404" t="str">
        <f t="shared" si="78"/>
        <v>2007</v>
      </c>
      <c r="J228" s="344" t="str">
        <f>IF(coder1_YH!I228="",J227,coder1_YH!I228)</f>
        <v>USA</v>
      </c>
      <c r="K228" s="345">
        <f t="shared" si="64"/>
        <v>0</v>
      </c>
      <c r="L228" s="344" t="str">
        <f>IF(coder1_YH!J228 = "",L227, coder1_YH!J228)</f>
        <v>English</v>
      </c>
      <c r="M228" s="345">
        <f t="shared" si="65"/>
        <v>0</v>
      </c>
      <c r="N228" s="345" t="str">
        <f>IF(coder1_YH!K228 = "", N227, LEFT(coder1_YH!K228,1))</f>
        <v>0</v>
      </c>
      <c r="O228" s="345" t="str">
        <f>IF(coder1_YH!L228 = "", O227, LEFT(coder1_YH!L228,1))</f>
        <v>1</v>
      </c>
      <c r="P228" s="345" t="str">
        <f>IF(coder1_YH!M228 = "", P227, LEFT(coder1_YH!M228,1))</f>
        <v>0</v>
      </c>
      <c r="Q228" s="321" t="str">
        <f>coder1_YH!P228</f>
        <v>ctl</v>
      </c>
      <c r="R228" s="321" t="str">
        <f>coder1_YH!Q228</f>
        <v>RN (7 groups)</v>
      </c>
      <c r="S228" s="323" t="str">
        <f t="shared" si="66"/>
        <v/>
      </c>
      <c r="T228" s="323" t="str">
        <f t="shared" si="67"/>
        <v/>
      </c>
      <c r="U228" s="323" t="str">
        <f t="shared" si="68"/>
        <v/>
      </c>
      <c r="V228" s="323" t="str">
        <f t="shared" si="69"/>
        <v/>
      </c>
      <c r="W228" s="323">
        <f t="shared" si="70"/>
        <v>0</v>
      </c>
      <c r="X228" s="385" t="str">
        <f>IF(coder1_YH!N228 = "",X227,coder1_YH!N228)</f>
        <v>.</v>
      </c>
      <c r="Y228" s="385" t="str">
        <f>IF(coder1_YH!O228 = "",Y227,coder1_YH!O228)</f>
        <v>cm</v>
      </c>
      <c r="Z228" s="385" t="str">
        <f t="shared" si="79"/>
        <v/>
      </c>
      <c r="AA228" s="385" t="str">
        <f t="shared" si="80"/>
        <v>R</v>
      </c>
      <c r="AB228" s="385" t="str">
        <f t="shared" si="81"/>
        <v>R</v>
      </c>
      <c r="AC228" s="323" t="str">
        <f t="shared" si="72"/>
        <v>.cm</v>
      </c>
      <c r="AD228" s="323" t="str">
        <f t="shared" si="73"/>
        <v>R</v>
      </c>
      <c r="AF228" s="369" t="str">
        <f t="shared" si="74"/>
        <v>141-.cm</v>
      </c>
      <c r="AG228" s="369" t="str">
        <f t="shared" si="75"/>
        <v>141-R</v>
      </c>
      <c r="AH228" s="344" t="str">
        <f>IF(coder1_YH!R228="",AH227,coder1_YH!R228)</f>
        <v>7, 8, 9</v>
      </c>
      <c r="AI228" s="344">
        <f t="shared" si="62"/>
        <v>8</v>
      </c>
      <c r="AJ228" s="345">
        <f t="shared" si="76"/>
        <v>1</v>
      </c>
      <c r="AK228" s="408">
        <f>IF(coder1_YH!S228="",AK227,coder1_YH!S228)</f>
        <v>13.2</v>
      </c>
      <c r="AL228" s="345">
        <f>IF(coder1_YH!T228="",AL227,IF(coder1_YH!T228="mixed",0.25,coder1_YH!T228))</f>
        <v>0.50800000000000001</v>
      </c>
      <c r="AM228" s="345">
        <f>IF(coder1_YH!U228 = "", AM227, IF(coder1_YH!U228="mixed","NA",coder1_YH!U228))</f>
        <v>1</v>
      </c>
      <c r="AN228" s="345" t="str">
        <f>IF(coder1_YH!V228="",AN227,coder1_YH!V228)</f>
        <v>NA</v>
      </c>
      <c r="AO228" s="345">
        <f>IF(coder1_YH!W228="",AO227,coder1_YH!W228)</f>
        <v>0.38095238095238093</v>
      </c>
      <c r="AP228" s="345">
        <f>IF(coder1_YH!X228="",AP227,coder1_YH!X228)</f>
        <v>0.71399999999999997</v>
      </c>
      <c r="AQ228" s="345">
        <f>IF(coder1_YH!Y228="",AQ227,coder1_YH!Y228)</f>
        <v>0.90500000000000003</v>
      </c>
      <c r="AR228" t="str">
        <f>coder1_YH!AB228</f>
        <v>1 = Published/Commercially available curriculum</v>
      </c>
      <c r="AS228" s="345" t="str">
        <f>IF(coder1_YH!AC228 = "", AS227,IF(coder1_YH!AC228="BAU","BAU",LEFT(coder1_YH!AC228)))</f>
        <v>1</v>
      </c>
      <c r="AT228" s="345" t="str">
        <f>IF(coder1_YH!AD228 = "", AT227,IF(coder1_YH!AD228="BAU","BAU",LEFT(coder1_YH!AD228)))</f>
        <v>1</v>
      </c>
      <c r="AU228" s="345" t="str">
        <f>IF(coder1_YH!AE228 = "", AU227,IF(coder1_YH!AE228="BAU","BAU",LEFT(coder1_YH!AE228)))</f>
        <v>1</v>
      </c>
      <c r="AV228" s="345">
        <f>IF(coder1_YH!AF228="",AV227,coder1_YH!AF228)</f>
        <v>360</v>
      </c>
      <c r="AW228" s="345">
        <f t="shared" si="77"/>
        <v>6</v>
      </c>
      <c r="AX228" s="345">
        <f>IF(coder1_YH!AG228="",AX227,coder1_YH!AG228)</f>
        <v>12</v>
      </c>
      <c r="AY228" s="345">
        <f>IF(coder1_YH!AH228="",AY227,coder1_YH!AH228)</f>
        <v>30</v>
      </c>
      <c r="AZ228" s="345" t="str">
        <f>IF(coder1_YH!AI228 = "", AZ227, IF(coder1_YH!AI228="BAU","BAU",LEFT(coder1_YH!AI228)))</f>
        <v>1</v>
      </c>
      <c r="BA228" s="384">
        <f>clean_data!Y228</f>
        <v>21</v>
      </c>
    </row>
    <row r="229" spans="1:53" x14ac:dyDescent="0.2">
      <c r="A229">
        <f>coder1_YH!B229</f>
        <v>0</v>
      </c>
      <c r="B229">
        <f>coder1_YH!C229</f>
        <v>229</v>
      </c>
      <c r="C229">
        <f>coder1_YH!D229</f>
        <v>0</v>
      </c>
      <c r="D229" t="str">
        <f>coder1_YH!E229</f>
        <v/>
      </c>
      <c r="E229" t="str">
        <f>coder1_YH!F229</f>
        <v/>
      </c>
      <c r="F229" s="321" t="str">
        <f>IF(coder1_YH!G229="", clean_mod!F228, coder1_YH!G229)</f>
        <v>Berkeley， 2007</v>
      </c>
      <c r="G229" s="321" t="str">
        <f t="shared" si="63"/>
        <v>141</v>
      </c>
      <c r="H229" s="321">
        <f>IF(coder1_YH!H229="", clean_mod!H228, coder1_YH!H229)</f>
        <v>141</v>
      </c>
      <c r="I229" s="404" t="str">
        <f t="shared" si="78"/>
        <v>2007</v>
      </c>
      <c r="J229" s="344" t="str">
        <f>IF(coder1_YH!I229="",J228,coder1_YH!I229)</f>
        <v>USA</v>
      </c>
      <c r="K229" s="345">
        <f t="shared" si="64"/>
        <v>0</v>
      </c>
      <c r="L229" s="344" t="str">
        <f>IF(coder1_YH!J229 = "",L228, coder1_YH!J229)</f>
        <v>English</v>
      </c>
      <c r="M229" s="345">
        <f t="shared" si="65"/>
        <v>0</v>
      </c>
      <c r="N229" s="345" t="str">
        <f>IF(coder1_YH!K229 = "", N228, LEFT(coder1_YH!K229,1))</f>
        <v>0</v>
      </c>
      <c r="O229" s="345" t="str">
        <f>IF(coder1_YH!L229 = "", O228, LEFT(coder1_YH!L229,1))</f>
        <v>1</v>
      </c>
      <c r="P229" s="345" t="str">
        <f>IF(coder1_YH!M229 = "", P228, LEFT(coder1_YH!M229,1))</f>
        <v>0</v>
      </c>
      <c r="Q229" s="321">
        <f>coder1_YH!P229</f>
        <v>0</v>
      </c>
      <c r="R229" s="321">
        <f>coder1_YH!Q229</f>
        <v>0</v>
      </c>
      <c r="S229" s="323" t="str">
        <f t="shared" si="66"/>
        <v/>
      </c>
      <c r="T229" s="323" t="str">
        <f t="shared" si="67"/>
        <v/>
      </c>
      <c r="U229" s="323" t="str">
        <f t="shared" si="68"/>
        <v/>
      </c>
      <c r="V229" s="323" t="str">
        <f t="shared" si="69"/>
        <v/>
      </c>
      <c r="W229" s="323">
        <f t="shared" si="70"/>
        <v>0</v>
      </c>
      <c r="X229" s="385" t="str">
        <f>IF(coder1_YH!N229 = "",X228,coder1_YH!N229)</f>
        <v>.</v>
      </c>
      <c r="Y229" s="385" t="str">
        <f>IF(coder1_YH!O229 = "",Y228,coder1_YH!O229)</f>
        <v>cm</v>
      </c>
      <c r="Z229" s="385" t="str">
        <f t="shared" si="71"/>
        <v/>
      </c>
      <c r="AA229" s="385" t="str">
        <f t="shared" ref="AA229:AA230" si="82">IF(Y229=".","BAU","R")</f>
        <v>R</v>
      </c>
      <c r="AB229" s="385" t="str">
        <f t="shared" si="81"/>
        <v>R</v>
      </c>
      <c r="AC229" s="323" t="str">
        <f t="shared" si="72"/>
        <v>.cm</v>
      </c>
      <c r="AD229" s="323" t="str">
        <f t="shared" si="73"/>
        <v>R</v>
      </c>
      <c r="AF229" s="369" t="str">
        <f t="shared" si="74"/>
        <v>141-.cm</v>
      </c>
      <c r="AG229" s="369" t="str">
        <f t="shared" si="75"/>
        <v>141-R</v>
      </c>
      <c r="AH229" s="344" t="str">
        <f>IF(coder1_YH!R229="",AH228,coder1_YH!R229)</f>
        <v>7, 8, 9</v>
      </c>
      <c r="AI229" s="344">
        <f t="shared" si="62"/>
        <v>8</v>
      </c>
      <c r="AJ229" s="345">
        <f t="shared" si="76"/>
        <v>1</v>
      </c>
      <c r="AK229" s="408">
        <f>IF(coder1_YH!S229="",AK228,coder1_YH!S229)</f>
        <v>13.2</v>
      </c>
      <c r="AL229" s="345">
        <f>IF(coder1_YH!T229="",AL228,IF(coder1_YH!T229="mixed",0.25,coder1_YH!T229))</f>
        <v>0.50800000000000001</v>
      </c>
      <c r="AM229" s="345">
        <f>IF(coder1_YH!U229 = "", AM228, IF(coder1_YH!U229="mixed","NA",coder1_YH!U229))</f>
        <v>1</v>
      </c>
      <c r="AN229" s="345" t="str">
        <f>IF(coder1_YH!V229="",AN228,coder1_YH!V229)</f>
        <v>NA</v>
      </c>
      <c r="AO229" s="345">
        <f>IF(coder1_YH!W229="",AO228,coder1_YH!W229)</f>
        <v>0.38095238095238093</v>
      </c>
      <c r="AP229" s="345">
        <f>IF(coder1_YH!X229="",AP228,coder1_YH!X229)</f>
        <v>0.71399999999999997</v>
      </c>
      <c r="AQ229" s="345">
        <f>IF(coder1_YH!Y229="",AQ228,coder1_YH!Y229)</f>
        <v>0.90500000000000003</v>
      </c>
      <c r="AR229">
        <f>coder1_YH!AB229</f>
        <v>0</v>
      </c>
      <c r="AS229" s="345" t="str">
        <f>IF(coder1_YH!AC229 = "", AS228,IF(coder1_YH!AC229="BAU","BAU",LEFT(coder1_YH!AC229)))</f>
        <v>1</v>
      </c>
      <c r="AT229" s="345" t="str">
        <f>IF(coder1_YH!AD229 = "", AT228,IF(coder1_YH!AD229="BAU","BAU",LEFT(coder1_YH!AD229)))</f>
        <v>1</v>
      </c>
      <c r="AU229" s="345" t="str">
        <f>IF(coder1_YH!AE229 = "", AU228,IF(coder1_YH!AE229="BAU","BAU",LEFT(coder1_YH!AE229)))</f>
        <v>1</v>
      </c>
      <c r="AV229" s="345">
        <f>IF(coder1_YH!AF229="",AV228,coder1_YH!AF229)</f>
        <v>360</v>
      </c>
      <c r="AW229" s="345">
        <f t="shared" si="77"/>
        <v>6</v>
      </c>
      <c r="AX229" s="345">
        <f>IF(coder1_YH!AG229="",AX228,coder1_YH!AG229)</f>
        <v>12</v>
      </c>
      <c r="AY229" s="345">
        <f>IF(coder1_YH!AH229="",AY228,coder1_YH!AH229)</f>
        <v>30</v>
      </c>
      <c r="AZ229" s="345" t="str">
        <f>IF(coder1_YH!AI229 = "", AZ228, IF(coder1_YH!AI229="BAU","BAU",LEFT(coder1_YH!AI229)))</f>
        <v>1</v>
      </c>
      <c r="BA229" s="384">
        <f>clean_data!Y229</f>
        <v>21</v>
      </c>
    </row>
    <row r="230" spans="1:53" x14ac:dyDescent="0.2">
      <c r="A230">
        <f>coder1_YH!B230</f>
        <v>0</v>
      </c>
      <c r="B230">
        <f>coder1_YH!C230</f>
        <v>230</v>
      </c>
      <c r="C230">
        <f>coder1_YH!D230</f>
        <v>0</v>
      </c>
      <c r="D230" t="str">
        <f>coder1_YH!E230</f>
        <v/>
      </c>
      <c r="E230" t="str">
        <f>coder1_YH!F230</f>
        <v/>
      </c>
      <c r="F230" s="321" t="str">
        <f>IF(coder1_YH!G230="", clean_mod!F229, coder1_YH!G230)</f>
        <v>Berkeley， 2007</v>
      </c>
      <c r="G230" s="321" t="str">
        <f t="shared" si="63"/>
        <v>141</v>
      </c>
      <c r="H230" s="321">
        <f>IF(coder1_YH!H230="", clean_mod!H229, coder1_YH!H230)</f>
        <v>141</v>
      </c>
      <c r="I230" s="404" t="str">
        <f t="shared" si="78"/>
        <v>2007</v>
      </c>
      <c r="J230" s="344" t="str">
        <f>IF(coder1_YH!I230="",J229,coder1_YH!I230)</f>
        <v>USA</v>
      </c>
      <c r="K230" s="345">
        <f t="shared" si="64"/>
        <v>0</v>
      </c>
      <c r="L230" s="344" t="str">
        <f>IF(coder1_YH!J230 = "",L229, coder1_YH!J230)</f>
        <v>English</v>
      </c>
      <c r="M230" s="345">
        <f t="shared" si="65"/>
        <v>0</v>
      </c>
      <c r="N230" s="345" t="str">
        <f>IF(coder1_YH!K230 = "", N229, LEFT(coder1_YH!K230,1))</f>
        <v>0</v>
      </c>
      <c r="O230" s="345" t="str">
        <f>IF(coder1_YH!L230 = "", O229, LEFT(coder1_YH!L230,1))</f>
        <v>1</v>
      </c>
      <c r="P230" s="345" t="str">
        <f>IF(coder1_YH!M230 = "", P229, LEFT(coder1_YH!M230,1))</f>
        <v>0</v>
      </c>
      <c r="Q230" s="321">
        <f>coder1_YH!P230</f>
        <v>0</v>
      </c>
      <c r="R230" s="321">
        <f>coder1_YH!Q230</f>
        <v>0</v>
      </c>
      <c r="S230" s="323" t="str">
        <f t="shared" si="66"/>
        <v/>
      </c>
      <c r="T230" s="323" t="str">
        <f t="shared" si="67"/>
        <v/>
      </c>
      <c r="U230" s="323" t="str">
        <f t="shared" si="68"/>
        <v/>
      </c>
      <c r="V230" s="323" t="str">
        <f t="shared" si="69"/>
        <v/>
      </c>
      <c r="W230" s="323">
        <f t="shared" si="70"/>
        <v>0</v>
      </c>
      <c r="X230" s="385" t="str">
        <f>IF(coder1_YH!N230 = "",X229,coder1_YH!N230)</f>
        <v>.</v>
      </c>
      <c r="Y230" s="385" t="str">
        <f>IF(coder1_YH!O230 = "",Y229,coder1_YH!O230)</f>
        <v>cm</v>
      </c>
      <c r="Z230" s="385" t="str">
        <f t="shared" si="71"/>
        <v/>
      </c>
      <c r="AA230" s="385" t="str">
        <f t="shared" si="82"/>
        <v>R</v>
      </c>
      <c r="AB230" s="385" t="str">
        <f t="shared" si="81"/>
        <v>R</v>
      </c>
      <c r="AC230" s="323" t="str">
        <f t="shared" si="72"/>
        <v>.cm</v>
      </c>
      <c r="AD230" s="323" t="str">
        <f t="shared" si="73"/>
        <v>R</v>
      </c>
      <c r="AF230" s="369" t="str">
        <f t="shared" si="74"/>
        <v>141-.cm</v>
      </c>
      <c r="AG230" s="369" t="str">
        <f t="shared" si="75"/>
        <v>141-R</v>
      </c>
      <c r="AH230" s="344" t="str">
        <f>IF(coder1_YH!R230="",AH229,coder1_YH!R230)</f>
        <v>7, 8, 9</v>
      </c>
      <c r="AI230" s="344">
        <f t="shared" si="62"/>
        <v>8</v>
      </c>
      <c r="AJ230" s="345">
        <f t="shared" si="76"/>
        <v>1</v>
      </c>
      <c r="AK230" s="408">
        <f>IF(coder1_YH!S230="",AK229,coder1_YH!S230)</f>
        <v>13.2</v>
      </c>
      <c r="AL230" s="345">
        <f>IF(coder1_YH!T230="",AL229,IF(coder1_YH!T230="mixed",0.25,coder1_YH!T230))</f>
        <v>0.50800000000000001</v>
      </c>
      <c r="AM230" s="345">
        <f>IF(coder1_YH!U230 = "", AM229, IF(coder1_YH!U230="mixed","NA",coder1_YH!U230))</f>
        <v>1</v>
      </c>
      <c r="AN230" s="345" t="str">
        <f>IF(coder1_YH!V230="",AN229,coder1_YH!V230)</f>
        <v>NA</v>
      </c>
      <c r="AO230" s="345">
        <f>IF(coder1_YH!W230="",AO229,coder1_YH!W230)</f>
        <v>0.38095238095238093</v>
      </c>
      <c r="AP230" s="345">
        <f>IF(coder1_YH!X230="",AP229,coder1_YH!X230)</f>
        <v>0.71399999999999997</v>
      </c>
      <c r="AQ230" s="345">
        <f>IF(coder1_YH!Y230="",AQ229,coder1_YH!Y230)</f>
        <v>0.90500000000000003</v>
      </c>
      <c r="AR230">
        <f>coder1_YH!AB230</f>
        <v>0</v>
      </c>
      <c r="AS230" s="345" t="str">
        <f>IF(coder1_YH!AC230 = "", AS229,IF(coder1_YH!AC230="BAU","BAU",LEFT(coder1_YH!AC230)))</f>
        <v>1</v>
      </c>
      <c r="AT230" s="345" t="str">
        <f>IF(coder1_YH!AD230 = "", AT229,IF(coder1_YH!AD230="BAU","BAU",LEFT(coder1_YH!AD230)))</f>
        <v>1</v>
      </c>
      <c r="AU230" s="345" t="str">
        <f>IF(coder1_YH!AE230 = "", AU229,IF(coder1_YH!AE230="BAU","BAU",LEFT(coder1_YH!AE230)))</f>
        <v>1</v>
      </c>
      <c r="AV230" s="345">
        <f>IF(coder1_YH!AF230="",AV229,coder1_YH!AF230)</f>
        <v>360</v>
      </c>
      <c r="AW230" s="345">
        <f t="shared" si="77"/>
        <v>6</v>
      </c>
      <c r="AX230" s="345">
        <f>IF(coder1_YH!AG230="",AX229,coder1_YH!AG230)</f>
        <v>12</v>
      </c>
      <c r="AY230" s="345">
        <f>IF(coder1_YH!AH230="",AY229,coder1_YH!AH230)</f>
        <v>30</v>
      </c>
      <c r="AZ230" s="345" t="str">
        <f>IF(coder1_YH!AI230 = "", AZ229, IF(coder1_YH!AI230="BAU","BAU",LEFT(coder1_YH!AI230)))</f>
        <v>1</v>
      </c>
      <c r="BA230" s="384">
        <f>clean_data!Y230</f>
        <v>21</v>
      </c>
    </row>
    <row r="231" spans="1:53" x14ac:dyDescent="0.2">
      <c r="A231">
        <f>coder1_YH!B231</f>
        <v>0</v>
      </c>
      <c r="B231">
        <f>coder1_YH!C231</f>
        <v>231</v>
      </c>
      <c r="C231">
        <f>coder1_YH!D231</f>
        <v>0</v>
      </c>
      <c r="D231" t="str">
        <f>coder1_YH!E231</f>
        <v/>
      </c>
      <c r="E231" t="str">
        <f>coder1_YH!F231</f>
        <v/>
      </c>
      <c r="F231" s="321" t="str">
        <f>IF(coder1_YH!G231="", clean_mod!F230, coder1_YH!G231)</f>
        <v>Berkeley， 2007</v>
      </c>
      <c r="G231" s="321" t="str">
        <f t="shared" si="63"/>
        <v>141</v>
      </c>
      <c r="H231" s="321">
        <f>IF(coder1_YH!H231="", clean_mod!H230, coder1_YH!H231)</f>
        <v>141</v>
      </c>
      <c r="I231" s="404" t="str">
        <f t="shared" si="78"/>
        <v>2007</v>
      </c>
      <c r="J231" s="344" t="str">
        <f>IF(coder1_YH!I231="",J230,coder1_YH!I231)</f>
        <v>USA</v>
      </c>
      <c r="K231" s="345">
        <f t="shared" si="64"/>
        <v>0</v>
      </c>
      <c r="L231" s="344" t="str">
        <f>IF(coder1_YH!J231 = "",L230, coder1_YH!J231)</f>
        <v>English</v>
      </c>
      <c r="M231" s="345">
        <f t="shared" si="65"/>
        <v>0</v>
      </c>
      <c r="N231" s="345" t="str">
        <f>IF(coder1_YH!K231 = "", N230, LEFT(coder1_YH!K231,1))</f>
        <v>0</v>
      </c>
      <c r="O231" s="345" t="str">
        <f>IF(coder1_YH!L231 = "", O230, LEFT(coder1_YH!L231,1))</f>
        <v>1</v>
      </c>
      <c r="P231" s="345" t="str">
        <f>IF(coder1_YH!M231 = "", P230, LEFT(coder1_YH!M231,1))</f>
        <v>0</v>
      </c>
      <c r="Q231" s="321">
        <f>coder1_YH!P231</f>
        <v>0</v>
      </c>
      <c r="R231" s="321">
        <f>coder1_YH!Q231</f>
        <v>0</v>
      </c>
      <c r="S231" s="323" t="str">
        <f t="shared" si="66"/>
        <v/>
      </c>
      <c r="T231" s="323" t="str">
        <f t="shared" si="67"/>
        <v/>
      </c>
      <c r="U231" s="323" t="str">
        <f t="shared" si="68"/>
        <v/>
      </c>
      <c r="V231" s="323" t="str">
        <f t="shared" si="69"/>
        <v/>
      </c>
      <c r="W231" s="323">
        <f t="shared" si="70"/>
        <v>0</v>
      </c>
      <c r="X231" s="385" t="str">
        <f>IF(coder1_YH!N231 = "",X230,coder1_YH!N231)</f>
        <v>.</v>
      </c>
      <c r="Y231" s="385" t="str">
        <f>IF(coder1_YH!O231 = "",Y230,coder1_YH!O231)</f>
        <v>cm</v>
      </c>
      <c r="Z231" s="385" t="str">
        <f t="shared" ref="Z231:Z294" si="83">IF(X231=".","","M")</f>
        <v/>
      </c>
      <c r="AA231" s="385" t="str">
        <f t="shared" ref="AA231:AA294" si="84">IF(Y231=".","BAU","R")</f>
        <v>R</v>
      </c>
      <c r="AB231" s="385" t="str">
        <f t="shared" si="81"/>
        <v>R</v>
      </c>
      <c r="AC231" s="323" t="str">
        <f t="shared" si="72"/>
        <v>.cm</v>
      </c>
      <c r="AD231" s="323" t="str">
        <f t="shared" si="73"/>
        <v>R</v>
      </c>
      <c r="AF231" s="369" t="str">
        <f t="shared" si="74"/>
        <v>141-.cm</v>
      </c>
      <c r="AG231" s="369" t="str">
        <f t="shared" si="75"/>
        <v>141-R</v>
      </c>
      <c r="AH231" s="344" t="str">
        <f>IF(coder1_YH!R231="",AH230,coder1_YH!R231)</f>
        <v>7, 8, 9</v>
      </c>
      <c r="AI231" s="344">
        <f t="shared" si="62"/>
        <v>8</v>
      </c>
      <c r="AJ231" s="345">
        <f t="shared" si="76"/>
        <v>1</v>
      </c>
      <c r="AK231" s="408">
        <f>IF(coder1_YH!S231="",AK230,coder1_YH!S231)</f>
        <v>13.2</v>
      </c>
      <c r="AL231" s="345">
        <f>IF(coder1_YH!T231="",AL230,IF(coder1_YH!T231="mixed",0.25,coder1_YH!T231))</f>
        <v>0.50800000000000001</v>
      </c>
      <c r="AM231" s="345">
        <f>IF(coder1_YH!U231 = "", AM230, IF(coder1_YH!U231="mixed","NA",coder1_YH!U231))</f>
        <v>1</v>
      </c>
      <c r="AN231" s="345" t="str">
        <f>IF(coder1_YH!V231="",AN230,coder1_YH!V231)</f>
        <v>NA</v>
      </c>
      <c r="AO231" s="345">
        <f>IF(coder1_YH!W231="",AO230,coder1_YH!W231)</f>
        <v>0.38095238095238093</v>
      </c>
      <c r="AP231" s="345">
        <f>IF(coder1_YH!X231="",AP230,coder1_YH!X231)</f>
        <v>0.71399999999999997</v>
      </c>
      <c r="AQ231" s="345">
        <f>IF(coder1_YH!Y231="",AQ230,coder1_YH!Y231)</f>
        <v>0.90500000000000003</v>
      </c>
      <c r="AR231">
        <f>coder1_YH!AB231</f>
        <v>0</v>
      </c>
      <c r="AS231" s="345" t="str">
        <f>IF(coder1_YH!AC231 = "", AS230,IF(coder1_YH!AC231="BAU","BAU",LEFT(coder1_YH!AC231)))</f>
        <v>1</v>
      </c>
      <c r="AT231" s="345" t="str">
        <f>IF(coder1_YH!AD231 = "", AT230,IF(coder1_YH!AD231="BAU","BAU",LEFT(coder1_YH!AD231)))</f>
        <v>1</v>
      </c>
      <c r="AU231" s="345" t="str">
        <f>IF(coder1_YH!AE231 = "", AU230,IF(coder1_YH!AE231="BAU","BAU",LEFT(coder1_YH!AE231)))</f>
        <v>1</v>
      </c>
      <c r="AV231" s="345">
        <f>IF(coder1_YH!AF231="",AV230,coder1_YH!AF231)</f>
        <v>360</v>
      </c>
      <c r="AW231" s="345">
        <f t="shared" si="77"/>
        <v>6</v>
      </c>
      <c r="AX231" s="345">
        <f>IF(coder1_YH!AG231="",AX230,coder1_YH!AG231)</f>
        <v>12</v>
      </c>
      <c r="AY231" s="345">
        <f>IF(coder1_YH!AH231="",AY230,coder1_YH!AH231)</f>
        <v>30</v>
      </c>
      <c r="AZ231" s="345" t="str">
        <f>IF(coder1_YH!AI231 = "", AZ230, IF(coder1_YH!AI231="BAU","BAU",LEFT(coder1_YH!AI231)))</f>
        <v>1</v>
      </c>
      <c r="BA231" s="384">
        <f>clean_data!Y231</f>
        <v>21</v>
      </c>
    </row>
    <row r="232" spans="1:53" x14ac:dyDescent="0.2">
      <c r="A232">
        <f>coder1_YH!B232</f>
        <v>0</v>
      </c>
      <c r="B232">
        <f>coder1_YH!C232</f>
        <v>232</v>
      </c>
      <c r="C232" t="b">
        <f>coder1_YH!D232</f>
        <v>1</v>
      </c>
      <c r="D232" t="b">
        <f>coder1_YH!E232</f>
        <v>1</v>
      </c>
      <c r="E232" t="b">
        <f>coder1_YH!F232</f>
        <v>1</v>
      </c>
      <c r="F232" s="321" t="str">
        <f>IF(coder1_YH!G232="", clean_mod!F231, coder1_YH!G232)</f>
        <v>Chan， 1996</v>
      </c>
      <c r="G232" s="321" t="str">
        <f t="shared" si="63"/>
        <v>142</v>
      </c>
      <c r="H232" s="321">
        <f>IF(coder1_YH!H232="", clean_mod!H231, coder1_YH!H232)</f>
        <v>142.1</v>
      </c>
      <c r="I232" s="404" t="str">
        <f t="shared" si="78"/>
        <v>1996</v>
      </c>
      <c r="J232" s="344" t="str">
        <f>IF(coder1_YH!I232="",J231,coder1_YH!I232)</f>
        <v>Australia</v>
      </c>
      <c r="K232" s="345">
        <f t="shared" si="64"/>
        <v>1</v>
      </c>
      <c r="L232" s="344" t="str">
        <f>IF(coder1_YH!J232 = "",L231, coder1_YH!J232)</f>
        <v>English</v>
      </c>
      <c r="M232" s="345">
        <f t="shared" si="65"/>
        <v>0</v>
      </c>
      <c r="N232" s="345" t="str">
        <f>IF(coder1_YH!K232 = "", N231, LEFT(coder1_YH!K232,1))</f>
        <v>0</v>
      </c>
      <c r="O232" s="345" t="str">
        <f>IF(coder1_YH!L232 = "", O231, LEFT(coder1_YH!L232,1))</f>
        <v>0</v>
      </c>
      <c r="P232" s="345" t="str">
        <f>IF(coder1_YH!M232 = "", P231, LEFT(coder1_YH!M232,1))</f>
        <v>0</v>
      </c>
      <c r="Q232" s="321">
        <f>coder1_YH!P232</f>
        <v>1</v>
      </c>
      <c r="R232" s="321" t="str">
        <f>coder1_YH!Q232</f>
        <v>SUAT - poor readers</v>
      </c>
      <c r="S232" s="323" t="str">
        <f t="shared" si="66"/>
        <v/>
      </c>
      <c r="T232" s="323" t="str">
        <f t="shared" si="67"/>
        <v/>
      </c>
      <c r="U232" s="323" t="str">
        <f t="shared" si="68"/>
        <v/>
      </c>
      <c r="V232" s="323" t="str">
        <f t="shared" si="69"/>
        <v>T</v>
      </c>
      <c r="W232" s="323">
        <f t="shared" si="70"/>
        <v>1</v>
      </c>
      <c r="X232" s="385" t="str">
        <f>IF(coder1_YH!N232 = "",X231,coder1_YH!N232)</f>
        <v>T</v>
      </c>
      <c r="Y232" s="385" t="str">
        <f>IF(coder1_YH!O232 = "",Y231,coder1_YH!O232)</f>
        <v xml:space="preserve">m </v>
      </c>
      <c r="Z232" s="385" t="str">
        <f t="shared" si="83"/>
        <v>M</v>
      </c>
      <c r="AA232" s="385" t="str">
        <f t="shared" si="84"/>
        <v>R</v>
      </c>
      <c r="AB232" s="385" t="str">
        <f t="shared" si="81"/>
        <v>MR</v>
      </c>
      <c r="AC232" s="323" t="str">
        <f t="shared" si="72"/>
        <v xml:space="preserve">Tm </v>
      </c>
      <c r="AD232" s="323" t="str">
        <f t="shared" si="73"/>
        <v>T_R</v>
      </c>
      <c r="AE232" s="323">
        <f>IF(Y232="cm", 1,0)</f>
        <v>0</v>
      </c>
      <c r="AF232" s="369" t="str">
        <f t="shared" si="74"/>
        <v xml:space="preserve">142.1-Tm </v>
      </c>
      <c r="AG232" s="369" t="str">
        <f t="shared" si="75"/>
        <v>142.1-T_R</v>
      </c>
      <c r="AH232" s="344">
        <f>IF(coder1_YH!R232="",AH231,coder1_YH!R232)</f>
        <v>7</v>
      </c>
      <c r="AI232" s="344">
        <f t="shared" si="62"/>
        <v>7</v>
      </c>
      <c r="AJ232" s="345">
        <f t="shared" si="76"/>
        <v>1</v>
      </c>
      <c r="AK232" s="408">
        <f>IF(coder1_YH!S232="",AK231,coder1_YH!S232)</f>
        <v>13</v>
      </c>
      <c r="AL232" s="345">
        <f>IF(coder1_YH!T232="",AL231,IF(coder1_YH!T232="mixed",0.25,coder1_YH!T232))</f>
        <v>1</v>
      </c>
      <c r="AM232" s="345" t="str">
        <f>IF(coder1_YH!U232 = "", AM231, IF(coder1_YH!U232="mixed","NA",coder1_YH!U232))</f>
        <v>NA</v>
      </c>
      <c r="AN232" s="345">
        <f>IF(coder1_YH!V232="",AN231,coder1_YH!V232)</f>
        <v>1</v>
      </c>
      <c r="AO232" s="345" t="str">
        <f>IF(coder1_YH!W232="",AO231,coder1_YH!W232)</f>
        <v>NA</v>
      </c>
      <c r="AP232" s="345">
        <f>IF(coder1_YH!X232="",AP231,coder1_YH!X232)</f>
        <v>0.67500000000000004</v>
      </c>
      <c r="AQ232" s="345" t="str">
        <f>IF(coder1_YH!Y232="",AQ231,coder1_YH!Y232)</f>
        <v>NA</v>
      </c>
      <c r="AR232" t="str">
        <f>coder1_YH!AB232</f>
        <v>0 = Researcher-developed/adapted curriculum</v>
      </c>
      <c r="AS232" s="345" t="str">
        <f>IF(coder1_YH!AC232 = "", AS231,IF(coder1_YH!AC232="BAU","BAU",LEFT(coder1_YH!AC232)))</f>
        <v>1</v>
      </c>
      <c r="AT232" s="345" t="str">
        <f>IF(coder1_YH!AD232 = "", AT231,IF(coder1_YH!AD232="BAU","BAU",LEFT(coder1_YH!AD232)))</f>
        <v>1</v>
      </c>
      <c r="AU232" s="345" t="str">
        <f>IF(coder1_YH!AE232 = "", AU231,IF(coder1_YH!AE232="BAU","BAU",LEFT(coder1_YH!AE232)))</f>
        <v>0</v>
      </c>
      <c r="AV232" s="345">
        <f>IF(coder1_YH!AF232="",AV231,coder1_YH!AF232)</f>
        <v>540</v>
      </c>
      <c r="AW232" s="345">
        <f t="shared" si="77"/>
        <v>9</v>
      </c>
      <c r="AX232" s="345">
        <f>IF(coder1_YH!AG232="",AX231,coder1_YH!AG232)</f>
        <v>9</v>
      </c>
      <c r="AY232" s="345">
        <f>IF(coder1_YH!AH232="",AY231,coder1_YH!AH232)</f>
        <v>60</v>
      </c>
      <c r="AZ232" s="345" t="str">
        <f>IF(coder1_YH!AI232 = "", AZ231, IF(coder1_YH!AI232="BAU","BAU",LEFT(coder1_YH!AI232)))</f>
        <v>0</v>
      </c>
      <c r="BA232" s="384">
        <f>clean_data!Y232</f>
        <v>11</v>
      </c>
    </row>
    <row r="233" spans="1:53" x14ac:dyDescent="0.2">
      <c r="A233">
        <f>coder1_YH!B233</f>
        <v>0</v>
      </c>
      <c r="B233">
        <f>coder1_YH!C233</f>
        <v>233</v>
      </c>
      <c r="C233">
        <f>coder1_YH!D233</f>
        <v>0</v>
      </c>
      <c r="D233" t="str">
        <f>coder1_YH!E233</f>
        <v/>
      </c>
      <c r="E233" t="b">
        <f>coder1_YH!F233</f>
        <v>1</v>
      </c>
      <c r="F233" s="321" t="str">
        <f>IF(coder1_YH!G233="", clean_mod!F232, coder1_YH!G233)</f>
        <v>Chan， 1996</v>
      </c>
      <c r="G233" s="321" t="str">
        <f t="shared" si="63"/>
        <v>142</v>
      </c>
      <c r="H233" s="321">
        <f>IF(coder1_YH!H233="", clean_mod!H232, coder1_YH!H233)</f>
        <v>142.1</v>
      </c>
      <c r="I233" s="404" t="str">
        <f t="shared" si="78"/>
        <v>1996</v>
      </c>
      <c r="J233" s="344" t="str">
        <f>IF(coder1_YH!I233="",J232,coder1_YH!I233)</f>
        <v>Australia</v>
      </c>
      <c r="K233" s="345">
        <f t="shared" si="64"/>
        <v>1</v>
      </c>
      <c r="L233" s="344" t="str">
        <f>IF(coder1_YH!J233 = "",L232, coder1_YH!J233)</f>
        <v>English</v>
      </c>
      <c r="M233" s="345">
        <f t="shared" si="65"/>
        <v>0</v>
      </c>
      <c r="N233" s="345" t="str">
        <f>IF(coder1_YH!K233 = "", N232, LEFT(coder1_YH!K233,1))</f>
        <v>0</v>
      </c>
      <c r="O233" s="345" t="str">
        <f>IF(coder1_YH!L233 = "", O232, LEFT(coder1_YH!L233,1))</f>
        <v>0</v>
      </c>
      <c r="P233" s="345" t="str">
        <f>IF(coder1_YH!M233 = "", P232, LEFT(coder1_YH!M233,1))</f>
        <v>0</v>
      </c>
      <c r="Q233" s="321">
        <f>coder1_YH!P233</f>
        <v>2</v>
      </c>
      <c r="R233" s="321" t="str">
        <f>coder1_YH!Q233</f>
        <v>SIAT - poor readers</v>
      </c>
      <c r="S233" s="323" t="str">
        <f t="shared" si="66"/>
        <v/>
      </c>
      <c r="T233" s="323" t="str">
        <f t="shared" si="67"/>
        <v/>
      </c>
      <c r="U233" s="323" t="str">
        <f t="shared" si="68"/>
        <v/>
      </c>
      <c r="V233" s="323" t="str">
        <f t="shared" si="69"/>
        <v>T</v>
      </c>
      <c r="W233" s="323">
        <f t="shared" si="70"/>
        <v>1</v>
      </c>
      <c r="X233" s="385" t="str">
        <f>IF(coder1_YH!N233 = "",X232,coder1_YH!N233)</f>
        <v>T</v>
      </c>
      <c r="Y233" s="385" t="str">
        <f>IF(coder1_YH!O233 = "",Y232,coder1_YH!O233)</f>
        <v xml:space="preserve">m </v>
      </c>
      <c r="Z233" s="385" t="str">
        <f t="shared" si="83"/>
        <v>M</v>
      </c>
      <c r="AA233" s="385" t="str">
        <f t="shared" si="84"/>
        <v>R</v>
      </c>
      <c r="AB233" s="385" t="str">
        <f t="shared" si="81"/>
        <v>MR</v>
      </c>
      <c r="AC233" s="323" t="str">
        <f t="shared" si="72"/>
        <v xml:space="preserve">Tm </v>
      </c>
      <c r="AD233" s="323" t="str">
        <f t="shared" si="73"/>
        <v>T_R</v>
      </c>
      <c r="AF233" s="369" t="str">
        <f t="shared" si="74"/>
        <v xml:space="preserve">142.1-Tm </v>
      </c>
      <c r="AG233" s="369" t="str">
        <f t="shared" si="75"/>
        <v>142.1-T_R</v>
      </c>
      <c r="AH233" s="344">
        <f>IF(coder1_YH!R233="",AH232,coder1_YH!R233)</f>
        <v>7</v>
      </c>
      <c r="AI233" s="344">
        <f t="shared" si="62"/>
        <v>7</v>
      </c>
      <c r="AJ233" s="345">
        <f t="shared" si="76"/>
        <v>1</v>
      </c>
      <c r="AK233" s="408">
        <f>IF(coder1_YH!S233="",AK232,coder1_YH!S233)</f>
        <v>13</v>
      </c>
      <c r="AL233" s="345">
        <f>IF(coder1_YH!T233="",AL232,IF(coder1_YH!T233="mixed",0.25,coder1_YH!T233))</f>
        <v>1</v>
      </c>
      <c r="AM233" s="345" t="str">
        <f>IF(coder1_YH!U233 = "", AM232, IF(coder1_YH!U233="mixed","NA",coder1_YH!U233))</f>
        <v>NA</v>
      </c>
      <c r="AN233" s="345">
        <f>IF(coder1_YH!V233="",AN232,coder1_YH!V233)</f>
        <v>1</v>
      </c>
      <c r="AO233" s="345" t="str">
        <f>IF(coder1_YH!W233="",AO232,coder1_YH!W233)</f>
        <v>NA</v>
      </c>
      <c r="AP233" s="345">
        <f>IF(coder1_YH!X233="",AP232,coder1_YH!X233)</f>
        <v>0.67500000000000004</v>
      </c>
      <c r="AQ233" s="345" t="str">
        <f>IF(coder1_YH!Y233="",AQ232,coder1_YH!Y233)</f>
        <v>NA</v>
      </c>
      <c r="AR233" t="str">
        <f>coder1_YH!AB233</f>
        <v>0 = Researcher-developed/adapted curriculum</v>
      </c>
      <c r="AS233" s="345" t="str">
        <f>IF(coder1_YH!AC233 = "", AS232,IF(coder1_YH!AC233="BAU","BAU",LEFT(coder1_YH!AC233)))</f>
        <v>1</v>
      </c>
      <c r="AT233" s="345" t="str">
        <f>IF(coder1_YH!AD233 = "", AT232,IF(coder1_YH!AD233="BAU","BAU",LEFT(coder1_YH!AD233)))</f>
        <v>1</v>
      </c>
      <c r="AU233" s="345" t="str">
        <f>IF(coder1_YH!AE233 = "", AU232,IF(coder1_YH!AE233="BAU","BAU",LEFT(coder1_YH!AE233)))</f>
        <v>0</v>
      </c>
      <c r="AV233" s="345">
        <f>IF(coder1_YH!AF233="",AV232,coder1_YH!AF233)</f>
        <v>540</v>
      </c>
      <c r="AW233" s="345">
        <f t="shared" si="77"/>
        <v>9</v>
      </c>
      <c r="AX233" s="345">
        <f>IF(coder1_YH!AG233="",AX232,coder1_YH!AG233)</f>
        <v>9</v>
      </c>
      <c r="AY233" s="345">
        <f>IF(coder1_YH!AH233="",AY232,coder1_YH!AH233)</f>
        <v>60</v>
      </c>
      <c r="AZ233" s="345" t="str">
        <f>IF(coder1_YH!AI233 = "", AZ232, IF(coder1_YH!AI233="BAU","BAU",LEFT(coder1_YH!AI233)))</f>
        <v>0</v>
      </c>
      <c r="BA233" s="384">
        <f>clean_data!Y233</f>
        <v>9</v>
      </c>
    </row>
    <row r="234" spans="1:53" x14ac:dyDescent="0.2">
      <c r="A234" t="str">
        <f>coder1_YH!B234</f>
        <v>EX</v>
      </c>
      <c r="B234">
        <f>coder1_YH!C234</f>
        <v>234</v>
      </c>
      <c r="C234">
        <f>coder1_YH!D234</f>
        <v>0</v>
      </c>
      <c r="D234" t="str">
        <f>coder1_YH!E234</f>
        <v/>
      </c>
      <c r="E234" t="b">
        <f>coder1_YH!F234</f>
        <v>1</v>
      </c>
      <c r="F234" s="321" t="str">
        <f>IF(coder1_YH!G234="", clean_mod!F233, coder1_YH!G234)</f>
        <v>Chan， 1996</v>
      </c>
      <c r="G234" s="321" t="str">
        <f t="shared" si="63"/>
        <v>142</v>
      </c>
      <c r="H234" s="321">
        <f>IF(coder1_YH!H234="", clean_mod!H233, coder1_YH!H234)</f>
        <v>142.1</v>
      </c>
      <c r="I234" s="404" t="str">
        <f t="shared" si="78"/>
        <v>1996</v>
      </c>
      <c r="J234" s="344" t="str">
        <f>IF(coder1_YH!I234="",J233,coder1_YH!I234)</f>
        <v>Australia</v>
      </c>
      <c r="K234" s="345">
        <f t="shared" si="64"/>
        <v>1</v>
      </c>
      <c r="L234" s="344" t="str">
        <f>IF(coder1_YH!J234 = "",L233, coder1_YH!J234)</f>
        <v>English</v>
      </c>
      <c r="M234" s="345">
        <f t="shared" si="65"/>
        <v>0</v>
      </c>
      <c r="N234" s="345" t="str">
        <f>IF(coder1_YH!K234 = "", N233, LEFT(coder1_YH!K234,1))</f>
        <v>0</v>
      </c>
      <c r="O234" s="345" t="str">
        <f>IF(coder1_YH!L234 = "", O233, LEFT(coder1_YH!L234,1))</f>
        <v>0</v>
      </c>
      <c r="P234" s="345" t="str">
        <f>IF(coder1_YH!M234 = "", P233, LEFT(coder1_YH!M234,1))</f>
        <v>0</v>
      </c>
      <c r="Q234" s="321" t="str">
        <f>coder1_YH!P234</f>
        <v>EX</v>
      </c>
      <c r="R234" s="321" t="str">
        <f>coder1_YH!Q234</f>
        <v>AT - poor readers</v>
      </c>
      <c r="S234" s="323" t="str">
        <f t="shared" si="66"/>
        <v>N</v>
      </c>
      <c r="T234" s="323" t="str">
        <f t="shared" si="67"/>
        <v/>
      </c>
      <c r="U234" s="323" t="str">
        <f t="shared" si="68"/>
        <v/>
      </c>
      <c r="V234" s="323" t="str">
        <f t="shared" si="69"/>
        <v/>
      </c>
      <c r="W234" s="323">
        <f t="shared" si="70"/>
        <v>1</v>
      </c>
      <c r="X234" s="385" t="str">
        <f>IF(coder1_YH!N234 = "",X233,coder1_YH!N234)</f>
        <v>EX_M_only</v>
      </c>
      <c r="Y234" s="385" t="str">
        <f>IF(coder1_YH!O234 = "",Y233,coder1_YH!O234)</f>
        <v>EX_M_only</v>
      </c>
      <c r="Z234" s="385" t="str">
        <f t="shared" si="83"/>
        <v>M</v>
      </c>
      <c r="AA234" s="385" t="str">
        <f t="shared" si="84"/>
        <v>R</v>
      </c>
      <c r="AB234" s="385" t="str">
        <f t="shared" si="81"/>
        <v>MR</v>
      </c>
      <c r="AC234" s="323" t="str">
        <f t="shared" si="72"/>
        <v>EX_M_onlyEX_M_only</v>
      </c>
      <c r="AD234" s="323" t="str">
        <f t="shared" si="73"/>
        <v>EX_M_only_R</v>
      </c>
      <c r="AF234" s="369" t="str">
        <f t="shared" si="74"/>
        <v>142.1-EX_M_onlyEX_M_only</v>
      </c>
      <c r="AG234" s="369" t="str">
        <f t="shared" si="75"/>
        <v>142.1-EX_M_only_R</v>
      </c>
      <c r="AH234" s="344">
        <f>IF(coder1_YH!R234="",AH233,coder1_YH!R234)</f>
        <v>7</v>
      </c>
      <c r="AI234" s="344">
        <f t="shared" si="62"/>
        <v>7</v>
      </c>
      <c r="AJ234" s="345">
        <f t="shared" si="76"/>
        <v>1</v>
      </c>
      <c r="AK234" s="408">
        <f>IF(coder1_YH!S234="",AK233,coder1_YH!S234)</f>
        <v>13</v>
      </c>
      <c r="AL234" s="345">
        <f>IF(coder1_YH!T234="",AL233,IF(coder1_YH!T234="mixed",0.25,coder1_YH!T234))</f>
        <v>1</v>
      </c>
      <c r="AM234" s="345" t="str">
        <f>IF(coder1_YH!U234 = "", AM233, IF(coder1_YH!U234="mixed","NA",coder1_YH!U234))</f>
        <v>NA</v>
      </c>
      <c r="AN234" s="345">
        <f>IF(coder1_YH!V234="",AN233,coder1_YH!V234)</f>
        <v>1</v>
      </c>
      <c r="AO234" s="345" t="str">
        <f>IF(coder1_YH!W234="",AO233,coder1_YH!W234)</f>
        <v>NA</v>
      </c>
      <c r="AP234" s="345">
        <f>IF(coder1_YH!X234="",AP233,coder1_YH!X234)</f>
        <v>0.67500000000000004</v>
      </c>
      <c r="AQ234" s="345" t="str">
        <f>IF(coder1_YH!Y234="",AQ233,coder1_YH!Y234)</f>
        <v>NA</v>
      </c>
      <c r="AR234" t="str">
        <f>coder1_YH!AB234</f>
        <v>0 = Researcher-developed/adapted curriculum</v>
      </c>
      <c r="AS234" s="345" t="str">
        <f>IF(coder1_YH!AC234 = "", AS233,IF(coder1_YH!AC234="BAU","BAU",LEFT(coder1_YH!AC234)))</f>
        <v>1</v>
      </c>
      <c r="AT234" s="345" t="str">
        <f>IF(coder1_YH!AD234 = "", AT233,IF(coder1_YH!AD234="BAU","BAU",LEFT(coder1_YH!AD234)))</f>
        <v>1</v>
      </c>
      <c r="AU234" s="345" t="str">
        <f>IF(coder1_YH!AE234 = "", AU233,IF(coder1_YH!AE234="BAU","BAU",LEFT(coder1_YH!AE234)))</f>
        <v>0</v>
      </c>
      <c r="AV234" s="345">
        <f>IF(coder1_YH!AF234="",AV233,coder1_YH!AF234)</f>
        <v>540</v>
      </c>
      <c r="AW234" s="345">
        <f t="shared" si="77"/>
        <v>9</v>
      </c>
      <c r="AX234" s="345">
        <f>IF(coder1_YH!AG234="",AX233,coder1_YH!AG234)</f>
        <v>9</v>
      </c>
      <c r="AY234" s="345">
        <f>IF(coder1_YH!AH234="",AY233,coder1_YH!AH234)</f>
        <v>60</v>
      </c>
      <c r="AZ234" s="345" t="str">
        <f>IF(coder1_YH!AI234 = "", AZ233, IF(coder1_YH!AI234="BAU","BAU",LEFT(coder1_YH!AI234)))</f>
        <v>0</v>
      </c>
      <c r="BA234" s="384">
        <f>clean_data!Y234</f>
        <v>11</v>
      </c>
    </row>
    <row r="235" spans="1:53" x14ac:dyDescent="0.2">
      <c r="A235">
        <f>coder1_YH!B235</f>
        <v>0</v>
      </c>
      <c r="B235">
        <f>coder1_YH!C235</f>
        <v>235</v>
      </c>
      <c r="C235">
        <f>coder1_YH!D235</f>
        <v>0</v>
      </c>
      <c r="D235" t="str">
        <f>coder1_YH!E235</f>
        <v/>
      </c>
      <c r="E235" t="b">
        <f>coder1_YH!F235</f>
        <v>1</v>
      </c>
      <c r="F235" s="321" t="str">
        <f>IF(coder1_YH!G235="", clean_mod!F234, coder1_YH!G235)</f>
        <v>Chan， 1996</v>
      </c>
      <c r="G235" s="321" t="str">
        <f t="shared" si="63"/>
        <v>142</v>
      </c>
      <c r="H235" s="321">
        <f>IF(coder1_YH!H235="", clean_mod!H234, coder1_YH!H235)</f>
        <v>142.1</v>
      </c>
      <c r="I235" s="404" t="str">
        <f t="shared" si="78"/>
        <v>1996</v>
      </c>
      <c r="J235" s="344" t="str">
        <f>IF(coder1_YH!I235="",J234,coder1_YH!I235)</f>
        <v>Australia</v>
      </c>
      <c r="K235" s="345">
        <f t="shared" si="64"/>
        <v>1</v>
      </c>
      <c r="L235" s="344" t="str">
        <f>IF(coder1_YH!J235 = "",L234, coder1_YH!J235)</f>
        <v>English</v>
      </c>
      <c r="M235" s="345">
        <f t="shared" si="65"/>
        <v>0</v>
      </c>
      <c r="N235" s="345" t="str">
        <f>IF(coder1_YH!K235 = "", N234, LEFT(coder1_YH!K235,1))</f>
        <v>0</v>
      </c>
      <c r="O235" s="345" t="str">
        <f>IF(coder1_YH!L235 = "", O234, LEFT(coder1_YH!L235,1))</f>
        <v>0</v>
      </c>
      <c r="P235" s="345" t="str">
        <f>IF(coder1_YH!M235 = "", P234, LEFT(coder1_YH!M235,1))</f>
        <v>0</v>
      </c>
      <c r="Q235" s="321" t="str">
        <f>coder1_YH!P235</f>
        <v>ctl</v>
      </c>
      <c r="R235" s="321" t="str">
        <f>coder1_YH!Q235</f>
        <v>ST - poor readers</v>
      </c>
      <c r="S235" s="323" t="str">
        <f t="shared" si="66"/>
        <v/>
      </c>
      <c r="T235" s="323" t="str">
        <f t="shared" si="67"/>
        <v/>
      </c>
      <c r="U235" s="323" t="str">
        <f t="shared" si="68"/>
        <v/>
      </c>
      <c r="V235" s="323" t="str">
        <f t="shared" si="69"/>
        <v/>
      </c>
      <c r="W235" s="323">
        <f t="shared" si="70"/>
        <v>0</v>
      </c>
      <c r="X235" s="385" t="str">
        <f>IF(coder1_YH!N235 = "",X234,coder1_YH!N235)</f>
        <v>.</v>
      </c>
      <c r="Y235" s="385" t="str">
        <f>IF(coder1_YH!O235 = "",Y234,coder1_YH!O235)</f>
        <v xml:space="preserve">m </v>
      </c>
      <c r="Z235" s="385" t="str">
        <f t="shared" si="83"/>
        <v/>
      </c>
      <c r="AA235" s="385" t="str">
        <f t="shared" si="84"/>
        <v>R</v>
      </c>
      <c r="AB235" s="385" t="str">
        <f t="shared" si="81"/>
        <v>R</v>
      </c>
      <c r="AC235" s="323" t="str">
        <f t="shared" si="72"/>
        <v xml:space="preserve">.m </v>
      </c>
      <c r="AD235" s="323" t="str">
        <f t="shared" si="73"/>
        <v>R</v>
      </c>
      <c r="AF235" s="369" t="str">
        <f t="shared" si="74"/>
        <v xml:space="preserve">142.1-.m </v>
      </c>
      <c r="AG235" s="369" t="str">
        <f t="shared" si="75"/>
        <v>142.1-R</v>
      </c>
      <c r="AH235" s="344">
        <f>IF(coder1_YH!R235="",AH234,coder1_YH!R235)</f>
        <v>7</v>
      </c>
      <c r="AI235" s="344">
        <f t="shared" si="62"/>
        <v>7</v>
      </c>
      <c r="AJ235" s="345">
        <f t="shared" si="76"/>
        <v>1</v>
      </c>
      <c r="AK235" s="408">
        <f>IF(coder1_YH!S235="",AK234,coder1_YH!S235)</f>
        <v>13</v>
      </c>
      <c r="AL235" s="345">
        <f>IF(coder1_YH!T235="",AL234,IF(coder1_YH!T235="mixed",0.25,coder1_YH!T235))</f>
        <v>1</v>
      </c>
      <c r="AM235" s="345" t="str">
        <f>IF(coder1_YH!U235 = "", AM234, IF(coder1_YH!U235="mixed","NA",coder1_YH!U235))</f>
        <v>NA</v>
      </c>
      <c r="AN235" s="345">
        <f>IF(coder1_YH!V235="",AN234,coder1_YH!V235)</f>
        <v>1</v>
      </c>
      <c r="AO235" s="345" t="str">
        <f>IF(coder1_YH!W235="",AO234,coder1_YH!W235)</f>
        <v>NA</v>
      </c>
      <c r="AP235" s="345">
        <f>IF(coder1_YH!X235="",AP234,coder1_YH!X235)</f>
        <v>0.67500000000000004</v>
      </c>
      <c r="AQ235" s="345" t="str">
        <f>IF(coder1_YH!Y235="",AQ234,coder1_YH!Y235)</f>
        <v>NA</v>
      </c>
      <c r="AR235" t="str">
        <f>coder1_YH!AB235</f>
        <v>0 = Researcher-developed/adapted curriculum</v>
      </c>
      <c r="AS235" s="345" t="str">
        <f>IF(coder1_YH!AC235 = "", AS234,IF(coder1_YH!AC235="BAU","BAU",LEFT(coder1_YH!AC235)))</f>
        <v>1</v>
      </c>
      <c r="AT235" s="345" t="str">
        <f>IF(coder1_YH!AD235 = "", AT234,IF(coder1_YH!AD235="BAU","BAU",LEFT(coder1_YH!AD235)))</f>
        <v>1</v>
      </c>
      <c r="AU235" s="345" t="str">
        <f>IF(coder1_YH!AE235 = "", AU234,IF(coder1_YH!AE235="BAU","BAU",LEFT(coder1_YH!AE235)))</f>
        <v>0</v>
      </c>
      <c r="AV235" s="345">
        <f>IF(coder1_YH!AF235="",AV234,coder1_YH!AF235)</f>
        <v>540</v>
      </c>
      <c r="AW235" s="345">
        <f t="shared" si="77"/>
        <v>9</v>
      </c>
      <c r="AX235" s="345">
        <f>IF(coder1_YH!AG235="",AX234,coder1_YH!AG235)</f>
        <v>9</v>
      </c>
      <c r="AY235" s="345">
        <f>IF(coder1_YH!AH235="",AY234,coder1_YH!AH235)</f>
        <v>60</v>
      </c>
      <c r="AZ235" s="345" t="str">
        <f>IF(coder1_YH!AI235 = "", AZ234, IF(coder1_YH!AI235="BAU","BAU",LEFT(coder1_YH!AI235)))</f>
        <v>0</v>
      </c>
      <c r="BA235" s="384">
        <f>clean_data!Y235</f>
        <v>9</v>
      </c>
    </row>
    <row r="236" spans="1:53" x14ac:dyDescent="0.2">
      <c r="A236">
        <f>coder1_YH!B236</f>
        <v>0</v>
      </c>
      <c r="B236">
        <f>coder1_YH!C236</f>
        <v>236</v>
      </c>
      <c r="C236">
        <f>coder1_YH!D236</f>
        <v>0</v>
      </c>
      <c r="D236" t="b">
        <f>coder1_YH!E236</f>
        <v>1</v>
      </c>
      <c r="E236" t="b">
        <f>coder1_YH!F236</f>
        <v>1</v>
      </c>
      <c r="F236" s="321" t="str">
        <f>IF(coder1_YH!G236="", clean_mod!F235, coder1_YH!G236)</f>
        <v>Chan， 1996</v>
      </c>
      <c r="G236" s="321" t="str">
        <f t="shared" si="63"/>
        <v>142</v>
      </c>
      <c r="H236" s="321">
        <f>IF(coder1_YH!H236="", clean_mod!H235, coder1_YH!H236)</f>
        <v>142.19999999999999</v>
      </c>
      <c r="I236" s="404" t="str">
        <f t="shared" si="78"/>
        <v>1996</v>
      </c>
      <c r="J236" s="344" t="str">
        <f>IF(coder1_YH!I236="",J235,coder1_YH!I236)</f>
        <v>Australia</v>
      </c>
      <c r="K236" s="345">
        <f t="shared" si="64"/>
        <v>1</v>
      </c>
      <c r="L236" s="344" t="str">
        <f>IF(coder1_YH!J236 = "",L235, coder1_YH!J236)</f>
        <v>English</v>
      </c>
      <c r="M236" s="345">
        <f t="shared" si="65"/>
        <v>0</v>
      </c>
      <c r="N236" s="345" t="str">
        <f>IF(coder1_YH!K236 = "", N235, LEFT(coder1_YH!K236,1))</f>
        <v>0</v>
      </c>
      <c r="O236" s="345" t="str">
        <f>IF(coder1_YH!L236 = "", O235, LEFT(coder1_YH!L236,1))</f>
        <v>0</v>
      </c>
      <c r="P236" s="345" t="str">
        <f>IF(coder1_YH!M236 = "", P235, LEFT(coder1_YH!M236,1))</f>
        <v>0</v>
      </c>
      <c r="Q236" s="321">
        <f>coder1_YH!P236</f>
        <v>1</v>
      </c>
      <c r="R236" s="321" t="str">
        <f>coder1_YH!Q236</f>
        <v>SUAT - ave. readers</v>
      </c>
      <c r="S236" s="323" t="str">
        <f t="shared" si="66"/>
        <v/>
      </c>
      <c r="T236" s="323" t="str">
        <f t="shared" si="67"/>
        <v/>
      </c>
      <c r="U236" s="323" t="str">
        <f t="shared" si="68"/>
        <v/>
      </c>
      <c r="V236" s="323" t="str">
        <f t="shared" si="69"/>
        <v>T</v>
      </c>
      <c r="W236" s="323">
        <f t="shared" si="70"/>
        <v>1</v>
      </c>
      <c r="X236" s="385" t="str">
        <f>IF(coder1_YH!N236 = "",X235,coder1_YH!N236)</f>
        <v>T</v>
      </c>
      <c r="Y236" s="385" t="str">
        <f>IF(coder1_YH!O236 = "",Y235,coder1_YH!O236)</f>
        <v xml:space="preserve">m </v>
      </c>
      <c r="Z236" s="385" t="str">
        <f t="shared" si="83"/>
        <v>M</v>
      </c>
      <c r="AA236" s="385" t="str">
        <f t="shared" si="84"/>
        <v>R</v>
      </c>
      <c r="AB236" s="385" t="str">
        <f t="shared" si="81"/>
        <v>MR</v>
      </c>
      <c r="AC236" s="323" t="str">
        <f t="shared" si="72"/>
        <v xml:space="preserve">Tm </v>
      </c>
      <c r="AD236" s="323" t="str">
        <f t="shared" si="73"/>
        <v>T_R</v>
      </c>
      <c r="AE236" s="323">
        <f>IF(Y236="cm", 1,0)</f>
        <v>0</v>
      </c>
      <c r="AF236" s="369" t="str">
        <f t="shared" si="74"/>
        <v xml:space="preserve">142.2-Tm </v>
      </c>
      <c r="AG236" s="369" t="str">
        <f t="shared" si="75"/>
        <v>142.2-T_R</v>
      </c>
      <c r="AH236" s="344">
        <f>IF(coder1_YH!R236="",AH235,coder1_YH!R236)</f>
        <v>7</v>
      </c>
      <c r="AI236" s="344">
        <f t="shared" si="62"/>
        <v>7</v>
      </c>
      <c r="AJ236" s="345">
        <f t="shared" si="76"/>
        <v>1</v>
      </c>
      <c r="AK236" s="408">
        <f>IF(coder1_YH!S236="",AK235,coder1_YH!S236)</f>
        <v>13</v>
      </c>
      <c r="AL236" s="345">
        <f>IF(coder1_YH!T236="",AL235,IF(coder1_YH!T236="mixed",0.25,coder1_YH!T236))</f>
        <v>0</v>
      </c>
      <c r="AM236" s="345" t="str">
        <f>IF(coder1_YH!U236 = "", AM235, IF(coder1_YH!U236="mixed","NA",coder1_YH!U236))</f>
        <v>NA</v>
      </c>
      <c r="AN236" s="345">
        <f>IF(coder1_YH!V236="",AN235,coder1_YH!V236)</f>
        <v>1</v>
      </c>
      <c r="AO236" s="345" t="str">
        <f>IF(coder1_YH!W236="",AO235,coder1_YH!W236)</f>
        <v>NA</v>
      </c>
      <c r="AP236" s="345">
        <f>IF(coder1_YH!X236="",AP235,coder1_YH!X236)</f>
        <v>0.5178571428571429</v>
      </c>
      <c r="AQ236" s="345" t="str">
        <f>IF(coder1_YH!Y236="",AQ235,coder1_YH!Y236)</f>
        <v>NA</v>
      </c>
      <c r="AR236" t="str">
        <f>coder1_YH!AB236</f>
        <v>0 = Researcher-developed/adapted curriculum</v>
      </c>
      <c r="AS236" s="345" t="str">
        <f>IF(coder1_YH!AC236 = "", AS235,IF(coder1_YH!AC236="BAU","BAU",LEFT(coder1_YH!AC236)))</f>
        <v>1</v>
      </c>
      <c r="AT236" s="345" t="str">
        <f>IF(coder1_YH!AD236 = "", AT235,IF(coder1_YH!AD236="BAU","BAU",LEFT(coder1_YH!AD236)))</f>
        <v>1</v>
      </c>
      <c r="AU236" s="345" t="str">
        <f>IF(coder1_YH!AE236 = "", AU235,IF(coder1_YH!AE236="BAU","BAU",LEFT(coder1_YH!AE236)))</f>
        <v>0</v>
      </c>
      <c r="AV236" s="345">
        <f>IF(coder1_YH!AF236="",AV235,coder1_YH!AF236)</f>
        <v>540</v>
      </c>
      <c r="AW236" s="345">
        <f t="shared" si="77"/>
        <v>9</v>
      </c>
      <c r="AX236" s="345">
        <f>IF(coder1_YH!AG236="",AX235,coder1_YH!AG236)</f>
        <v>9</v>
      </c>
      <c r="AY236" s="345">
        <f>IF(coder1_YH!AH236="",AY235,coder1_YH!AH236)</f>
        <v>60</v>
      </c>
      <c r="AZ236" s="345" t="str">
        <f>IF(coder1_YH!AI236 = "", AZ235, IF(coder1_YH!AI236="BAU","BAU",LEFT(coder1_YH!AI236)))</f>
        <v>0</v>
      </c>
      <c r="BA236" s="384">
        <f>clean_data!Y236</f>
        <v>18</v>
      </c>
    </row>
    <row r="237" spans="1:53" x14ac:dyDescent="0.2">
      <c r="A237">
        <f>coder1_YH!B237</f>
        <v>0</v>
      </c>
      <c r="B237">
        <f>coder1_YH!C237</f>
        <v>237</v>
      </c>
      <c r="C237">
        <f>coder1_YH!D237</f>
        <v>0</v>
      </c>
      <c r="D237" t="str">
        <f>coder1_YH!E237</f>
        <v/>
      </c>
      <c r="E237" t="b">
        <f>coder1_YH!F237</f>
        <v>1</v>
      </c>
      <c r="F237" s="321" t="str">
        <f>IF(coder1_YH!G237="", clean_mod!F236, coder1_YH!G237)</f>
        <v>Chan， 1996</v>
      </c>
      <c r="G237" s="321" t="str">
        <f t="shared" si="63"/>
        <v>142</v>
      </c>
      <c r="H237" s="321">
        <f>IF(coder1_YH!H237="", clean_mod!H236, coder1_YH!H237)</f>
        <v>142.19999999999999</v>
      </c>
      <c r="I237" s="404" t="str">
        <f t="shared" si="78"/>
        <v>1996</v>
      </c>
      <c r="J237" s="344" t="str">
        <f>IF(coder1_YH!I237="",J236,coder1_YH!I237)</f>
        <v>Australia</v>
      </c>
      <c r="K237" s="345">
        <f t="shared" si="64"/>
        <v>1</v>
      </c>
      <c r="L237" s="344" t="str">
        <f>IF(coder1_YH!J237 = "",L236, coder1_YH!J237)</f>
        <v>English</v>
      </c>
      <c r="M237" s="345">
        <f t="shared" si="65"/>
        <v>0</v>
      </c>
      <c r="N237" s="345" t="str">
        <f>IF(coder1_YH!K237 = "", N236, LEFT(coder1_YH!K237,1))</f>
        <v>0</v>
      </c>
      <c r="O237" s="345" t="str">
        <f>IF(coder1_YH!L237 = "", O236, LEFT(coder1_YH!L237,1))</f>
        <v>0</v>
      </c>
      <c r="P237" s="345" t="str">
        <f>IF(coder1_YH!M237 = "", P236, LEFT(coder1_YH!M237,1))</f>
        <v>0</v>
      </c>
      <c r="Q237" s="321">
        <f>coder1_YH!P237</f>
        <v>2</v>
      </c>
      <c r="R237" s="321" t="str">
        <f>coder1_YH!Q237</f>
        <v>SIAT - ave. readers</v>
      </c>
      <c r="S237" s="323" t="str">
        <f t="shared" si="66"/>
        <v/>
      </c>
      <c r="T237" s="323" t="str">
        <f t="shared" si="67"/>
        <v/>
      </c>
      <c r="U237" s="323" t="str">
        <f t="shared" si="68"/>
        <v/>
      </c>
      <c r="V237" s="323" t="str">
        <f t="shared" si="69"/>
        <v>T</v>
      </c>
      <c r="W237" s="323">
        <f t="shared" si="70"/>
        <v>1</v>
      </c>
      <c r="X237" s="385" t="str">
        <f>IF(coder1_YH!N237 = "",X236,coder1_YH!N237)</f>
        <v>T</v>
      </c>
      <c r="Y237" s="385" t="str">
        <f>IF(coder1_YH!O237 = "",Y236,coder1_YH!O237)</f>
        <v xml:space="preserve">m </v>
      </c>
      <c r="Z237" s="385" t="str">
        <f t="shared" si="83"/>
        <v>M</v>
      </c>
      <c r="AA237" s="385" t="str">
        <f t="shared" si="84"/>
        <v>R</v>
      </c>
      <c r="AB237" s="385" t="str">
        <f t="shared" si="81"/>
        <v>MR</v>
      </c>
      <c r="AC237" s="323" t="str">
        <f t="shared" si="72"/>
        <v xml:space="preserve">Tm </v>
      </c>
      <c r="AD237" s="323" t="str">
        <f t="shared" si="73"/>
        <v>T_R</v>
      </c>
      <c r="AF237" s="369" t="str">
        <f t="shared" si="74"/>
        <v xml:space="preserve">142.2-Tm </v>
      </c>
      <c r="AG237" s="369" t="str">
        <f t="shared" si="75"/>
        <v>142.2-T_R</v>
      </c>
      <c r="AH237" s="344">
        <f>IF(coder1_YH!R237="",AH236,coder1_YH!R237)</f>
        <v>7</v>
      </c>
      <c r="AI237" s="344">
        <f t="shared" si="62"/>
        <v>7</v>
      </c>
      <c r="AJ237" s="345">
        <f t="shared" si="76"/>
        <v>1</v>
      </c>
      <c r="AK237" s="408">
        <f>IF(coder1_YH!S237="",AK236,coder1_YH!S237)</f>
        <v>13</v>
      </c>
      <c r="AL237" s="345">
        <f>IF(coder1_YH!T237="",AL236,IF(coder1_YH!T237="mixed",0.25,coder1_YH!T237))</f>
        <v>0</v>
      </c>
      <c r="AM237" s="345" t="str">
        <f>IF(coder1_YH!U237 = "", AM236, IF(coder1_YH!U237="mixed","NA",coder1_YH!U237))</f>
        <v>NA</v>
      </c>
      <c r="AN237" s="345">
        <f>IF(coder1_YH!V237="",AN236,coder1_YH!V237)</f>
        <v>1</v>
      </c>
      <c r="AO237" s="345" t="str">
        <f>IF(coder1_YH!W237="",AO236,coder1_YH!W237)</f>
        <v>NA</v>
      </c>
      <c r="AP237" s="345">
        <f>IF(coder1_YH!X237="",AP236,coder1_YH!X237)</f>
        <v>0.5178571428571429</v>
      </c>
      <c r="AQ237" s="345" t="str">
        <f>IF(coder1_YH!Y237="",AQ236,coder1_YH!Y237)</f>
        <v>NA</v>
      </c>
      <c r="AR237" t="str">
        <f>coder1_YH!AB237</f>
        <v>0 = Researcher-developed/adapted curriculum</v>
      </c>
      <c r="AS237" s="345" t="str">
        <f>IF(coder1_YH!AC237 = "", AS236,IF(coder1_YH!AC237="BAU","BAU",LEFT(coder1_YH!AC237)))</f>
        <v>1</v>
      </c>
      <c r="AT237" s="345" t="str">
        <f>IF(coder1_YH!AD237 = "", AT236,IF(coder1_YH!AD237="BAU","BAU",LEFT(coder1_YH!AD237)))</f>
        <v>1</v>
      </c>
      <c r="AU237" s="345" t="str">
        <f>IF(coder1_YH!AE237 = "", AU236,IF(coder1_YH!AE237="BAU","BAU",LEFT(coder1_YH!AE237)))</f>
        <v>0</v>
      </c>
      <c r="AV237" s="345">
        <f>IF(coder1_YH!AF237="",AV236,coder1_YH!AF237)</f>
        <v>540</v>
      </c>
      <c r="AW237" s="345">
        <f t="shared" si="77"/>
        <v>9</v>
      </c>
      <c r="AX237" s="345">
        <f>IF(coder1_YH!AG237="",AX236,coder1_YH!AG237)</f>
        <v>9</v>
      </c>
      <c r="AY237" s="345">
        <f>IF(coder1_YH!AH237="",AY236,coder1_YH!AH237)</f>
        <v>60</v>
      </c>
      <c r="AZ237" s="345" t="str">
        <f>IF(coder1_YH!AI237 = "", AZ236, IF(coder1_YH!AI237="BAU","BAU",LEFT(coder1_YH!AI237)))</f>
        <v>0</v>
      </c>
      <c r="BA237" s="384">
        <f>clean_data!Y237</f>
        <v>11</v>
      </c>
    </row>
    <row r="238" spans="1:53" x14ac:dyDescent="0.2">
      <c r="A238" t="str">
        <f>coder1_YH!B238</f>
        <v>EX</v>
      </c>
      <c r="B238">
        <f>coder1_YH!C238</f>
        <v>238</v>
      </c>
      <c r="C238">
        <f>coder1_YH!D238</f>
        <v>0</v>
      </c>
      <c r="D238" t="str">
        <f>coder1_YH!E238</f>
        <v/>
      </c>
      <c r="E238" t="b">
        <f>coder1_YH!F238</f>
        <v>1</v>
      </c>
      <c r="F238" s="321" t="str">
        <f>IF(coder1_YH!G238="", clean_mod!F237, coder1_YH!G238)</f>
        <v>Chan， 1996</v>
      </c>
      <c r="G238" s="321" t="str">
        <f t="shared" si="63"/>
        <v>142</v>
      </c>
      <c r="H238" s="321">
        <f>IF(coder1_YH!H238="", clean_mod!H237, coder1_YH!H238)</f>
        <v>142.19999999999999</v>
      </c>
      <c r="I238" s="404" t="str">
        <f t="shared" si="78"/>
        <v>1996</v>
      </c>
      <c r="J238" s="344" t="str">
        <f>IF(coder1_YH!I238="",J237,coder1_YH!I238)</f>
        <v>Australia</v>
      </c>
      <c r="K238" s="345">
        <f t="shared" si="64"/>
        <v>1</v>
      </c>
      <c r="L238" s="344" t="str">
        <f>IF(coder1_YH!J238 = "",L237, coder1_YH!J238)</f>
        <v>English</v>
      </c>
      <c r="M238" s="345">
        <f t="shared" si="65"/>
        <v>0</v>
      </c>
      <c r="N238" s="345" t="str">
        <f>IF(coder1_YH!K238 = "", N237, LEFT(coder1_YH!K238,1))</f>
        <v>0</v>
      </c>
      <c r="O238" s="345" t="str">
        <f>IF(coder1_YH!L238 = "", O237, LEFT(coder1_YH!L238,1))</f>
        <v>0</v>
      </c>
      <c r="P238" s="345" t="str">
        <f>IF(coder1_YH!M238 = "", P237, LEFT(coder1_YH!M238,1))</f>
        <v>0</v>
      </c>
      <c r="Q238" s="321" t="str">
        <f>coder1_YH!P238</f>
        <v>EX</v>
      </c>
      <c r="R238" s="321" t="str">
        <f>coder1_YH!Q238</f>
        <v>AT - ave. readers</v>
      </c>
      <c r="S238" s="323" t="str">
        <f t="shared" si="66"/>
        <v>N</v>
      </c>
      <c r="T238" s="323" t="str">
        <f t="shared" si="67"/>
        <v/>
      </c>
      <c r="U238" s="323" t="str">
        <f t="shared" si="68"/>
        <v/>
      </c>
      <c r="V238" s="323" t="str">
        <f t="shared" si="69"/>
        <v/>
      </c>
      <c r="W238" s="323">
        <f t="shared" si="70"/>
        <v>1</v>
      </c>
      <c r="X238" s="385" t="str">
        <f>IF(coder1_YH!N238 = "",X237,coder1_YH!N238)</f>
        <v>EX_M_only</v>
      </c>
      <c r="Y238" s="385" t="str">
        <f>IF(coder1_YH!O238 = "",Y237,coder1_YH!O238)</f>
        <v>EX_M_only</v>
      </c>
      <c r="Z238" s="385" t="str">
        <f t="shared" si="83"/>
        <v>M</v>
      </c>
      <c r="AA238" s="385" t="str">
        <f t="shared" si="84"/>
        <v>R</v>
      </c>
      <c r="AB238" s="385" t="str">
        <f t="shared" si="81"/>
        <v>MR</v>
      </c>
      <c r="AC238" s="323" t="str">
        <f t="shared" si="72"/>
        <v>EX_M_onlyEX_M_only</v>
      </c>
      <c r="AD238" s="323" t="str">
        <f t="shared" si="73"/>
        <v>EX_M_only_R</v>
      </c>
      <c r="AF238" s="369" t="str">
        <f t="shared" si="74"/>
        <v>142.2-EX_M_onlyEX_M_only</v>
      </c>
      <c r="AG238" s="369" t="str">
        <f t="shared" si="75"/>
        <v>142.2-EX_M_only_R</v>
      </c>
      <c r="AH238" s="344">
        <f>IF(coder1_YH!R238="",AH237,coder1_YH!R238)</f>
        <v>7</v>
      </c>
      <c r="AI238" s="344">
        <f t="shared" si="62"/>
        <v>7</v>
      </c>
      <c r="AJ238" s="345">
        <f t="shared" si="76"/>
        <v>1</v>
      </c>
      <c r="AK238" s="408">
        <f>IF(coder1_YH!S238="",AK237,coder1_YH!S238)</f>
        <v>13</v>
      </c>
      <c r="AL238" s="345">
        <f>IF(coder1_YH!T238="",AL237,IF(coder1_YH!T238="mixed",0.25,coder1_YH!T238))</f>
        <v>0</v>
      </c>
      <c r="AM238" s="345" t="str">
        <f>IF(coder1_YH!U238 = "", AM237, IF(coder1_YH!U238="mixed","NA",coder1_YH!U238))</f>
        <v>NA</v>
      </c>
      <c r="AN238" s="345">
        <f>IF(coder1_YH!V238="",AN237,coder1_YH!V238)</f>
        <v>1</v>
      </c>
      <c r="AO238" s="345" t="str">
        <f>IF(coder1_YH!W238="",AO237,coder1_YH!W238)</f>
        <v>NA</v>
      </c>
      <c r="AP238" s="345">
        <f>IF(coder1_YH!X238="",AP237,coder1_YH!X238)</f>
        <v>0.5178571428571429</v>
      </c>
      <c r="AQ238" s="345" t="str">
        <f>IF(coder1_YH!Y238="",AQ237,coder1_YH!Y238)</f>
        <v>NA</v>
      </c>
      <c r="AR238" t="str">
        <f>coder1_YH!AB238</f>
        <v>0 = Researcher-developed/adapted curriculum</v>
      </c>
      <c r="AS238" s="345" t="str">
        <f>IF(coder1_YH!AC238 = "", AS237,IF(coder1_YH!AC238="BAU","BAU",LEFT(coder1_YH!AC238)))</f>
        <v>1</v>
      </c>
      <c r="AT238" s="345" t="str">
        <f>IF(coder1_YH!AD238 = "", AT237,IF(coder1_YH!AD238="BAU","BAU",LEFT(coder1_YH!AD238)))</f>
        <v>1</v>
      </c>
      <c r="AU238" s="345" t="str">
        <f>IF(coder1_YH!AE238 = "", AU237,IF(coder1_YH!AE238="BAU","BAU",LEFT(coder1_YH!AE238)))</f>
        <v>0</v>
      </c>
      <c r="AV238" s="345">
        <f>IF(coder1_YH!AF238="",AV237,coder1_YH!AF238)</f>
        <v>540</v>
      </c>
      <c r="AW238" s="345">
        <f t="shared" si="77"/>
        <v>9</v>
      </c>
      <c r="AX238" s="345">
        <f>IF(coder1_YH!AG238="",AX237,coder1_YH!AG238)</f>
        <v>9</v>
      </c>
      <c r="AY238" s="345">
        <f>IF(coder1_YH!AH238="",AY237,coder1_YH!AH238)</f>
        <v>60</v>
      </c>
      <c r="AZ238" s="345" t="str">
        <f>IF(coder1_YH!AI238 = "", AZ237, IF(coder1_YH!AI238="BAU","BAU",LEFT(coder1_YH!AI238)))</f>
        <v>0</v>
      </c>
      <c r="BA238" s="384">
        <f>clean_data!Y238</f>
        <v>12</v>
      </c>
    </row>
    <row r="239" spans="1:53" x14ac:dyDescent="0.2">
      <c r="A239">
        <f>coder1_YH!B239</f>
        <v>0</v>
      </c>
      <c r="B239">
        <f>coder1_YH!C239</f>
        <v>239</v>
      </c>
      <c r="C239">
        <f>coder1_YH!D239</f>
        <v>0</v>
      </c>
      <c r="D239" t="str">
        <f>coder1_YH!E239</f>
        <v/>
      </c>
      <c r="E239" t="b">
        <f>coder1_YH!F239</f>
        <v>1</v>
      </c>
      <c r="F239" s="321" t="str">
        <f>IF(coder1_YH!G239="", clean_mod!F238, coder1_YH!G239)</f>
        <v>Chan， 1996</v>
      </c>
      <c r="G239" s="321" t="str">
        <f t="shared" si="63"/>
        <v>142</v>
      </c>
      <c r="H239" s="321">
        <f>IF(coder1_YH!H239="", clean_mod!H238, coder1_YH!H239)</f>
        <v>142.19999999999999</v>
      </c>
      <c r="I239" s="404" t="str">
        <f t="shared" si="78"/>
        <v>1996</v>
      </c>
      <c r="J239" s="344" t="str">
        <f>IF(coder1_YH!I239="",J238,coder1_YH!I239)</f>
        <v>Australia</v>
      </c>
      <c r="K239" s="345">
        <f t="shared" si="64"/>
        <v>1</v>
      </c>
      <c r="L239" s="344" t="str">
        <f>IF(coder1_YH!J239 = "",L238, coder1_YH!J239)</f>
        <v>English</v>
      </c>
      <c r="M239" s="345">
        <f t="shared" si="65"/>
        <v>0</v>
      </c>
      <c r="N239" s="345" t="str">
        <f>IF(coder1_YH!K239 = "", N238, LEFT(coder1_YH!K239,1))</f>
        <v>0</v>
      </c>
      <c r="O239" s="345" t="str">
        <f>IF(coder1_YH!L239 = "", O238, LEFT(coder1_YH!L239,1))</f>
        <v>0</v>
      </c>
      <c r="P239" s="345" t="str">
        <f>IF(coder1_YH!M239 = "", P238, LEFT(coder1_YH!M239,1))</f>
        <v>0</v>
      </c>
      <c r="Q239" s="321" t="str">
        <f>coder1_YH!P239</f>
        <v>ctl</v>
      </c>
      <c r="R239" s="321" t="str">
        <f>coder1_YH!Q239</f>
        <v>ST - ave. readers</v>
      </c>
      <c r="S239" s="323" t="str">
        <f t="shared" si="66"/>
        <v/>
      </c>
      <c r="T239" s="323" t="str">
        <f t="shared" si="67"/>
        <v/>
      </c>
      <c r="U239" s="323" t="str">
        <f t="shared" si="68"/>
        <v/>
      </c>
      <c r="V239" s="323" t="str">
        <f t="shared" si="69"/>
        <v/>
      </c>
      <c r="W239" s="323">
        <f t="shared" si="70"/>
        <v>0</v>
      </c>
      <c r="X239" s="385" t="str">
        <f>IF(coder1_YH!N239 = "",X238,coder1_YH!N239)</f>
        <v>.</v>
      </c>
      <c r="Y239" s="385" t="str">
        <f>IF(coder1_YH!O239 = "",Y238,coder1_YH!O239)</f>
        <v xml:space="preserve">m </v>
      </c>
      <c r="Z239" s="385" t="str">
        <f t="shared" si="83"/>
        <v/>
      </c>
      <c r="AA239" s="385" t="str">
        <f t="shared" si="84"/>
        <v>R</v>
      </c>
      <c r="AB239" s="385" t="str">
        <f t="shared" si="81"/>
        <v>R</v>
      </c>
      <c r="AC239" s="323" t="str">
        <f t="shared" si="72"/>
        <v xml:space="preserve">.m </v>
      </c>
      <c r="AD239" s="323" t="str">
        <f t="shared" si="73"/>
        <v>R</v>
      </c>
      <c r="AF239" s="369" t="str">
        <f t="shared" si="74"/>
        <v xml:space="preserve">142.2-.m </v>
      </c>
      <c r="AG239" s="369" t="str">
        <f t="shared" si="75"/>
        <v>142.2-R</v>
      </c>
      <c r="AH239" s="344">
        <f>IF(coder1_YH!R239="",AH238,coder1_YH!R239)</f>
        <v>7</v>
      </c>
      <c r="AI239" s="344">
        <f t="shared" si="62"/>
        <v>7</v>
      </c>
      <c r="AJ239" s="345">
        <f t="shared" si="76"/>
        <v>1</v>
      </c>
      <c r="AK239" s="408">
        <f>IF(coder1_YH!S239="",AK238,coder1_YH!S239)</f>
        <v>13</v>
      </c>
      <c r="AL239" s="345">
        <f>IF(coder1_YH!T239="",AL238,IF(coder1_YH!T239="mixed",0.25,coder1_YH!T239))</f>
        <v>0</v>
      </c>
      <c r="AM239" s="345" t="str">
        <f>IF(coder1_YH!U239 = "", AM238, IF(coder1_YH!U239="mixed","NA",coder1_YH!U239))</f>
        <v>NA</v>
      </c>
      <c r="AN239" s="345">
        <f>IF(coder1_YH!V239="",AN238,coder1_YH!V239)</f>
        <v>1</v>
      </c>
      <c r="AO239" s="345" t="str">
        <f>IF(coder1_YH!W239="",AO238,coder1_YH!W239)</f>
        <v>NA</v>
      </c>
      <c r="AP239" s="345">
        <f>IF(coder1_YH!X239="",AP238,coder1_YH!X239)</f>
        <v>0.5178571428571429</v>
      </c>
      <c r="AQ239" s="345" t="str">
        <f>IF(coder1_YH!Y239="",AQ238,coder1_YH!Y239)</f>
        <v>NA</v>
      </c>
      <c r="AR239" t="str">
        <f>coder1_YH!AB239</f>
        <v>0 = Researcher-developed/adapted curriculum</v>
      </c>
      <c r="AS239" s="345" t="str">
        <f>IF(coder1_YH!AC239 = "", AS238,IF(coder1_YH!AC239="BAU","BAU",LEFT(coder1_YH!AC239)))</f>
        <v>1</v>
      </c>
      <c r="AT239" s="345" t="str">
        <f>IF(coder1_YH!AD239 = "", AT238,IF(coder1_YH!AD239="BAU","BAU",LEFT(coder1_YH!AD239)))</f>
        <v>1</v>
      </c>
      <c r="AU239" s="345" t="str">
        <f>IF(coder1_YH!AE239 = "", AU238,IF(coder1_YH!AE239="BAU","BAU",LEFT(coder1_YH!AE239)))</f>
        <v>0</v>
      </c>
      <c r="AV239" s="345">
        <f>IF(coder1_YH!AF239="",AV238,coder1_YH!AF239)</f>
        <v>540</v>
      </c>
      <c r="AW239" s="345">
        <f t="shared" si="77"/>
        <v>9</v>
      </c>
      <c r="AX239" s="345">
        <f>IF(coder1_YH!AG239="",AX238,coder1_YH!AG239)</f>
        <v>9</v>
      </c>
      <c r="AY239" s="345">
        <f>IF(coder1_YH!AH239="",AY238,coder1_YH!AH239)</f>
        <v>60</v>
      </c>
      <c r="AZ239" s="345" t="str">
        <f>IF(coder1_YH!AI239 = "", AZ238, IF(coder1_YH!AI239="BAU","BAU",LEFT(coder1_YH!AI239)))</f>
        <v>0</v>
      </c>
      <c r="BA239" s="384">
        <f>clean_data!Y239</f>
        <v>15</v>
      </c>
    </row>
    <row r="240" spans="1:53" x14ac:dyDescent="0.2">
      <c r="A240">
        <f>coder1_YH!B240</f>
        <v>0</v>
      </c>
      <c r="B240">
        <f>coder1_YH!C240</f>
        <v>240</v>
      </c>
      <c r="C240">
        <f>coder1_YH!D240</f>
        <v>0</v>
      </c>
      <c r="D240">
        <f>coder1_YH!E240</f>
        <v>0</v>
      </c>
      <c r="E240" t="b">
        <f>coder1_YH!F240</f>
        <v>1</v>
      </c>
      <c r="F240" s="321" t="str">
        <f>IF(coder1_YH!G240="", clean_mod!F239, coder1_YH!G240)</f>
        <v>Burke, 1992</v>
      </c>
      <c r="G240" s="321" t="str">
        <f t="shared" si="63"/>
        <v>143</v>
      </c>
      <c r="H240" s="321">
        <f>IF(coder1_YH!H240="", clean_mod!H239, coder1_YH!H240)</f>
        <v>143</v>
      </c>
      <c r="I240" s="404" t="str">
        <f t="shared" si="78"/>
        <v>1992</v>
      </c>
      <c r="J240" s="344" t="str">
        <f>IF(coder1_YH!I240="",J239,coder1_YH!I240)</f>
        <v>USA</v>
      </c>
      <c r="K240" s="345">
        <f t="shared" si="64"/>
        <v>0</v>
      </c>
      <c r="L240" s="344" t="str">
        <f>IF(coder1_YH!J240 = "",L239, coder1_YH!J240)</f>
        <v>English</v>
      </c>
      <c r="M240" s="345">
        <f t="shared" si="65"/>
        <v>0</v>
      </c>
      <c r="N240" s="345" t="str">
        <f>IF(coder1_YH!K240 = "", N239, LEFT(coder1_YH!K240,1))</f>
        <v>0</v>
      </c>
      <c r="O240" s="345" t="str">
        <f>IF(coder1_YH!L240 = "", O239, LEFT(coder1_YH!L240,1))</f>
        <v>1</v>
      </c>
      <c r="P240" s="345" t="str">
        <f>IF(coder1_YH!M240 = "", P239, LEFT(coder1_YH!M240,1))</f>
        <v>0</v>
      </c>
      <c r="Q240" s="321">
        <f>coder1_YH!P240</f>
        <v>1</v>
      </c>
      <c r="R240" s="321" t="str">
        <f>coder1_YH!Q240</f>
        <v>Stra + Att, Teacher1</v>
      </c>
      <c r="S240" s="323" t="str">
        <f t="shared" si="66"/>
        <v>N</v>
      </c>
      <c r="T240" s="323" t="str">
        <f t="shared" si="67"/>
        <v/>
      </c>
      <c r="U240" s="323" t="str">
        <f t="shared" si="68"/>
        <v/>
      </c>
      <c r="V240" s="323" t="str">
        <f t="shared" si="69"/>
        <v/>
      </c>
      <c r="W240" s="323">
        <f t="shared" si="70"/>
        <v>1</v>
      </c>
      <c r="X240" s="385" t="str">
        <f>IF(coder1_YH!N240 = "",X239,coder1_YH!N240)</f>
        <v>N</v>
      </c>
      <c r="Y240" s="385" t="str">
        <f>IF(coder1_YH!O240 = "",Y239,coder1_YH!O240)</f>
        <v xml:space="preserve">m </v>
      </c>
      <c r="Z240" s="385" t="str">
        <f t="shared" si="83"/>
        <v>M</v>
      </c>
      <c r="AA240" s="385" t="str">
        <f t="shared" si="84"/>
        <v>R</v>
      </c>
      <c r="AB240" s="385" t="str">
        <f t="shared" si="81"/>
        <v>MR</v>
      </c>
      <c r="AC240" s="323" t="str">
        <f t="shared" si="72"/>
        <v xml:space="preserve">Nm </v>
      </c>
      <c r="AD240" s="323" t="str">
        <f t="shared" si="73"/>
        <v>N_R</v>
      </c>
      <c r="AF240" s="369" t="str">
        <f t="shared" si="74"/>
        <v xml:space="preserve">143-Nm </v>
      </c>
      <c r="AG240" s="369" t="str">
        <f t="shared" si="75"/>
        <v>143-N_R</v>
      </c>
      <c r="AH240" s="344">
        <f>IF(coder1_YH!R240="",AH239,coder1_YH!R240)</f>
        <v>8</v>
      </c>
      <c r="AI240" s="344">
        <f t="shared" si="62"/>
        <v>8</v>
      </c>
      <c r="AJ240" s="345">
        <f t="shared" si="76"/>
        <v>1</v>
      </c>
      <c r="AK240" s="408">
        <f>IF(coder1_YH!S240="",AK239,coder1_YH!S240)</f>
        <v>13.5</v>
      </c>
      <c r="AL240" s="345">
        <f>IF(coder1_YH!T240="",AL239,IF(coder1_YH!T240="mixed",0.25,coder1_YH!T240))</f>
        <v>0</v>
      </c>
      <c r="AM240" s="345">
        <f>IF(coder1_YH!U240 = "", AM239, IF(coder1_YH!U240="mixed","NA",coder1_YH!U240))</f>
        <v>0</v>
      </c>
      <c r="AN240" s="345">
        <f>IF(coder1_YH!V240="",AN239,coder1_YH!V240)</f>
        <v>0.42</v>
      </c>
      <c r="AO240" s="345" t="str">
        <f>IF(coder1_YH!W240="",AO239,coder1_YH!W240)</f>
        <v>NA</v>
      </c>
      <c r="AP240" s="345" t="str">
        <f>IF(coder1_YH!X240="",AP239,coder1_YH!X240)</f>
        <v>NA</v>
      </c>
      <c r="AQ240" s="345" t="str">
        <f>IF(coder1_YH!Y240="",AQ239,coder1_YH!Y240)</f>
        <v>NA</v>
      </c>
      <c r="AR240" t="str">
        <f>coder1_YH!AB240</f>
        <v>0 = Researcher-developed/adapted curriculum</v>
      </c>
      <c r="AS240" s="345" t="str">
        <f>IF(coder1_YH!AC240 = "", AS239,IF(coder1_YH!AC240="BAU","BAU",LEFT(coder1_YH!AC240)))</f>
        <v>0</v>
      </c>
      <c r="AT240" s="345" t="str">
        <f>IF(coder1_YH!AD240 = "", AT239,IF(coder1_YH!AD240="BAU","BAU",LEFT(coder1_YH!AD240)))</f>
        <v>0</v>
      </c>
      <c r="AU240" s="345" t="str">
        <f>IF(coder1_YH!AE240 = "", AU239,IF(coder1_YH!AE240="BAU","BAU",LEFT(coder1_YH!AE240)))</f>
        <v>1</v>
      </c>
      <c r="AV240" s="345">
        <f>IF(coder1_YH!AF240="",AV239,coder1_YH!AF240)</f>
        <v>1600</v>
      </c>
      <c r="AW240" s="345">
        <f t="shared" si="77"/>
        <v>26.666666666666668</v>
      </c>
      <c r="AX240" s="345">
        <f>IF(coder1_YH!AG240="",AX239,coder1_YH!AG240)</f>
        <v>40</v>
      </c>
      <c r="AY240" s="345">
        <f>IF(coder1_YH!AH240="",AY239,coder1_YH!AH240)</f>
        <v>40</v>
      </c>
      <c r="AZ240" s="345" t="str">
        <f>IF(coder1_YH!AI240 = "", AZ239, IF(coder1_YH!AI240="BAU","BAU",LEFT(coder1_YH!AI240)))</f>
        <v>0</v>
      </c>
      <c r="BA240" s="384">
        <f>clean_data!Y240</f>
        <v>50.75</v>
      </c>
    </row>
    <row r="241" spans="1:53" x14ac:dyDescent="0.2">
      <c r="A241">
        <f>coder1_YH!B241</f>
        <v>0</v>
      </c>
      <c r="B241">
        <f>coder1_YH!C241</f>
        <v>241</v>
      </c>
      <c r="C241" t="b">
        <f>coder1_YH!D241</f>
        <v>1</v>
      </c>
      <c r="D241" t="b">
        <f>coder1_YH!E241</f>
        <v>1</v>
      </c>
      <c r="E241" t="b">
        <f>coder1_YH!F241</f>
        <v>1</v>
      </c>
      <c r="F241" s="321" t="str">
        <f>IF(coder1_YH!G241="", clean_mod!F240, coder1_YH!G241)</f>
        <v>Burke, 1992</v>
      </c>
      <c r="G241" s="321" t="str">
        <f t="shared" si="63"/>
        <v>143</v>
      </c>
      <c r="H241" s="321">
        <f>IF(coder1_YH!H241="", clean_mod!H240, coder1_YH!H241)</f>
        <v>143</v>
      </c>
      <c r="I241" s="404" t="str">
        <f t="shared" si="78"/>
        <v>1992</v>
      </c>
      <c r="J241" s="344" t="str">
        <f>IF(coder1_YH!I241="",J240,coder1_YH!I241)</f>
        <v>USA</v>
      </c>
      <c r="K241" s="345">
        <f t="shared" si="64"/>
        <v>0</v>
      </c>
      <c r="L241" s="344" t="str">
        <f>IF(coder1_YH!J241 = "",L240, coder1_YH!J241)</f>
        <v>English</v>
      </c>
      <c r="M241" s="345">
        <f t="shared" si="65"/>
        <v>0</v>
      </c>
      <c r="N241" s="345" t="str">
        <f>IF(coder1_YH!K241 = "", N240, LEFT(coder1_YH!K241,1))</f>
        <v>0</v>
      </c>
      <c r="O241" s="345" t="str">
        <f>IF(coder1_YH!L241 = "", O240, LEFT(coder1_YH!L241,1))</f>
        <v>1</v>
      </c>
      <c r="P241" s="345" t="str">
        <f>IF(coder1_YH!M241 = "", P240, LEFT(coder1_YH!M241,1))</f>
        <v>0</v>
      </c>
      <c r="Q241" s="321">
        <f>coder1_YH!P241</f>
        <v>2</v>
      </c>
      <c r="R241" s="321" t="str">
        <f>coder1_YH!Q241</f>
        <v>Stra only, Teacher1</v>
      </c>
      <c r="S241" s="323" t="str">
        <f t="shared" si="66"/>
        <v>N</v>
      </c>
      <c r="T241" s="323" t="str">
        <f t="shared" si="67"/>
        <v/>
      </c>
      <c r="U241" s="323" t="str">
        <f t="shared" si="68"/>
        <v>G</v>
      </c>
      <c r="V241" s="323" t="str">
        <f t="shared" si="69"/>
        <v>T</v>
      </c>
      <c r="W241" s="323">
        <f t="shared" si="70"/>
        <v>3</v>
      </c>
      <c r="X241" s="385" t="str">
        <f>IF(coder1_YH!N241 = "",X240,coder1_YH!N241)</f>
        <v>NGT</v>
      </c>
      <c r="Y241" s="385" t="str">
        <f>IF(coder1_YH!O241 = "",Y240,coder1_YH!O241)</f>
        <v xml:space="preserve">m </v>
      </c>
      <c r="Z241" s="385" t="str">
        <f t="shared" si="83"/>
        <v>M</v>
      </c>
      <c r="AA241" s="385" t="str">
        <f t="shared" si="84"/>
        <v>R</v>
      </c>
      <c r="AB241" s="385" t="str">
        <f t="shared" si="81"/>
        <v>MR</v>
      </c>
      <c r="AC241" s="323" t="str">
        <f t="shared" si="72"/>
        <v xml:space="preserve">NGTm </v>
      </c>
      <c r="AD241" s="323" t="str">
        <f t="shared" si="73"/>
        <v>NGT_R</v>
      </c>
      <c r="AE241" s="323">
        <f>IF(Y241="cm", 1,0)</f>
        <v>0</v>
      </c>
      <c r="AF241" s="369" t="str">
        <f t="shared" si="74"/>
        <v xml:space="preserve">143-NGTm </v>
      </c>
      <c r="AG241" s="369" t="str">
        <f t="shared" si="75"/>
        <v>143-NGT_R</v>
      </c>
      <c r="AH241" s="344">
        <f>IF(coder1_YH!R241="",AH240,coder1_YH!R241)</f>
        <v>8</v>
      </c>
      <c r="AI241" s="344">
        <f t="shared" si="62"/>
        <v>8</v>
      </c>
      <c r="AJ241" s="345">
        <f t="shared" si="76"/>
        <v>1</v>
      </c>
      <c r="AK241" s="408">
        <f>IF(coder1_YH!S241="",AK240,coder1_YH!S241)</f>
        <v>13.5</v>
      </c>
      <c r="AL241" s="345">
        <f>IF(coder1_YH!T241="",AL240,IF(coder1_YH!T241="mixed",0.25,coder1_YH!T241))</f>
        <v>0</v>
      </c>
      <c r="AM241" s="345">
        <f>IF(coder1_YH!U241 = "", AM240, IF(coder1_YH!U241="mixed","NA",coder1_YH!U241))</f>
        <v>0</v>
      </c>
      <c r="AN241" s="345">
        <f>IF(coder1_YH!V241="",AN240,coder1_YH!V241)</f>
        <v>0.42</v>
      </c>
      <c r="AO241" s="345" t="str">
        <f>IF(coder1_YH!W241="",AO240,coder1_YH!W241)</f>
        <v>NA</v>
      </c>
      <c r="AP241" s="345" t="str">
        <f>IF(coder1_YH!X241="",AP240,coder1_YH!X241)</f>
        <v>NA</v>
      </c>
      <c r="AQ241" s="345" t="str">
        <f>IF(coder1_YH!Y241="",AQ240,coder1_YH!Y241)</f>
        <v>NA</v>
      </c>
      <c r="AR241" t="str">
        <f>coder1_YH!AB241</f>
        <v>0 = Researcher-developed/adapted curriculum</v>
      </c>
      <c r="AS241" s="345" t="str">
        <f>IF(coder1_YH!AC241 = "", AS240,IF(coder1_YH!AC241="BAU","BAU",LEFT(coder1_YH!AC241)))</f>
        <v>0</v>
      </c>
      <c r="AT241" s="345" t="str">
        <f>IF(coder1_YH!AD241 = "", AT240,IF(coder1_YH!AD241="BAU","BAU",LEFT(coder1_YH!AD241)))</f>
        <v>0</v>
      </c>
      <c r="AU241" s="345" t="str">
        <f>IF(coder1_YH!AE241 = "", AU240,IF(coder1_YH!AE241="BAU","BAU",LEFT(coder1_YH!AE241)))</f>
        <v>1</v>
      </c>
      <c r="AV241" s="345">
        <f>IF(coder1_YH!AF241="",AV240,coder1_YH!AF241)</f>
        <v>1600</v>
      </c>
      <c r="AW241" s="345">
        <f t="shared" si="77"/>
        <v>26.666666666666668</v>
      </c>
      <c r="AX241" s="345">
        <f>IF(coder1_YH!AG241="",AX240,coder1_YH!AG241)</f>
        <v>40</v>
      </c>
      <c r="AY241" s="345">
        <f>IF(coder1_YH!AH241="",AY240,coder1_YH!AH241)</f>
        <v>40</v>
      </c>
      <c r="AZ241" s="345" t="str">
        <f>IF(coder1_YH!AI241 = "", AZ240, IF(coder1_YH!AI241="BAU","BAU",LEFT(coder1_YH!AI241)))</f>
        <v>0</v>
      </c>
      <c r="BA241" s="384">
        <f>clean_data!Y241</f>
        <v>50.75</v>
      </c>
    </row>
    <row r="242" spans="1:53" x14ac:dyDescent="0.2">
      <c r="A242" t="str">
        <f>coder1_YH!B242</f>
        <v>EX</v>
      </c>
      <c r="B242">
        <f>coder1_YH!C242</f>
        <v>242</v>
      </c>
      <c r="C242">
        <f>coder1_YH!D242</f>
        <v>0</v>
      </c>
      <c r="D242" t="str">
        <f>coder1_YH!E242</f>
        <v/>
      </c>
      <c r="E242">
        <f>coder1_YH!F242</f>
        <v>0</v>
      </c>
      <c r="F242" s="321" t="str">
        <f>IF(coder1_YH!G242="", clean_mod!F241, coder1_YH!G242)</f>
        <v>Burke, 1992</v>
      </c>
      <c r="G242" s="321" t="str">
        <f t="shared" si="63"/>
        <v>143</v>
      </c>
      <c r="H242" s="321">
        <f>IF(coder1_YH!H242="", clean_mod!H241, coder1_YH!H242)</f>
        <v>143</v>
      </c>
      <c r="I242" s="404" t="str">
        <f t="shared" si="78"/>
        <v>1992</v>
      </c>
      <c r="J242" s="344" t="str">
        <f>IF(coder1_YH!I242="",J241,coder1_YH!I242)</f>
        <v>USA</v>
      </c>
      <c r="K242" s="345">
        <f t="shared" si="64"/>
        <v>0</v>
      </c>
      <c r="L242" s="344" t="str">
        <f>IF(coder1_YH!J242 = "",L241, coder1_YH!J242)</f>
        <v>English</v>
      </c>
      <c r="M242" s="345">
        <f t="shared" si="65"/>
        <v>0</v>
      </c>
      <c r="N242" s="345" t="str">
        <f>IF(coder1_YH!K242 = "", N241, LEFT(coder1_YH!K242,1))</f>
        <v>0</v>
      </c>
      <c r="O242" s="345" t="str">
        <f>IF(coder1_YH!L242 = "", O241, LEFT(coder1_YH!L242,1))</f>
        <v>1</v>
      </c>
      <c r="P242" s="345" t="str">
        <f>IF(coder1_YH!M242 = "", P241, LEFT(coder1_YH!M242,1))</f>
        <v>0</v>
      </c>
      <c r="Q242" s="321" t="str">
        <f>coder1_YH!P242</f>
        <v>EX</v>
      </c>
      <c r="R242" s="321" t="str">
        <f>coder1_YH!Q242</f>
        <v>Attri only, Teacher1</v>
      </c>
      <c r="S242" s="323" t="str">
        <f t="shared" si="66"/>
        <v>N</v>
      </c>
      <c r="T242" s="323" t="str">
        <f t="shared" si="67"/>
        <v/>
      </c>
      <c r="U242" s="323" t="str">
        <f t="shared" si="68"/>
        <v/>
      </c>
      <c r="V242" s="323" t="str">
        <f t="shared" si="69"/>
        <v/>
      </c>
      <c r="W242" s="323">
        <f t="shared" si="70"/>
        <v>1</v>
      </c>
      <c r="X242" s="385" t="str">
        <f>IF(coder1_YH!N242 = "",X241,coder1_YH!N242)</f>
        <v>EX_M_only</v>
      </c>
      <c r="Y242" s="385" t="str">
        <f>IF(coder1_YH!O242 = "",Y241,coder1_YH!O242)</f>
        <v>EX_M_only</v>
      </c>
      <c r="Z242" s="385" t="str">
        <f t="shared" si="83"/>
        <v>M</v>
      </c>
      <c r="AA242" s="385" t="str">
        <f t="shared" si="84"/>
        <v>R</v>
      </c>
      <c r="AB242" s="385" t="str">
        <f t="shared" si="81"/>
        <v>MR</v>
      </c>
      <c r="AC242" s="323" t="str">
        <f t="shared" si="72"/>
        <v>EX_M_onlyEX_M_only</v>
      </c>
      <c r="AD242" s="323" t="str">
        <f t="shared" si="73"/>
        <v>EX_M_only_R</v>
      </c>
      <c r="AF242" s="369" t="str">
        <f t="shared" si="74"/>
        <v>143-EX_M_onlyEX_M_only</v>
      </c>
      <c r="AG242" s="369" t="str">
        <f t="shared" si="75"/>
        <v>143-EX_M_only_R</v>
      </c>
      <c r="AH242" s="344">
        <f>IF(coder1_YH!R242="",AH241,coder1_YH!R242)</f>
        <v>8</v>
      </c>
      <c r="AI242" s="344">
        <f t="shared" si="62"/>
        <v>8</v>
      </c>
      <c r="AJ242" s="345">
        <f t="shared" si="76"/>
        <v>1</v>
      </c>
      <c r="AK242" s="408">
        <f>IF(coder1_YH!S242="",AK241,coder1_YH!S242)</f>
        <v>13.5</v>
      </c>
      <c r="AL242" s="345">
        <f>IF(coder1_YH!T242="",AL241,IF(coder1_YH!T242="mixed",0.25,coder1_YH!T242))</f>
        <v>0</v>
      </c>
      <c r="AM242" s="345">
        <f>IF(coder1_YH!U242 = "", AM241, IF(coder1_YH!U242="mixed","NA",coder1_YH!U242))</f>
        <v>0</v>
      </c>
      <c r="AN242" s="345">
        <f>IF(coder1_YH!V242="",AN241,coder1_YH!V242)</f>
        <v>0.42</v>
      </c>
      <c r="AO242" s="345" t="str">
        <f>IF(coder1_YH!W242="",AO241,coder1_YH!W242)</f>
        <v>NA</v>
      </c>
      <c r="AP242" s="345" t="str">
        <f>IF(coder1_YH!X242="",AP241,coder1_YH!X242)</f>
        <v>NA</v>
      </c>
      <c r="AQ242" s="345" t="str">
        <f>IF(coder1_YH!Y242="",AQ241,coder1_YH!Y242)</f>
        <v>NA</v>
      </c>
      <c r="AR242" t="str">
        <f>coder1_YH!AB242</f>
        <v>0 = Researcher-developed/adapted curriculum</v>
      </c>
      <c r="AS242" s="345" t="str">
        <f>IF(coder1_YH!AC242 = "", AS241,IF(coder1_YH!AC242="BAU","BAU",LEFT(coder1_YH!AC242)))</f>
        <v>0</v>
      </c>
      <c r="AT242" s="345" t="str">
        <f>IF(coder1_YH!AD242 = "", AT241,IF(coder1_YH!AD242="BAU","BAU",LEFT(coder1_YH!AD242)))</f>
        <v>0</v>
      </c>
      <c r="AU242" s="345" t="str">
        <f>IF(coder1_YH!AE242 = "", AU241,IF(coder1_YH!AE242="BAU","BAU",LEFT(coder1_YH!AE242)))</f>
        <v>1</v>
      </c>
      <c r="AV242" s="345">
        <f>IF(coder1_YH!AF242="",AV241,coder1_YH!AF242)</f>
        <v>1600</v>
      </c>
      <c r="AW242" s="345">
        <f t="shared" si="77"/>
        <v>26.666666666666668</v>
      </c>
      <c r="AX242" s="345">
        <f>IF(coder1_YH!AG242="",AX241,coder1_YH!AG242)</f>
        <v>40</v>
      </c>
      <c r="AY242" s="345">
        <f>IF(coder1_YH!AH242="",AY241,coder1_YH!AH242)</f>
        <v>40</v>
      </c>
      <c r="AZ242" s="345" t="str">
        <f>IF(coder1_YH!AI242 = "", AZ241, IF(coder1_YH!AI242="BAU","BAU",LEFT(coder1_YH!AI242)))</f>
        <v>0</v>
      </c>
      <c r="BA242" s="384">
        <f>clean_data!Y242</f>
        <v>50.75</v>
      </c>
    </row>
    <row r="243" spans="1:53" x14ac:dyDescent="0.2">
      <c r="A243">
        <f>coder1_YH!B243</f>
        <v>0</v>
      </c>
      <c r="B243">
        <f>coder1_YH!C243</f>
        <v>243</v>
      </c>
      <c r="C243">
        <f>coder1_YH!D243</f>
        <v>0</v>
      </c>
      <c r="D243" t="str">
        <f>coder1_YH!E243</f>
        <v/>
      </c>
      <c r="E243" t="b">
        <f>coder1_YH!F243</f>
        <v>1</v>
      </c>
      <c r="F243" s="321" t="str">
        <f>IF(coder1_YH!G243="", clean_mod!F242, coder1_YH!G243)</f>
        <v>Burke, 1992</v>
      </c>
      <c r="G243" s="321" t="str">
        <f t="shared" si="63"/>
        <v>143</v>
      </c>
      <c r="H243" s="321">
        <f>IF(coder1_YH!H243="", clean_mod!H242, coder1_YH!H243)</f>
        <v>143</v>
      </c>
      <c r="I243" s="404" t="str">
        <f t="shared" si="78"/>
        <v>1992</v>
      </c>
      <c r="J243" s="344" t="str">
        <f>IF(coder1_YH!I243="",J242,coder1_YH!I243)</f>
        <v>USA</v>
      </c>
      <c r="K243" s="345">
        <f t="shared" si="64"/>
        <v>0</v>
      </c>
      <c r="L243" s="344" t="str">
        <f>IF(coder1_YH!J243 = "",L242, coder1_YH!J243)</f>
        <v>English</v>
      </c>
      <c r="M243" s="345">
        <f t="shared" si="65"/>
        <v>0</v>
      </c>
      <c r="N243" s="345" t="str">
        <f>IF(coder1_YH!K243 = "", N242, LEFT(coder1_YH!K243,1))</f>
        <v>0</v>
      </c>
      <c r="O243" s="345" t="str">
        <f>IF(coder1_YH!L243 = "", O242, LEFT(coder1_YH!L243,1))</f>
        <v>1</v>
      </c>
      <c r="P243" s="345" t="str">
        <f>IF(coder1_YH!M243 = "", P242, LEFT(coder1_YH!M243,1))</f>
        <v>0</v>
      </c>
      <c r="Q243" s="321" t="str">
        <f>coder1_YH!P243</f>
        <v>ctl</v>
      </c>
      <c r="R243" s="321" t="str">
        <f>coder1_YH!Q243</f>
        <v>Control, Teacher1</v>
      </c>
      <c r="S243" s="323" t="str">
        <f t="shared" si="66"/>
        <v/>
      </c>
      <c r="T243" s="323" t="str">
        <f t="shared" si="67"/>
        <v/>
      </c>
      <c r="U243" s="323" t="str">
        <f t="shared" si="68"/>
        <v/>
      </c>
      <c r="V243" s="323" t="str">
        <f t="shared" si="69"/>
        <v/>
      </c>
      <c r="W243" s="323">
        <f t="shared" si="70"/>
        <v>0</v>
      </c>
      <c r="X243" s="385" t="str">
        <f>IF(coder1_YH!N243 = "",X242,coder1_YH!N243)</f>
        <v>.</v>
      </c>
      <c r="Y243" s="385" t="str">
        <f>IF(coder1_YH!O243 = "",Y242,coder1_YH!O243)</f>
        <v>.</v>
      </c>
      <c r="Z243" s="385" t="str">
        <f t="shared" si="83"/>
        <v/>
      </c>
      <c r="AA243" s="385" t="str">
        <f t="shared" si="84"/>
        <v>BAU</v>
      </c>
      <c r="AB243" s="385" t="str">
        <f t="shared" si="81"/>
        <v>BAU</v>
      </c>
      <c r="AC243" s="323" t="str">
        <f t="shared" si="72"/>
        <v>..</v>
      </c>
      <c r="AD243" s="323" t="str">
        <f t="shared" si="73"/>
        <v>BAU</v>
      </c>
      <c r="AF243" s="369" t="str">
        <f t="shared" si="74"/>
        <v>143-..</v>
      </c>
      <c r="AG243" s="369" t="str">
        <f t="shared" si="75"/>
        <v>143-BAU</v>
      </c>
      <c r="AH243" s="344">
        <f>IF(coder1_YH!R243="",AH242,coder1_YH!R243)</f>
        <v>8</v>
      </c>
      <c r="AI243" s="344">
        <f t="shared" si="62"/>
        <v>8</v>
      </c>
      <c r="AJ243" s="345">
        <f t="shared" si="76"/>
        <v>1</v>
      </c>
      <c r="AK243" s="408">
        <f>IF(coder1_YH!S243="",AK242,coder1_YH!S243)</f>
        <v>13.5</v>
      </c>
      <c r="AL243" s="345">
        <f>IF(coder1_YH!T243="",AL242,IF(coder1_YH!T243="mixed",0.25,coder1_YH!T243))</f>
        <v>0</v>
      </c>
      <c r="AM243" s="345">
        <f>IF(coder1_YH!U243 = "", AM242, IF(coder1_YH!U243="mixed","NA",coder1_YH!U243))</f>
        <v>0</v>
      </c>
      <c r="AN243" s="345">
        <f>IF(coder1_YH!V243="",AN242,coder1_YH!V243)</f>
        <v>0.42</v>
      </c>
      <c r="AO243" s="345" t="str">
        <f>IF(coder1_YH!W243="",AO242,coder1_YH!W243)</f>
        <v>NA</v>
      </c>
      <c r="AP243" s="345" t="str">
        <f>IF(coder1_YH!X243="",AP242,coder1_YH!X243)</f>
        <v>NA</v>
      </c>
      <c r="AQ243" s="345" t="str">
        <f>IF(coder1_YH!Y243="",AQ242,coder1_YH!Y243)</f>
        <v>NA</v>
      </c>
      <c r="AR243" t="str">
        <f>coder1_YH!AB243</f>
        <v>0 = Researcher-developed/adapted curriculum</v>
      </c>
      <c r="AS243" s="345" t="str">
        <f>IF(coder1_YH!AC243 = "", AS242,IF(coder1_YH!AC243="BAU","BAU",LEFT(coder1_YH!AC243)))</f>
        <v>0</v>
      </c>
      <c r="AT243" s="345" t="str">
        <f>IF(coder1_YH!AD243 = "", AT242,IF(coder1_YH!AD243="BAU","BAU",LEFT(coder1_YH!AD243)))</f>
        <v>0</v>
      </c>
      <c r="AU243" s="345" t="str">
        <f>IF(coder1_YH!AE243 = "", AU242,IF(coder1_YH!AE243="BAU","BAU",LEFT(coder1_YH!AE243)))</f>
        <v>1</v>
      </c>
      <c r="AV243" s="345">
        <f>IF(coder1_YH!AF243="",AV242,coder1_YH!AF243)</f>
        <v>1600</v>
      </c>
      <c r="AW243" s="345">
        <f t="shared" si="77"/>
        <v>26.666666666666668</v>
      </c>
      <c r="AX243" s="345">
        <f>IF(coder1_YH!AG243="",AX242,coder1_YH!AG243)</f>
        <v>40</v>
      </c>
      <c r="AY243" s="345">
        <f>IF(coder1_YH!AH243="",AY242,coder1_YH!AH243)</f>
        <v>40</v>
      </c>
      <c r="AZ243" s="345" t="str">
        <f>IF(coder1_YH!AI243 = "", AZ242, IF(coder1_YH!AI243="BAU","BAU",LEFT(coder1_YH!AI243)))</f>
        <v>0</v>
      </c>
      <c r="BA243" s="384">
        <f>clean_data!Y243</f>
        <v>50.75</v>
      </c>
    </row>
    <row r="244" spans="1:53" x14ac:dyDescent="0.2">
      <c r="A244">
        <f>coder1_YH!B244</f>
        <v>0</v>
      </c>
      <c r="B244">
        <f>coder1_YH!C244</f>
        <v>244</v>
      </c>
      <c r="C244">
        <f>coder1_YH!D244</f>
        <v>0</v>
      </c>
      <c r="D244">
        <f>coder1_YH!E244</f>
        <v>0</v>
      </c>
      <c r="E244">
        <f>coder1_YH!F244</f>
        <v>0</v>
      </c>
      <c r="F244" s="321" t="str">
        <f>IF(coder1_YH!G244="", clean_mod!F243, coder1_YH!G244)</f>
        <v>Burke, 1992</v>
      </c>
      <c r="G244" s="321" t="str">
        <f t="shared" si="63"/>
        <v>143</v>
      </c>
      <c r="H244" s="321">
        <f>IF(coder1_YH!H244="", clean_mod!H243, coder1_YH!H244)</f>
        <v>143</v>
      </c>
      <c r="I244" s="404" t="str">
        <f t="shared" si="78"/>
        <v>1992</v>
      </c>
      <c r="J244" s="344" t="str">
        <f>IF(coder1_YH!I244="",J243,coder1_YH!I244)</f>
        <v>USA</v>
      </c>
      <c r="K244" s="345">
        <f t="shared" si="64"/>
        <v>0</v>
      </c>
      <c r="L244" s="344" t="str">
        <f>IF(coder1_YH!J244 = "",L243, coder1_YH!J244)</f>
        <v>English</v>
      </c>
      <c r="M244" s="345">
        <f t="shared" si="65"/>
        <v>0</v>
      </c>
      <c r="N244" s="345" t="str">
        <f>IF(coder1_YH!K244 = "", N243, LEFT(coder1_YH!K244,1))</f>
        <v>0</v>
      </c>
      <c r="O244" s="345" t="str">
        <f>IF(coder1_YH!L244 = "", O243, LEFT(coder1_YH!L244,1))</f>
        <v>1</v>
      </c>
      <c r="P244" s="345" t="str">
        <f>IF(coder1_YH!M244 = "", P243, LEFT(coder1_YH!M244,1))</f>
        <v>0</v>
      </c>
      <c r="Q244" s="321">
        <f>coder1_YH!P244</f>
        <v>1</v>
      </c>
      <c r="R244" s="321" t="str">
        <f>coder1_YH!Q244</f>
        <v>Stra + Att, Teacher2</v>
      </c>
      <c r="S244" s="323" t="str">
        <f t="shared" si="66"/>
        <v>N</v>
      </c>
      <c r="T244" s="323" t="str">
        <f t="shared" si="67"/>
        <v/>
      </c>
      <c r="U244" s="323" t="str">
        <f t="shared" si="68"/>
        <v/>
      </c>
      <c r="V244" s="323" t="str">
        <f t="shared" si="69"/>
        <v/>
      </c>
      <c r="W244" s="323">
        <f t="shared" si="70"/>
        <v>1</v>
      </c>
      <c r="X244" s="385" t="str">
        <f>IF(coder1_YH!N244 = "",X243,coder1_YH!N244)</f>
        <v>N</v>
      </c>
      <c r="Y244" s="385" t="str">
        <f>IF(coder1_YH!O244 = "",Y243,coder1_YH!O244)</f>
        <v xml:space="preserve">m </v>
      </c>
      <c r="Z244" s="385" t="str">
        <f t="shared" si="83"/>
        <v>M</v>
      </c>
      <c r="AA244" s="385" t="str">
        <f t="shared" si="84"/>
        <v>R</v>
      </c>
      <c r="AB244" s="385" t="str">
        <f t="shared" si="81"/>
        <v>MR</v>
      </c>
      <c r="AC244" s="323" t="str">
        <f t="shared" si="72"/>
        <v xml:space="preserve">Nm </v>
      </c>
      <c r="AD244" s="323" t="str">
        <f t="shared" si="73"/>
        <v>N_R</v>
      </c>
      <c r="AF244" s="369" t="str">
        <f t="shared" si="74"/>
        <v xml:space="preserve">143-Nm </v>
      </c>
      <c r="AG244" s="369" t="str">
        <f t="shared" si="75"/>
        <v>143-N_R</v>
      </c>
      <c r="AH244" s="344">
        <f>IF(coder1_YH!R244="",AH243,coder1_YH!R244)</f>
        <v>8</v>
      </c>
      <c r="AI244" s="344">
        <f t="shared" si="62"/>
        <v>8</v>
      </c>
      <c r="AJ244" s="345">
        <f t="shared" si="76"/>
        <v>1</v>
      </c>
      <c r="AK244" s="408">
        <f>IF(coder1_YH!S244="",AK243,coder1_YH!S244)</f>
        <v>13.5</v>
      </c>
      <c r="AL244" s="345">
        <f>IF(coder1_YH!T244="",AL243,IF(coder1_YH!T244="mixed",0.25,coder1_YH!T244))</f>
        <v>0</v>
      </c>
      <c r="AM244" s="345">
        <f>IF(coder1_YH!U244 = "", AM243, IF(coder1_YH!U244="mixed","NA",coder1_YH!U244))</f>
        <v>0</v>
      </c>
      <c r="AN244" s="345">
        <f>IF(coder1_YH!V244="",AN243,coder1_YH!V244)</f>
        <v>0.42</v>
      </c>
      <c r="AO244" s="345" t="str">
        <f>IF(coder1_YH!W244="",AO243,coder1_YH!W244)</f>
        <v>NA</v>
      </c>
      <c r="AP244" s="345" t="str">
        <f>IF(coder1_YH!X244="",AP243,coder1_YH!X244)</f>
        <v>NA</v>
      </c>
      <c r="AQ244" s="345" t="str">
        <f>IF(coder1_YH!Y244="",AQ243,coder1_YH!Y244)</f>
        <v>NA</v>
      </c>
      <c r="AR244" t="str">
        <f>coder1_YH!AB244</f>
        <v>0 = Researcher-developed/adapted curriculum</v>
      </c>
      <c r="AS244" s="345" t="str">
        <f>IF(coder1_YH!AC244 = "", AS243,IF(coder1_YH!AC244="BAU","BAU",LEFT(coder1_YH!AC244)))</f>
        <v>0</v>
      </c>
      <c r="AT244" s="345" t="str">
        <f>IF(coder1_YH!AD244 = "", AT243,IF(coder1_YH!AD244="BAU","BAU",LEFT(coder1_YH!AD244)))</f>
        <v>0</v>
      </c>
      <c r="AU244" s="345" t="str">
        <f>IF(coder1_YH!AE244 = "", AU243,IF(coder1_YH!AE244="BAU","BAU",LEFT(coder1_YH!AE244)))</f>
        <v>1</v>
      </c>
      <c r="AV244" s="345">
        <f>IF(coder1_YH!AF244="",AV243,coder1_YH!AF244)</f>
        <v>1600</v>
      </c>
      <c r="AW244" s="345">
        <f t="shared" si="77"/>
        <v>26.666666666666668</v>
      </c>
      <c r="AX244" s="345">
        <f>IF(coder1_YH!AG244="",AX243,coder1_YH!AG244)</f>
        <v>40</v>
      </c>
      <c r="AY244" s="345">
        <f>IF(coder1_YH!AH244="",AY243,coder1_YH!AH244)</f>
        <v>40</v>
      </c>
      <c r="AZ244" s="345" t="str">
        <f>IF(coder1_YH!AI244 = "", AZ243, IF(coder1_YH!AI244="BAU","BAU",LEFT(coder1_YH!AI244)))</f>
        <v>0</v>
      </c>
      <c r="BA244" s="384">
        <f>clean_data!Y244</f>
        <v>50.75</v>
      </c>
    </row>
    <row r="245" spans="1:53" x14ac:dyDescent="0.2">
      <c r="A245">
        <f>coder1_YH!B245</f>
        <v>0</v>
      </c>
      <c r="B245">
        <f>coder1_YH!C245</f>
        <v>245</v>
      </c>
      <c r="C245">
        <f>coder1_YH!D245</f>
        <v>0</v>
      </c>
      <c r="D245">
        <f>coder1_YH!E245</f>
        <v>0</v>
      </c>
      <c r="E245">
        <f>coder1_YH!F245</f>
        <v>0</v>
      </c>
      <c r="F245" s="321" t="str">
        <f>IF(coder1_YH!G245="", clean_mod!F244, coder1_YH!G245)</f>
        <v>Burke, 1992</v>
      </c>
      <c r="G245" s="321" t="str">
        <f t="shared" si="63"/>
        <v>143</v>
      </c>
      <c r="H245" s="321">
        <f>IF(coder1_YH!H245="", clean_mod!H244, coder1_YH!H245)</f>
        <v>143</v>
      </c>
      <c r="I245" s="404" t="str">
        <f t="shared" si="78"/>
        <v>1992</v>
      </c>
      <c r="J245" s="344" t="str">
        <f>IF(coder1_YH!I245="",J244,coder1_YH!I245)</f>
        <v>USA</v>
      </c>
      <c r="K245" s="345">
        <f t="shared" si="64"/>
        <v>0</v>
      </c>
      <c r="L245" s="344" t="str">
        <f>IF(coder1_YH!J245 = "",L244, coder1_YH!J245)</f>
        <v>English</v>
      </c>
      <c r="M245" s="345">
        <f t="shared" si="65"/>
        <v>0</v>
      </c>
      <c r="N245" s="345" t="str">
        <f>IF(coder1_YH!K245 = "", N244, LEFT(coder1_YH!K245,1))</f>
        <v>0</v>
      </c>
      <c r="O245" s="345" t="str">
        <f>IF(coder1_YH!L245 = "", O244, LEFT(coder1_YH!L245,1))</f>
        <v>1</v>
      </c>
      <c r="P245" s="345" t="str">
        <f>IF(coder1_YH!M245 = "", P244, LEFT(coder1_YH!M245,1))</f>
        <v>0</v>
      </c>
      <c r="Q245" s="321">
        <f>coder1_YH!P245</f>
        <v>2</v>
      </c>
      <c r="R245" s="321" t="str">
        <f>coder1_YH!Q245</f>
        <v>Stra only, Teacher2</v>
      </c>
      <c r="S245" s="323" t="str">
        <f t="shared" si="66"/>
        <v/>
      </c>
      <c r="T245" s="323" t="str">
        <f t="shared" si="67"/>
        <v/>
      </c>
      <c r="U245" s="323" t="str">
        <f t="shared" si="68"/>
        <v>G</v>
      </c>
      <c r="V245" s="323" t="str">
        <f t="shared" si="69"/>
        <v>T</v>
      </c>
      <c r="W245" s="323">
        <f t="shared" si="70"/>
        <v>2</v>
      </c>
      <c r="X245" s="385" t="str">
        <f>IF(coder1_YH!N245 = "",X244,coder1_YH!N245)</f>
        <v>GT</v>
      </c>
      <c r="Y245" s="385" t="str">
        <f>IF(coder1_YH!O245 = "",Y244,coder1_YH!O245)</f>
        <v xml:space="preserve">m </v>
      </c>
      <c r="Z245" s="385" t="str">
        <f t="shared" si="83"/>
        <v>M</v>
      </c>
      <c r="AA245" s="385" t="str">
        <f t="shared" si="84"/>
        <v>R</v>
      </c>
      <c r="AB245" s="385" t="str">
        <f t="shared" si="81"/>
        <v>MR</v>
      </c>
      <c r="AC245" s="323" t="str">
        <f t="shared" si="72"/>
        <v xml:space="preserve">GTm </v>
      </c>
      <c r="AD245" s="323" t="str">
        <f t="shared" si="73"/>
        <v>GT_R</v>
      </c>
      <c r="AF245" s="369" t="str">
        <f t="shared" si="74"/>
        <v xml:space="preserve">143-GTm </v>
      </c>
      <c r="AG245" s="369" t="str">
        <f t="shared" si="75"/>
        <v>143-GT_R</v>
      </c>
      <c r="AH245" s="344">
        <f>IF(coder1_YH!R245="",AH244,coder1_YH!R245)</f>
        <v>8</v>
      </c>
      <c r="AI245" s="344">
        <f t="shared" si="62"/>
        <v>8</v>
      </c>
      <c r="AJ245" s="345">
        <f t="shared" si="76"/>
        <v>1</v>
      </c>
      <c r="AK245" s="408">
        <f>IF(coder1_YH!S245="",AK244,coder1_YH!S245)</f>
        <v>13.5</v>
      </c>
      <c r="AL245" s="345">
        <f>IF(coder1_YH!T245="",AL244,IF(coder1_YH!T245="mixed",0.25,coder1_YH!T245))</f>
        <v>0</v>
      </c>
      <c r="AM245" s="345">
        <f>IF(coder1_YH!U245 = "", AM244, IF(coder1_YH!U245="mixed","NA",coder1_YH!U245))</f>
        <v>0</v>
      </c>
      <c r="AN245" s="345">
        <f>IF(coder1_YH!V245="",AN244,coder1_YH!V245)</f>
        <v>0.42</v>
      </c>
      <c r="AO245" s="345" t="str">
        <f>IF(coder1_YH!W245="",AO244,coder1_YH!W245)</f>
        <v>NA</v>
      </c>
      <c r="AP245" s="345" t="str">
        <f>IF(coder1_YH!X245="",AP244,coder1_YH!X245)</f>
        <v>NA</v>
      </c>
      <c r="AQ245" s="345" t="str">
        <f>IF(coder1_YH!Y245="",AQ244,coder1_YH!Y245)</f>
        <v>NA</v>
      </c>
      <c r="AR245" t="str">
        <f>coder1_YH!AB245</f>
        <v>0 = Researcher-developed/adapted curriculum</v>
      </c>
      <c r="AS245" s="345" t="str">
        <f>IF(coder1_YH!AC245 = "", AS244,IF(coder1_YH!AC245="BAU","BAU",LEFT(coder1_YH!AC245)))</f>
        <v>0</v>
      </c>
      <c r="AT245" s="345" t="str">
        <f>IF(coder1_YH!AD245 = "", AT244,IF(coder1_YH!AD245="BAU","BAU",LEFT(coder1_YH!AD245)))</f>
        <v>0</v>
      </c>
      <c r="AU245" s="345" t="str">
        <f>IF(coder1_YH!AE245 = "", AU244,IF(coder1_YH!AE245="BAU","BAU",LEFT(coder1_YH!AE245)))</f>
        <v>1</v>
      </c>
      <c r="AV245" s="345">
        <f>IF(coder1_YH!AF245="",AV244,coder1_YH!AF245)</f>
        <v>1600</v>
      </c>
      <c r="AW245" s="345">
        <f t="shared" si="77"/>
        <v>26.666666666666668</v>
      </c>
      <c r="AX245" s="345">
        <f>IF(coder1_YH!AG245="",AX244,coder1_YH!AG245)</f>
        <v>40</v>
      </c>
      <c r="AY245" s="345">
        <f>IF(coder1_YH!AH245="",AY244,coder1_YH!AH245)</f>
        <v>40</v>
      </c>
      <c r="AZ245" s="345" t="str">
        <f>IF(coder1_YH!AI245 = "", AZ244, IF(coder1_YH!AI245="BAU","BAU",LEFT(coder1_YH!AI245)))</f>
        <v>0</v>
      </c>
      <c r="BA245" s="384">
        <f>clean_data!Y245</f>
        <v>50.75</v>
      </c>
    </row>
    <row r="246" spans="1:53" x14ac:dyDescent="0.2">
      <c r="A246" t="str">
        <f>coder1_YH!B246</f>
        <v>EX</v>
      </c>
      <c r="B246">
        <f>coder1_YH!C246</f>
        <v>246</v>
      </c>
      <c r="C246">
        <f>coder1_YH!D246</f>
        <v>0</v>
      </c>
      <c r="D246" t="str">
        <f>coder1_YH!E246</f>
        <v/>
      </c>
      <c r="E246">
        <f>coder1_YH!F246</f>
        <v>0</v>
      </c>
      <c r="F246" s="321" t="str">
        <f>IF(coder1_YH!G246="", clean_mod!F245, coder1_YH!G246)</f>
        <v>Burke, 1992</v>
      </c>
      <c r="G246" s="321" t="str">
        <f t="shared" si="63"/>
        <v>143</v>
      </c>
      <c r="H246" s="321">
        <f>IF(coder1_YH!H246="", clean_mod!H245, coder1_YH!H246)</f>
        <v>143</v>
      </c>
      <c r="I246" s="404" t="str">
        <f t="shared" si="78"/>
        <v>1992</v>
      </c>
      <c r="J246" s="344" t="str">
        <f>IF(coder1_YH!I246="",J245,coder1_YH!I246)</f>
        <v>USA</v>
      </c>
      <c r="K246" s="345">
        <f t="shared" si="64"/>
        <v>0</v>
      </c>
      <c r="L246" s="344" t="str">
        <f>IF(coder1_YH!J246 = "",L245, coder1_YH!J246)</f>
        <v>English</v>
      </c>
      <c r="M246" s="345">
        <f t="shared" si="65"/>
        <v>0</v>
      </c>
      <c r="N246" s="345" t="str">
        <f>IF(coder1_YH!K246 = "", N245, LEFT(coder1_YH!K246,1))</f>
        <v>0</v>
      </c>
      <c r="O246" s="345" t="str">
        <f>IF(coder1_YH!L246 = "", O245, LEFT(coder1_YH!L246,1))</f>
        <v>1</v>
      </c>
      <c r="P246" s="345" t="str">
        <f>IF(coder1_YH!M246 = "", P245, LEFT(coder1_YH!M246,1))</f>
        <v>0</v>
      </c>
      <c r="Q246" s="321" t="str">
        <f>coder1_YH!P246</f>
        <v>EX</v>
      </c>
      <c r="R246" s="321" t="str">
        <f>coder1_YH!Q246</f>
        <v>Attri only, Teacher2</v>
      </c>
      <c r="S246" s="323" t="str">
        <f t="shared" si="66"/>
        <v>N</v>
      </c>
      <c r="T246" s="323" t="str">
        <f t="shared" si="67"/>
        <v/>
      </c>
      <c r="U246" s="323" t="str">
        <f t="shared" si="68"/>
        <v/>
      </c>
      <c r="V246" s="323" t="str">
        <f t="shared" si="69"/>
        <v/>
      </c>
      <c r="W246" s="323">
        <f t="shared" si="70"/>
        <v>1</v>
      </c>
      <c r="X246" s="385" t="str">
        <f>IF(coder1_YH!N246 = "",X245,coder1_YH!N246)</f>
        <v>EX_M_only</v>
      </c>
      <c r="Y246" s="385" t="str">
        <f>IF(coder1_YH!O246 = "",Y245,coder1_YH!O246)</f>
        <v>EX_M_only</v>
      </c>
      <c r="Z246" s="385" t="str">
        <f t="shared" si="83"/>
        <v>M</v>
      </c>
      <c r="AA246" s="385" t="str">
        <f t="shared" si="84"/>
        <v>R</v>
      </c>
      <c r="AB246" s="385" t="str">
        <f t="shared" si="81"/>
        <v>MR</v>
      </c>
      <c r="AC246" s="323" t="str">
        <f t="shared" si="72"/>
        <v>EX_M_onlyEX_M_only</v>
      </c>
      <c r="AD246" s="323" t="str">
        <f t="shared" si="73"/>
        <v>EX_M_only_R</v>
      </c>
      <c r="AF246" s="369" t="str">
        <f t="shared" si="74"/>
        <v>143-EX_M_onlyEX_M_only</v>
      </c>
      <c r="AG246" s="369" t="str">
        <f t="shared" si="75"/>
        <v>143-EX_M_only_R</v>
      </c>
      <c r="AH246" s="344">
        <f>IF(coder1_YH!R246="",AH245,coder1_YH!R246)</f>
        <v>8</v>
      </c>
      <c r="AI246" s="344">
        <f t="shared" si="62"/>
        <v>8</v>
      </c>
      <c r="AJ246" s="345">
        <f t="shared" si="76"/>
        <v>1</v>
      </c>
      <c r="AK246" s="408">
        <f>IF(coder1_YH!S246="",AK245,coder1_YH!S246)</f>
        <v>13.5</v>
      </c>
      <c r="AL246" s="345">
        <f>IF(coder1_YH!T246="",AL245,IF(coder1_YH!T246="mixed",0.25,coder1_YH!T246))</f>
        <v>0</v>
      </c>
      <c r="AM246" s="345">
        <f>IF(coder1_YH!U246 = "", AM245, IF(coder1_YH!U246="mixed","NA",coder1_YH!U246))</f>
        <v>0</v>
      </c>
      <c r="AN246" s="345">
        <f>IF(coder1_YH!V246="",AN245,coder1_YH!V246)</f>
        <v>0.42</v>
      </c>
      <c r="AO246" s="345" t="str">
        <f>IF(coder1_YH!W246="",AO245,coder1_YH!W246)</f>
        <v>NA</v>
      </c>
      <c r="AP246" s="345" t="str">
        <f>IF(coder1_YH!X246="",AP245,coder1_YH!X246)</f>
        <v>NA</v>
      </c>
      <c r="AQ246" s="345" t="str">
        <f>IF(coder1_YH!Y246="",AQ245,coder1_YH!Y246)</f>
        <v>NA</v>
      </c>
      <c r="AR246" t="str">
        <f>coder1_YH!AB246</f>
        <v>0 = Researcher-developed/adapted curriculum</v>
      </c>
      <c r="AS246" s="345" t="str">
        <f>IF(coder1_YH!AC246 = "", AS245,IF(coder1_YH!AC246="BAU","BAU",LEFT(coder1_YH!AC246)))</f>
        <v>0</v>
      </c>
      <c r="AT246" s="345" t="str">
        <f>IF(coder1_YH!AD246 = "", AT245,IF(coder1_YH!AD246="BAU","BAU",LEFT(coder1_YH!AD246)))</f>
        <v>0</v>
      </c>
      <c r="AU246" s="345" t="str">
        <f>IF(coder1_YH!AE246 = "", AU245,IF(coder1_YH!AE246="BAU","BAU",LEFT(coder1_YH!AE246)))</f>
        <v>1</v>
      </c>
      <c r="AV246" s="345">
        <f>IF(coder1_YH!AF246="",AV245,coder1_YH!AF246)</f>
        <v>1600</v>
      </c>
      <c r="AW246" s="345">
        <f t="shared" si="77"/>
        <v>26.666666666666668</v>
      </c>
      <c r="AX246" s="345">
        <f>IF(coder1_YH!AG246="",AX245,coder1_YH!AG246)</f>
        <v>40</v>
      </c>
      <c r="AY246" s="345">
        <f>IF(coder1_YH!AH246="",AY245,coder1_YH!AH246)</f>
        <v>40</v>
      </c>
      <c r="AZ246" s="345" t="str">
        <f>IF(coder1_YH!AI246 = "", AZ245, IF(coder1_YH!AI246="BAU","BAU",LEFT(coder1_YH!AI246)))</f>
        <v>0</v>
      </c>
      <c r="BA246" s="384">
        <f>clean_data!Y246</f>
        <v>50.75</v>
      </c>
    </row>
    <row r="247" spans="1:53" x14ac:dyDescent="0.2">
      <c r="A247">
        <f>coder1_YH!B247</f>
        <v>0</v>
      </c>
      <c r="B247">
        <f>coder1_YH!C247</f>
        <v>247</v>
      </c>
      <c r="C247">
        <f>coder1_YH!D247</f>
        <v>0</v>
      </c>
      <c r="D247" t="str">
        <f>coder1_YH!E247</f>
        <v/>
      </c>
      <c r="E247">
        <f>coder1_YH!F247</f>
        <v>0</v>
      </c>
      <c r="F247" s="321" t="str">
        <f>IF(coder1_YH!G247="", clean_mod!F246, coder1_YH!G247)</f>
        <v>Burke, 1992</v>
      </c>
      <c r="G247" s="321" t="str">
        <f t="shared" si="63"/>
        <v>143</v>
      </c>
      <c r="H247" s="321">
        <f>IF(coder1_YH!H247="", clean_mod!H246, coder1_YH!H247)</f>
        <v>143</v>
      </c>
      <c r="I247" s="404" t="str">
        <f t="shared" si="78"/>
        <v>1992</v>
      </c>
      <c r="J247" s="344" t="str">
        <f>IF(coder1_YH!I247="",J246,coder1_YH!I247)</f>
        <v>USA</v>
      </c>
      <c r="K247" s="345">
        <f t="shared" si="64"/>
        <v>0</v>
      </c>
      <c r="L247" s="344" t="str">
        <f>IF(coder1_YH!J247 = "",L246, coder1_YH!J247)</f>
        <v>English</v>
      </c>
      <c r="M247" s="345">
        <f t="shared" si="65"/>
        <v>0</v>
      </c>
      <c r="N247" s="345" t="str">
        <f>IF(coder1_YH!K247 = "", N246, LEFT(coder1_YH!K247,1))</f>
        <v>0</v>
      </c>
      <c r="O247" s="345" t="str">
        <f>IF(coder1_YH!L247 = "", O246, LEFT(coder1_YH!L247,1))</f>
        <v>1</v>
      </c>
      <c r="P247" s="345" t="str">
        <f>IF(coder1_YH!M247 = "", P246, LEFT(coder1_YH!M247,1))</f>
        <v>0</v>
      </c>
      <c r="Q247" s="321" t="str">
        <f>coder1_YH!P247</f>
        <v>ctl</v>
      </c>
      <c r="R247" s="321" t="str">
        <f>coder1_YH!Q247</f>
        <v>Control, Teacher2</v>
      </c>
      <c r="S247" s="323" t="str">
        <f t="shared" si="66"/>
        <v/>
      </c>
      <c r="T247" s="323" t="str">
        <f t="shared" si="67"/>
        <v/>
      </c>
      <c r="U247" s="323" t="str">
        <f t="shared" si="68"/>
        <v/>
      </c>
      <c r="V247" s="323" t="str">
        <f t="shared" si="69"/>
        <v/>
      </c>
      <c r="W247" s="323">
        <f t="shared" si="70"/>
        <v>0</v>
      </c>
      <c r="X247" s="385" t="str">
        <f>IF(coder1_YH!N247 = "",X246,coder1_YH!N247)</f>
        <v>.</v>
      </c>
      <c r="Y247" s="385" t="str">
        <f>IF(coder1_YH!O247 = "",Y246,coder1_YH!O247)</f>
        <v>.</v>
      </c>
      <c r="Z247" s="385" t="str">
        <f t="shared" si="83"/>
        <v/>
      </c>
      <c r="AA247" s="385" t="str">
        <f t="shared" si="84"/>
        <v>BAU</v>
      </c>
      <c r="AB247" s="385" t="str">
        <f t="shared" si="81"/>
        <v>BAU</v>
      </c>
      <c r="AC247" s="323" t="str">
        <f t="shared" si="72"/>
        <v>..</v>
      </c>
      <c r="AD247" s="323" t="str">
        <f t="shared" si="73"/>
        <v>BAU</v>
      </c>
      <c r="AF247" s="369" t="str">
        <f t="shared" si="74"/>
        <v>143-..</v>
      </c>
      <c r="AG247" s="369" t="str">
        <f t="shared" si="75"/>
        <v>143-BAU</v>
      </c>
      <c r="AH247" s="344">
        <f>IF(coder1_YH!R247="",AH246,coder1_YH!R247)</f>
        <v>8</v>
      </c>
      <c r="AI247" s="344">
        <f t="shared" si="62"/>
        <v>8</v>
      </c>
      <c r="AJ247" s="345">
        <f t="shared" si="76"/>
        <v>1</v>
      </c>
      <c r="AK247" s="408">
        <f>IF(coder1_YH!S247="",AK246,coder1_YH!S247)</f>
        <v>13.5</v>
      </c>
      <c r="AL247" s="345">
        <f>IF(coder1_YH!T247="",AL246,IF(coder1_YH!T247="mixed",0.25,coder1_YH!T247))</f>
        <v>0</v>
      </c>
      <c r="AM247" s="345">
        <f>IF(coder1_YH!U247 = "", AM246, IF(coder1_YH!U247="mixed","NA",coder1_YH!U247))</f>
        <v>0</v>
      </c>
      <c r="AN247" s="345">
        <f>IF(coder1_YH!V247="",AN246,coder1_YH!V247)</f>
        <v>0.42</v>
      </c>
      <c r="AO247" s="345" t="str">
        <f>IF(coder1_YH!W247="",AO246,coder1_YH!W247)</f>
        <v>NA</v>
      </c>
      <c r="AP247" s="345" t="str">
        <f>IF(coder1_YH!X247="",AP246,coder1_YH!X247)</f>
        <v>NA</v>
      </c>
      <c r="AQ247" s="345" t="str">
        <f>IF(coder1_YH!Y247="",AQ246,coder1_YH!Y247)</f>
        <v>NA</v>
      </c>
      <c r="AR247" t="str">
        <f>coder1_YH!AB247</f>
        <v>0 = Researcher-developed/adapted curriculum</v>
      </c>
      <c r="AS247" s="345" t="str">
        <f>IF(coder1_YH!AC247 = "", AS246,IF(coder1_YH!AC247="BAU","BAU",LEFT(coder1_YH!AC247)))</f>
        <v>0</v>
      </c>
      <c r="AT247" s="345" t="str">
        <f>IF(coder1_YH!AD247 = "", AT246,IF(coder1_YH!AD247="BAU","BAU",LEFT(coder1_YH!AD247)))</f>
        <v>0</v>
      </c>
      <c r="AU247" s="345" t="str">
        <f>IF(coder1_YH!AE247 = "", AU246,IF(coder1_YH!AE247="BAU","BAU",LEFT(coder1_YH!AE247)))</f>
        <v>1</v>
      </c>
      <c r="AV247" s="345">
        <f>IF(coder1_YH!AF247="",AV246,coder1_YH!AF247)</f>
        <v>1600</v>
      </c>
      <c r="AW247" s="345">
        <f t="shared" si="77"/>
        <v>26.666666666666668</v>
      </c>
      <c r="AX247" s="345">
        <f>IF(coder1_YH!AG247="",AX246,coder1_YH!AG247)</f>
        <v>40</v>
      </c>
      <c r="AY247" s="345">
        <f>IF(coder1_YH!AH247="",AY246,coder1_YH!AH247)</f>
        <v>40</v>
      </c>
      <c r="AZ247" s="345" t="str">
        <f>IF(coder1_YH!AI247 = "", AZ246, IF(coder1_YH!AI247="BAU","BAU",LEFT(coder1_YH!AI247)))</f>
        <v>0</v>
      </c>
      <c r="BA247" s="384">
        <f>clean_data!Y247</f>
        <v>50.75</v>
      </c>
    </row>
    <row r="248" spans="1:53" x14ac:dyDescent="0.2">
      <c r="A248" t="str">
        <f>coder1_YH!B248</f>
        <v>EX</v>
      </c>
      <c r="B248">
        <f>coder1_YH!C248</f>
        <v>248</v>
      </c>
      <c r="C248">
        <f>coder1_YH!D248</f>
        <v>0</v>
      </c>
      <c r="D248">
        <f>coder1_YH!E248</f>
        <v>0</v>
      </c>
      <c r="E248">
        <f>coder1_YH!F248</f>
        <v>0</v>
      </c>
      <c r="F248" s="321" t="str">
        <f>IF(coder1_YH!G248="", clean_mod!F247, coder1_YH!G248)</f>
        <v>Miranda, 1997</v>
      </c>
      <c r="G248" s="321" t="str">
        <f t="shared" si="63"/>
        <v>144</v>
      </c>
      <c r="H248" s="321">
        <f>IF(coder1_YH!H248="", clean_mod!H247, coder1_YH!H248)</f>
        <v>144</v>
      </c>
      <c r="I248" s="404" t="str">
        <f t="shared" si="78"/>
        <v>1997</v>
      </c>
      <c r="J248" s="344" t="str">
        <f>IF(coder1_YH!I248="",J247,coder1_YH!I248)</f>
        <v>Spain</v>
      </c>
      <c r="K248" s="345">
        <f t="shared" si="64"/>
        <v>1</v>
      </c>
      <c r="L248" s="344" t="str">
        <f>IF(coder1_YH!J248 = "",L247, coder1_YH!J248)</f>
        <v>Spanish</v>
      </c>
      <c r="M248" s="345">
        <f t="shared" si="65"/>
        <v>1</v>
      </c>
      <c r="N248" s="345" t="str">
        <f>IF(coder1_YH!K248 = "", N247, LEFT(coder1_YH!K248,1))</f>
        <v>0</v>
      </c>
      <c r="O248" s="345" t="str">
        <f>IF(coder1_YH!L248 = "", O247, LEFT(coder1_YH!L248,1))</f>
        <v>0</v>
      </c>
      <c r="P248" s="345" t="str">
        <f>IF(coder1_YH!M248 = "", P247, LEFT(coder1_YH!M248,1))</f>
        <v>0</v>
      </c>
      <c r="Q248" s="321">
        <f>coder1_YH!P248</f>
        <v>1</v>
      </c>
      <c r="R248" s="321" t="str">
        <f>coder1_YH!Q248</f>
        <v>LD.s-i (R only)</v>
      </c>
      <c r="S248" s="323" t="str">
        <f t="shared" si="66"/>
        <v>N</v>
      </c>
      <c r="T248" s="323" t="str">
        <f t="shared" si="67"/>
        <v/>
      </c>
      <c r="U248" s="323" t="str">
        <f t="shared" si="68"/>
        <v/>
      </c>
      <c r="V248" s="323" t="str">
        <f t="shared" si="69"/>
        <v/>
      </c>
      <c r="W248" s="323">
        <f t="shared" si="70"/>
        <v>1</v>
      </c>
      <c r="X248" s="385" t="str">
        <f>IF(coder1_YH!N248 = "",X247,coder1_YH!N248)</f>
        <v>N</v>
      </c>
      <c r="Y248" s="385" t="str">
        <f>IF(coder1_YH!O248 = "",Y247,coder1_YH!O248)</f>
        <v xml:space="preserve">m </v>
      </c>
      <c r="Z248" s="385" t="str">
        <f t="shared" si="83"/>
        <v>M</v>
      </c>
      <c r="AA248" s="385" t="str">
        <f t="shared" si="84"/>
        <v>R</v>
      </c>
      <c r="AB248" s="385" t="str">
        <f t="shared" si="81"/>
        <v>MR</v>
      </c>
      <c r="AC248" s="323" t="str">
        <f t="shared" si="72"/>
        <v xml:space="preserve">Nm </v>
      </c>
      <c r="AD248" s="323" t="str">
        <f t="shared" si="73"/>
        <v>N_R</v>
      </c>
      <c r="AF248" s="369" t="str">
        <f t="shared" si="74"/>
        <v xml:space="preserve">144-Nm </v>
      </c>
      <c r="AG248" s="369" t="str">
        <f t="shared" si="75"/>
        <v>144-N_R</v>
      </c>
      <c r="AH248" s="344" t="str">
        <f>IF(coder1_YH!R248="",AH247,coder1_YH!R248)</f>
        <v>5, 6</v>
      </c>
      <c r="AI248" s="344">
        <f t="shared" si="62"/>
        <v>5.5</v>
      </c>
      <c r="AJ248" s="345">
        <f t="shared" si="76"/>
        <v>0</v>
      </c>
      <c r="AK248" s="408">
        <f>IF(coder1_YH!S248="",AK247,coder1_YH!S248)</f>
        <v>11</v>
      </c>
      <c r="AL248" s="345" t="str">
        <f>IF(coder1_YH!T248="",AL247,IF(coder1_YH!T248="mixed",0.25,coder1_YH!T248))</f>
        <v>NA</v>
      </c>
      <c r="AM248" s="345">
        <f>IF(coder1_YH!U248 = "", AM247, IF(coder1_YH!U248="mixed","NA",coder1_YH!U248))</f>
        <v>1</v>
      </c>
      <c r="AN248" s="345">
        <f>IF(coder1_YH!V248="",AN247,coder1_YH!V248)</f>
        <v>1</v>
      </c>
      <c r="AO248" s="345">
        <f>IF(coder1_YH!W248="",AO247,coder1_YH!W248)</f>
        <v>0</v>
      </c>
      <c r="AP248" s="345">
        <f>IF(coder1_YH!X248="",AP247,coder1_YH!X248)</f>
        <v>0.46250000000000002</v>
      </c>
      <c r="AQ248" s="345">
        <f>IF(coder1_YH!Y248="",AQ247,coder1_YH!Y248)</f>
        <v>0</v>
      </c>
      <c r="AR248" t="str">
        <f>coder1_YH!AB248</f>
        <v>0 = Researcher-developed/adapted curriculum</v>
      </c>
      <c r="AS248" s="345" t="str">
        <f>IF(coder1_YH!AC248 = "", AS247,IF(coder1_YH!AC248="BAU","BAU",LEFT(coder1_YH!AC248)))</f>
        <v>1</v>
      </c>
      <c r="AT248" s="345" t="str">
        <f>IF(coder1_YH!AD248 = "", AT247,IF(coder1_YH!AD248="BAU","BAU",LEFT(coder1_YH!AD248)))</f>
        <v>0</v>
      </c>
      <c r="AU248" s="345" t="str">
        <f>IF(coder1_YH!AE248 = "", AU247,IF(coder1_YH!AE248="BAU","BAU",LEFT(coder1_YH!AE248)))</f>
        <v>0</v>
      </c>
      <c r="AV248" s="345">
        <f>IF(coder1_YH!AF248="",AV247,coder1_YH!AF248)</f>
        <v>1000</v>
      </c>
      <c r="AW248" s="345">
        <f t="shared" si="77"/>
        <v>16.666666666666668</v>
      </c>
      <c r="AX248" s="345">
        <f>IF(coder1_YH!AG248="",AX247,coder1_YH!AG248)</f>
        <v>20</v>
      </c>
      <c r="AY248" s="345">
        <f>IF(coder1_YH!AH248="",AY247,coder1_YH!AH248)</f>
        <v>50</v>
      </c>
      <c r="AZ248" s="345" t="str">
        <f>IF(coder1_YH!AI248 = "", AZ247, IF(coder1_YH!AI248="BAU","BAU",LEFT(coder1_YH!AI248)))</f>
        <v>0</v>
      </c>
      <c r="BA248" s="384">
        <f>clean_data!Y248</f>
        <v>20</v>
      </c>
    </row>
    <row r="249" spans="1:53" x14ac:dyDescent="0.2">
      <c r="A249" t="str">
        <f>coder1_YH!B249</f>
        <v>EX</v>
      </c>
      <c r="B249">
        <f>coder1_YH!C249</f>
        <v>249</v>
      </c>
      <c r="C249" t="b">
        <f>coder1_YH!D249</f>
        <v>1</v>
      </c>
      <c r="D249" t="b">
        <f>coder1_YH!E249</f>
        <v>1</v>
      </c>
      <c r="E249" t="b">
        <f>coder1_YH!F249</f>
        <v>1</v>
      </c>
      <c r="F249" s="321" t="str">
        <f>IF(coder1_YH!G249="", clean_mod!F248, coder1_YH!G249)</f>
        <v>Miranda, 1997</v>
      </c>
      <c r="G249" s="321" t="str">
        <f t="shared" si="63"/>
        <v>144</v>
      </c>
      <c r="H249" s="321">
        <f>IF(coder1_YH!H249="", clean_mod!H248, coder1_YH!H249)</f>
        <v>144</v>
      </c>
      <c r="I249" s="404" t="str">
        <f t="shared" si="78"/>
        <v>1997</v>
      </c>
      <c r="J249" s="344" t="str">
        <f>IF(coder1_YH!I249="",J248,coder1_YH!I249)</f>
        <v>Spain</v>
      </c>
      <c r="K249" s="345">
        <f t="shared" si="64"/>
        <v>1</v>
      </c>
      <c r="L249" s="344" t="str">
        <f>IF(coder1_YH!J249 = "",L248, coder1_YH!J249)</f>
        <v>Spanish</v>
      </c>
      <c r="M249" s="345">
        <f t="shared" si="65"/>
        <v>1</v>
      </c>
      <c r="N249" s="345" t="str">
        <f>IF(coder1_YH!K249 = "", N248, LEFT(coder1_YH!K249,1))</f>
        <v>0</v>
      </c>
      <c r="O249" s="345" t="str">
        <f>IF(coder1_YH!L249 = "", O248, LEFT(coder1_YH!L249,1))</f>
        <v>0</v>
      </c>
      <c r="P249" s="345" t="str">
        <f>IF(coder1_YH!M249 = "", P248, LEFT(coder1_YH!M249,1))</f>
        <v>0</v>
      </c>
      <c r="Q249" s="321">
        <f>coder1_YH!P249</f>
        <v>1</v>
      </c>
      <c r="R249" s="321" t="str">
        <f>coder1_YH!Q249</f>
        <v>LD.s-i (R only)</v>
      </c>
      <c r="S249" s="323" t="str">
        <f t="shared" si="66"/>
        <v>N</v>
      </c>
      <c r="T249" s="323" t="str">
        <f t="shared" si="67"/>
        <v/>
      </c>
      <c r="U249" s="323" t="str">
        <f t="shared" si="68"/>
        <v/>
      </c>
      <c r="V249" s="323" t="str">
        <f t="shared" si="69"/>
        <v/>
      </c>
      <c r="W249" s="323">
        <f t="shared" si="70"/>
        <v>1</v>
      </c>
      <c r="X249" s="385" t="str">
        <f>IF(coder1_YH!N249 = "",X248,coder1_YH!N249)</f>
        <v>N</v>
      </c>
      <c r="Y249" s="385" t="str">
        <f>IF(coder1_YH!O249 = "",Y248,coder1_YH!O249)</f>
        <v xml:space="preserve">m </v>
      </c>
      <c r="Z249" s="385" t="str">
        <f t="shared" si="83"/>
        <v>M</v>
      </c>
      <c r="AA249" s="385" t="str">
        <f t="shared" si="84"/>
        <v>R</v>
      </c>
      <c r="AB249" s="385" t="str">
        <f t="shared" si="81"/>
        <v>MR</v>
      </c>
      <c r="AC249" s="323" t="str">
        <f t="shared" si="72"/>
        <v xml:space="preserve">Nm </v>
      </c>
      <c r="AD249" s="323" t="str">
        <f t="shared" si="73"/>
        <v>N_R</v>
      </c>
      <c r="AF249" s="369" t="str">
        <f t="shared" si="74"/>
        <v xml:space="preserve">144-Nm </v>
      </c>
      <c r="AG249" s="369" t="str">
        <f t="shared" si="75"/>
        <v>144-N_R</v>
      </c>
      <c r="AH249" s="344" t="str">
        <f>IF(coder1_YH!R249="",AH248,coder1_YH!R249)</f>
        <v>5, 6</v>
      </c>
      <c r="AI249" s="344">
        <f t="shared" si="62"/>
        <v>5.5</v>
      </c>
      <c r="AJ249" s="345">
        <f t="shared" si="76"/>
        <v>0</v>
      </c>
      <c r="AK249" s="408">
        <f>IF(coder1_YH!S249="",AK248,coder1_YH!S249)</f>
        <v>11</v>
      </c>
      <c r="AL249" s="345" t="str">
        <f>IF(coder1_YH!T249="",AL248,IF(coder1_YH!T249="mixed",0.25,coder1_YH!T249))</f>
        <v>NA</v>
      </c>
      <c r="AM249" s="345">
        <f>IF(coder1_YH!U249 = "", AM248, IF(coder1_YH!U249="mixed","NA",coder1_YH!U249))</f>
        <v>1</v>
      </c>
      <c r="AN249" s="345">
        <f>IF(coder1_YH!V249="",AN248,coder1_YH!V249)</f>
        <v>1</v>
      </c>
      <c r="AO249" s="345">
        <f>IF(coder1_YH!W249="",AO248,coder1_YH!W249)</f>
        <v>0</v>
      </c>
      <c r="AP249" s="345">
        <f>IF(coder1_YH!X249="",AP248,coder1_YH!X249)</f>
        <v>0.46250000000000002</v>
      </c>
      <c r="AQ249" s="345">
        <f>IF(coder1_YH!Y249="",AQ248,coder1_YH!Y249)</f>
        <v>0</v>
      </c>
      <c r="AR249" t="str">
        <f>coder1_YH!AB249</f>
        <v>0 = Researcher-developed/adapted curriculum</v>
      </c>
      <c r="AS249" s="345" t="str">
        <f>IF(coder1_YH!AC249 = "", AS248,IF(coder1_YH!AC249="BAU","BAU",LEFT(coder1_YH!AC249)))</f>
        <v>1</v>
      </c>
      <c r="AT249" s="345" t="str">
        <f>IF(coder1_YH!AD249 = "", AT248,IF(coder1_YH!AD249="BAU","BAU",LEFT(coder1_YH!AD249)))</f>
        <v>0</v>
      </c>
      <c r="AU249" s="345" t="str">
        <f>IF(coder1_YH!AE249 = "", AU248,IF(coder1_YH!AE249="BAU","BAU",LEFT(coder1_YH!AE249)))</f>
        <v>0</v>
      </c>
      <c r="AV249" s="345">
        <f>IF(coder1_YH!AF249="",AV248,coder1_YH!AF249)</f>
        <v>1000</v>
      </c>
      <c r="AW249" s="345">
        <f t="shared" si="77"/>
        <v>16.666666666666668</v>
      </c>
      <c r="AX249" s="345">
        <f>IF(coder1_YH!AG249="",AX248,coder1_YH!AG249)</f>
        <v>20</v>
      </c>
      <c r="AY249" s="345">
        <f>IF(coder1_YH!AH249="",AY248,coder1_YH!AH249)</f>
        <v>50</v>
      </c>
      <c r="AZ249" s="345" t="str">
        <f>IF(coder1_YH!AI249 = "", AZ248, IF(coder1_YH!AI249="BAU","BAU",LEFT(coder1_YH!AI249)))</f>
        <v>0</v>
      </c>
      <c r="BA249" s="384">
        <f>clean_data!Y249</f>
        <v>20</v>
      </c>
    </row>
    <row r="250" spans="1:53" x14ac:dyDescent="0.2">
      <c r="A250" t="str">
        <f>coder1_YH!B250</f>
        <v>EX</v>
      </c>
      <c r="B250">
        <f>coder1_YH!C250</f>
        <v>250</v>
      </c>
      <c r="C250">
        <f>coder1_YH!D250</f>
        <v>0</v>
      </c>
      <c r="D250">
        <f>coder1_YH!E250</f>
        <v>0</v>
      </c>
      <c r="E250">
        <f>coder1_YH!F250</f>
        <v>0</v>
      </c>
      <c r="F250" s="321" t="str">
        <f>IF(coder1_YH!G250="", clean_mod!F249, coder1_YH!G250)</f>
        <v>Miranda, 1997</v>
      </c>
      <c r="G250" s="321" t="str">
        <f t="shared" si="63"/>
        <v>144</v>
      </c>
      <c r="H250" s="321">
        <f>IF(coder1_YH!H250="", clean_mod!H249, coder1_YH!H250)</f>
        <v>144</v>
      </c>
      <c r="I250" s="404" t="str">
        <f t="shared" si="78"/>
        <v>1997</v>
      </c>
      <c r="J250" s="344" t="str">
        <f>IF(coder1_YH!I250="",J249,coder1_YH!I250)</f>
        <v>Spain</v>
      </c>
      <c r="K250" s="345">
        <f t="shared" si="64"/>
        <v>1</v>
      </c>
      <c r="L250" s="344" t="str">
        <f>IF(coder1_YH!J250 = "",L249, coder1_YH!J250)</f>
        <v>Spanish</v>
      </c>
      <c r="M250" s="345">
        <f t="shared" si="65"/>
        <v>1</v>
      </c>
      <c r="N250" s="345" t="str">
        <f>IF(coder1_YH!K250 = "", N249, LEFT(coder1_YH!K250,1))</f>
        <v>0</v>
      </c>
      <c r="O250" s="345" t="str">
        <f>IF(coder1_YH!L250 = "", O249, LEFT(coder1_YH!L250,1))</f>
        <v>0</v>
      </c>
      <c r="P250" s="345" t="str">
        <f>IF(coder1_YH!M250 = "", P249, LEFT(coder1_YH!M250,1))</f>
        <v>0</v>
      </c>
      <c r="Q250" s="321">
        <f>coder1_YH!P250</f>
        <v>1</v>
      </c>
      <c r="R250" s="321" t="str">
        <f>coder1_YH!Q250</f>
        <v>LD.s-i (R only)</v>
      </c>
      <c r="S250" s="323" t="str">
        <f t="shared" si="66"/>
        <v>N</v>
      </c>
      <c r="T250" s="323" t="str">
        <f t="shared" si="67"/>
        <v/>
      </c>
      <c r="U250" s="323" t="str">
        <f t="shared" si="68"/>
        <v/>
      </c>
      <c r="V250" s="323" t="str">
        <f t="shared" si="69"/>
        <v/>
      </c>
      <c r="W250" s="323">
        <f t="shared" si="70"/>
        <v>1</v>
      </c>
      <c r="X250" s="385" t="str">
        <f>IF(coder1_YH!N250 = "",X249,coder1_YH!N250)</f>
        <v>N</v>
      </c>
      <c r="Y250" s="385" t="str">
        <f>IF(coder1_YH!O250 = "",Y249,coder1_YH!O250)</f>
        <v xml:space="preserve">m </v>
      </c>
      <c r="Z250" s="385" t="str">
        <f t="shared" si="83"/>
        <v>M</v>
      </c>
      <c r="AA250" s="385" t="str">
        <f t="shared" si="84"/>
        <v>R</v>
      </c>
      <c r="AB250" s="385" t="str">
        <f t="shared" si="81"/>
        <v>MR</v>
      </c>
      <c r="AC250" s="323" t="str">
        <f t="shared" si="72"/>
        <v xml:space="preserve">Nm </v>
      </c>
      <c r="AD250" s="323" t="str">
        <f t="shared" si="73"/>
        <v>N_R</v>
      </c>
      <c r="AF250" s="369" t="str">
        <f t="shared" si="74"/>
        <v xml:space="preserve">144-Nm </v>
      </c>
      <c r="AG250" s="369" t="str">
        <f t="shared" si="75"/>
        <v>144-N_R</v>
      </c>
      <c r="AH250" s="344" t="str">
        <f>IF(coder1_YH!R250="",AH249,coder1_YH!R250)</f>
        <v>5, 6</v>
      </c>
      <c r="AI250" s="344">
        <f t="shared" si="62"/>
        <v>5.5</v>
      </c>
      <c r="AJ250" s="345">
        <f t="shared" si="76"/>
        <v>0</v>
      </c>
      <c r="AK250" s="408">
        <f>IF(coder1_YH!S250="",AK249,coder1_YH!S250)</f>
        <v>11</v>
      </c>
      <c r="AL250" s="345" t="str">
        <f>IF(coder1_YH!T250="",AL249,IF(coder1_YH!T250="mixed",0.25,coder1_YH!T250))</f>
        <v>NA</v>
      </c>
      <c r="AM250" s="345">
        <f>IF(coder1_YH!U250 = "", AM249, IF(coder1_YH!U250="mixed","NA",coder1_YH!U250))</f>
        <v>1</v>
      </c>
      <c r="AN250" s="345">
        <f>IF(coder1_YH!V250="",AN249,coder1_YH!V250)</f>
        <v>1</v>
      </c>
      <c r="AO250" s="345">
        <f>IF(coder1_YH!W250="",AO249,coder1_YH!W250)</f>
        <v>0</v>
      </c>
      <c r="AP250" s="345">
        <f>IF(coder1_YH!X250="",AP249,coder1_YH!X250)</f>
        <v>0.46250000000000002</v>
      </c>
      <c r="AQ250" s="345">
        <f>IF(coder1_YH!Y250="",AQ249,coder1_YH!Y250)</f>
        <v>0</v>
      </c>
      <c r="AR250" t="str">
        <f>coder1_YH!AB250</f>
        <v>0 = Researcher-developed/adapted curriculum</v>
      </c>
      <c r="AS250" s="345" t="str">
        <f>IF(coder1_YH!AC250 = "", AS249,IF(coder1_YH!AC250="BAU","BAU",LEFT(coder1_YH!AC250)))</f>
        <v>1</v>
      </c>
      <c r="AT250" s="345" t="str">
        <f>IF(coder1_YH!AD250 = "", AT249,IF(coder1_YH!AD250="BAU","BAU",LEFT(coder1_YH!AD250)))</f>
        <v>0</v>
      </c>
      <c r="AU250" s="345" t="str">
        <f>IF(coder1_YH!AE250 = "", AU249,IF(coder1_YH!AE250="BAU","BAU",LEFT(coder1_YH!AE250)))</f>
        <v>0</v>
      </c>
      <c r="AV250" s="345">
        <f>IF(coder1_YH!AF250="",AV249,coder1_YH!AF250)</f>
        <v>1000</v>
      </c>
      <c r="AW250" s="345">
        <f t="shared" si="77"/>
        <v>16.666666666666668</v>
      </c>
      <c r="AX250" s="345">
        <f>IF(coder1_YH!AG250="",AX249,coder1_YH!AG250)</f>
        <v>20</v>
      </c>
      <c r="AY250" s="345">
        <f>IF(coder1_YH!AH250="",AY249,coder1_YH!AH250)</f>
        <v>50</v>
      </c>
      <c r="AZ250" s="345" t="str">
        <f>IF(coder1_YH!AI250 = "", AZ249, IF(coder1_YH!AI250="BAU","BAU",LEFT(coder1_YH!AI250)))</f>
        <v>0</v>
      </c>
      <c r="BA250" s="384">
        <f>clean_data!Y250</f>
        <v>20</v>
      </c>
    </row>
    <row r="251" spans="1:53" x14ac:dyDescent="0.2">
      <c r="A251" t="str">
        <f>coder1_YH!B251</f>
        <v>EX</v>
      </c>
      <c r="B251">
        <f>coder1_YH!C251</f>
        <v>251</v>
      </c>
      <c r="C251">
        <f>coder1_YH!D251</f>
        <v>0</v>
      </c>
      <c r="D251">
        <f>coder1_YH!E251</f>
        <v>0</v>
      </c>
      <c r="E251">
        <f>coder1_YH!F251</f>
        <v>0</v>
      </c>
      <c r="F251" s="321" t="str">
        <f>IF(coder1_YH!G251="", clean_mod!F250, coder1_YH!G251)</f>
        <v>Miranda, 1997</v>
      </c>
      <c r="G251" s="321" t="str">
        <f t="shared" si="63"/>
        <v>144</v>
      </c>
      <c r="H251" s="321">
        <f>IF(coder1_YH!H251="", clean_mod!H250, coder1_YH!H251)</f>
        <v>144</v>
      </c>
      <c r="I251" s="404" t="str">
        <f t="shared" si="78"/>
        <v>1997</v>
      </c>
      <c r="J251" s="344" t="str">
        <f>IF(coder1_YH!I251="",J250,coder1_YH!I251)</f>
        <v>Spain</v>
      </c>
      <c r="K251" s="345">
        <f t="shared" si="64"/>
        <v>1</v>
      </c>
      <c r="L251" s="344" t="str">
        <f>IF(coder1_YH!J251 = "",L250, coder1_YH!J251)</f>
        <v>Spanish</v>
      </c>
      <c r="M251" s="345">
        <f t="shared" si="65"/>
        <v>1</v>
      </c>
      <c r="N251" s="345" t="str">
        <f>IF(coder1_YH!K251 = "", N250, LEFT(coder1_YH!K251,1))</f>
        <v>0</v>
      </c>
      <c r="O251" s="345" t="str">
        <f>IF(coder1_YH!L251 = "", O250, LEFT(coder1_YH!L251,1))</f>
        <v>0</v>
      </c>
      <c r="P251" s="345" t="str">
        <f>IF(coder1_YH!M251 = "", P250, LEFT(coder1_YH!M251,1))</f>
        <v>0</v>
      </c>
      <c r="Q251" s="321">
        <f>coder1_YH!P251</f>
        <v>2</v>
      </c>
      <c r="R251" s="321" t="str">
        <f>coder1_YH!Q251</f>
        <v>LD.attr (R+ AT)</v>
      </c>
      <c r="S251" s="323" t="str">
        <f t="shared" si="66"/>
        <v>N</v>
      </c>
      <c r="T251" s="323" t="str">
        <f t="shared" si="67"/>
        <v/>
      </c>
      <c r="U251" s="323" t="str">
        <f t="shared" si="68"/>
        <v/>
      </c>
      <c r="V251" s="323" t="str">
        <f t="shared" si="69"/>
        <v>T</v>
      </c>
      <c r="W251" s="323">
        <f t="shared" si="70"/>
        <v>2</v>
      </c>
      <c r="X251" s="385" t="str">
        <f>IF(coder1_YH!N251 = "",X250,coder1_YH!N251)</f>
        <v>NT</v>
      </c>
      <c r="Y251" s="385" t="str">
        <f>IF(coder1_YH!O251 = "",Y250,coder1_YH!O251)</f>
        <v xml:space="preserve">m </v>
      </c>
      <c r="Z251" s="385" t="str">
        <f t="shared" si="83"/>
        <v>M</v>
      </c>
      <c r="AA251" s="385" t="str">
        <f t="shared" si="84"/>
        <v>R</v>
      </c>
      <c r="AB251" s="385" t="str">
        <f t="shared" si="81"/>
        <v>MR</v>
      </c>
      <c r="AC251" s="323" t="str">
        <f t="shared" si="72"/>
        <v xml:space="preserve">NTm </v>
      </c>
      <c r="AD251" s="323" t="str">
        <f t="shared" si="73"/>
        <v>NT_R</v>
      </c>
      <c r="AF251" s="369" t="str">
        <f t="shared" si="74"/>
        <v xml:space="preserve">144-NTm </v>
      </c>
      <c r="AG251" s="369" t="str">
        <f t="shared" si="75"/>
        <v>144-NT_R</v>
      </c>
      <c r="AH251" s="344" t="str">
        <f>IF(coder1_YH!R251="",AH250,coder1_YH!R251)</f>
        <v>5, 6</v>
      </c>
      <c r="AI251" s="344">
        <f t="shared" si="62"/>
        <v>5.5</v>
      </c>
      <c r="AJ251" s="345">
        <f t="shared" si="76"/>
        <v>0</v>
      </c>
      <c r="AK251" s="408">
        <f>IF(coder1_YH!S251="",AK250,coder1_YH!S251)</f>
        <v>11</v>
      </c>
      <c r="AL251" s="345" t="str">
        <f>IF(coder1_YH!T251="",AL250,IF(coder1_YH!T251="mixed",0.25,coder1_YH!T251))</f>
        <v>NA</v>
      </c>
      <c r="AM251" s="345">
        <f>IF(coder1_YH!U251 = "", AM250, IF(coder1_YH!U251="mixed","NA",coder1_YH!U251))</f>
        <v>1</v>
      </c>
      <c r="AN251" s="345">
        <f>IF(coder1_YH!V251="",AN250,coder1_YH!V251)</f>
        <v>1</v>
      </c>
      <c r="AO251" s="345">
        <f>IF(coder1_YH!W251="",AO250,coder1_YH!W251)</f>
        <v>0</v>
      </c>
      <c r="AP251" s="345">
        <f>IF(coder1_YH!X251="",AP250,coder1_YH!X251)</f>
        <v>0.46250000000000002</v>
      </c>
      <c r="AQ251" s="345">
        <f>IF(coder1_YH!Y251="",AQ250,coder1_YH!Y251)</f>
        <v>0</v>
      </c>
      <c r="AR251" t="str">
        <f>coder1_YH!AB251</f>
        <v>0 = Researcher-developed/adapted curriculum</v>
      </c>
      <c r="AS251" s="345" t="str">
        <f>IF(coder1_YH!AC251 = "", AS250,IF(coder1_YH!AC251="BAU","BAU",LEFT(coder1_YH!AC251)))</f>
        <v>1</v>
      </c>
      <c r="AT251" s="345" t="str">
        <f>IF(coder1_YH!AD251 = "", AT250,IF(coder1_YH!AD251="BAU","BAU",LEFT(coder1_YH!AD251)))</f>
        <v>0</v>
      </c>
      <c r="AU251" s="345" t="str">
        <f>IF(coder1_YH!AE251 = "", AU250,IF(coder1_YH!AE251="BAU","BAU",LEFT(coder1_YH!AE251)))</f>
        <v>0</v>
      </c>
      <c r="AV251" s="345">
        <f>IF(coder1_YH!AF251="",AV250,coder1_YH!AF251)</f>
        <v>1000</v>
      </c>
      <c r="AW251" s="345">
        <f t="shared" si="77"/>
        <v>16.666666666666668</v>
      </c>
      <c r="AX251" s="345">
        <f>IF(coder1_YH!AG251="",AX250,coder1_YH!AG251)</f>
        <v>20</v>
      </c>
      <c r="AY251" s="345">
        <f>IF(coder1_YH!AH251="",AY250,coder1_YH!AH251)</f>
        <v>50</v>
      </c>
      <c r="AZ251" s="345" t="str">
        <f>IF(coder1_YH!AI251 = "", AZ250, IF(coder1_YH!AI251="BAU","BAU",LEFT(coder1_YH!AI251)))</f>
        <v>0</v>
      </c>
      <c r="BA251" s="384">
        <f>clean_data!Y251</f>
        <v>20</v>
      </c>
    </row>
    <row r="252" spans="1:53" x14ac:dyDescent="0.2">
      <c r="A252" t="str">
        <f>coder1_YH!B252</f>
        <v>EX</v>
      </c>
      <c r="B252">
        <f>coder1_YH!C252</f>
        <v>252</v>
      </c>
      <c r="C252">
        <f>coder1_YH!D252</f>
        <v>0</v>
      </c>
      <c r="D252">
        <f>coder1_YH!E252</f>
        <v>0</v>
      </c>
      <c r="E252" t="b">
        <f>coder1_YH!F252</f>
        <v>1</v>
      </c>
      <c r="F252" s="321" t="str">
        <f>IF(coder1_YH!G252="", clean_mod!F251, coder1_YH!G252)</f>
        <v>Miranda, 1997</v>
      </c>
      <c r="G252" s="321" t="str">
        <f t="shared" si="63"/>
        <v>144</v>
      </c>
      <c r="H252" s="321">
        <f>IF(coder1_YH!H252="", clean_mod!H251, coder1_YH!H252)</f>
        <v>144</v>
      </c>
      <c r="I252" s="404" t="str">
        <f t="shared" si="78"/>
        <v>1997</v>
      </c>
      <c r="J252" s="344" t="str">
        <f>IF(coder1_YH!I252="",J251,coder1_YH!I252)</f>
        <v>Spain</v>
      </c>
      <c r="K252" s="345">
        <f t="shared" si="64"/>
        <v>1</v>
      </c>
      <c r="L252" s="344" t="str">
        <f>IF(coder1_YH!J252 = "",L251, coder1_YH!J252)</f>
        <v>Spanish</v>
      </c>
      <c r="M252" s="345">
        <f t="shared" si="65"/>
        <v>1</v>
      </c>
      <c r="N252" s="345" t="str">
        <f>IF(coder1_YH!K252 = "", N251, LEFT(coder1_YH!K252,1))</f>
        <v>0</v>
      </c>
      <c r="O252" s="345" t="str">
        <f>IF(coder1_YH!L252 = "", O251, LEFT(coder1_YH!L252,1))</f>
        <v>0</v>
      </c>
      <c r="P252" s="345" t="str">
        <f>IF(coder1_YH!M252 = "", P251, LEFT(coder1_YH!M252,1))</f>
        <v>0</v>
      </c>
      <c r="Q252" s="321">
        <f>coder1_YH!P252</f>
        <v>2</v>
      </c>
      <c r="R252" s="321" t="str">
        <f>coder1_YH!Q252</f>
        <v>LD.attr (R+ AT)</v>
      </c>
      <c r="S252" s="323" t="str">
        <f t="shared" si="66"/>
        <v>N</v>
      </c>
      <c r="T252" s="323" t="str">
        <f t="shared" si="67"/>
        <v/>
      </c>
      <c r="U252" s="323" t="str">
        <f t="shared" si="68"/>
        <v/>
      </c>
      <c r="V252" s="323" t="str">
        <f t="shared" si="69"/>
        <v>T</v>
      </c>
      <c r="W252" s="323">
        <f t="shared" si="70"/>
        <v>2</v>
      </c>
      <c r="X252" s="385" t="str">
        <f>IF(coder1_YH!N252 = "",X251,coder1_YH!N252)</f>
        <v>NT</v>
      </c>
      <c r="Y252" s="385" t="str">
        <f>IF(coder1_YH!O252 = "",Y251,coder1_YH!O252)</f>
        <v xml:space="preserve">m </v>
      </c>
      <c r="Z252" s="385" t="str">
        <f t="shared" si="83"/>
        <v>M</v>
      </c>
      <c r="AA252" s="385" t="str">
        <f t="shared" si="84"/>
        <v>R</v>
      </c>
      <c r="AB252" s="385" t="str">
        <f t="shared" si="81"/>
        <v>MR</v>
      </c>
      <c r="AC252" s="323" t="str">
        <f t="shared" si="72"/>
        <v xml:space="preserve">NTm </v>
      </c>
      <c r="AD252" s="323" t="str">
        <f t="shared" si="73"/>
        <v>NT_R</v>
      </c>
      <c r="AF252" s="369" t="str">
        <f t="shared" si="74"/>
        <v xml:space="preserve">144-NTm </v>
      </c>
      <c r="AG252" s="369" t="str">
        <f t="shared" si="75"/>
        <v>144-NT_R</v>
      </c>
      <c r="AH252" s="344" t="str">
        <f>IF(coder1_YH!R252="",AH251,coder1_YH!R252)</f>
        <v>5, 6</v>
      </c>
      <c r="AI252" s="344">
        <f t="shared" si="62"/>
        <v>5.5</v>
      </c>
      <c r="AJ252" s="345">
        <f t="shared" si="76"/>
        <v>0</v>
      </c>
      <c r="AK252" s="408">
        <f>IF(coder1_YH!S252="",AK251,coder1_YH!S252)</f>
        <v>11</v>
      </c>
      <c r="AL252" s="345" t="str">
        <f>IF(coder1_YH!T252="",AL251,IF(coder1_YH!T252="mixed",0.25,coder1_YH!T252))</f>
        <v>NA</v>
      </c>
      <c r="AM252" s="345">
        <f>IF(coder1_YH!U252 = "", AM251, IF(coder1_YH!U252="mixed","NA",coder1_YH!U252))</f>
        <v>1</v>
      </c>
      <c r="AN252" s="345">
        <f>IF(coder1_YH!V252="",AN251,coder1_YH!V252)</f>
        <v>1</v>
      </c>
      <c r="AO252" s="345">
        <f>IF(coder1_YH!W252="",AO251,coder1_YH!W252)</f>
        <v>0</v>
      </c>
      <c r="AP252" s="345">
        <f>IF(coder1_YH!X252="",AP251,coder1_YH!X252)</f>
        <v>0.46250000000000002</v>
      </c>
      <c r="AQ252" s="345">
        <f>IF(coder1_YH!Y252="",AQ251,coder1_YH!Y252)</f>
        <v>0</v>
      </c>
      <c r="AR252" t="str">
        <f>coder1_YH!AB252</f>
        <v>0 = Researcher-developed/adapted curriculum</v>
      </c>
      <c r="AS252" s="345" t="str">
        <f>IF(coder1_YH!AC252 = "", AS251,IF(coder1_YH!AC252="BAU","BAU",LEFT(coder1_YH!AC252)))</f>
        <v>1</v>
      </c>
      <c r="AT252" s="345" t="str">
        <f>IF(coder1_YH!AD252 = "", AT251,IF(coder1_YH!AD252="BAU","BAU",LEFT(coder1_YH!AD252)))</f>
        <v>0</v>
      </c>
      <c r="AU252" s="345" t="str">
        <f>IF(coder1_YH!AE252 = "", AU251,IF(coder1_YH!AE252="BAU","BAU",LEFT(coder1_YH!AE252)))</f>
        <v>0</v>
      </c>
      <c r="AV252" s="345">
        <f>IF(coder1_YH!AF252="",AV251,coder1_YH!AF252)</f>
        <v>1000</v>
      </c>
      <c r="AW252" s="345">
        <f t="shared" si="77"/>
        <v>16.666666666666668</v>
      </c>
      <c r="AX252" s="345">
        <f>IF(coder1_YH!AG252="",AX251,coder1_YH!AG252)</f>
        <v>20</v>
      </c>
      <c r="AY252" s="345">
        <f>IF(coder1_YH!AH252="",AY251,coder1_YH!AH252)</f>
        <v>50</v>
      </c>
      <c r="AZ252" s="345" t="str">
        <f>IF(coder1_YH!AI252 = "", AZ251, IF(coder1_YH!AI252="BAU","BAU",LEFT(coder1_YH!AI252)))</f>
        <v>0</v>
      </c>
      <c r="BA252" s="384">
        <f>clean_data!Y252</f>
        <v>20</v>
      </c>
    </row>
    <row r="253" spans="1:53" x14ac:dyDescent="0.2">
      <c r="A253" t="str">
        <f>coder1_YH!B253</f>
        <v>EX</v>
      </c>
      <c r="B253">
        <f>coder1_YH!C253</f>
        <v>253</v>
      </c>
      <c r="C253">
        <f>coder1_YH!D253</f>
        <v>0</v>
      </c>
      <c r="D253">
        <f>coder1_YH!E253</f>
        <v>0</v>
      </c>
      <c r="E253">
        <f>coder1_YH!F253</f>
        <v>0</v>
      </c>
      <c r="F253" s="321" t="str">
        <f>IF(coder1_YH!G253="", clean_mod!F252, coder1_YH!G253)</f>
        <v>Miranda, 1997</v>
      </c>
      <c r="G253" s="321" t="str">
        <f t="shared" si="63"/>
        <v>144</v>
      </c>
      <c r="H253" s="321">
        <f>IF(coder1_YH!H253="", clean_mod!H252, coder1_YH!H253)</f>
        <v>144</v>
      </c>
      <c r="I253" s="404" t="str">
        <f t="shared" si="78"/>
        <v>1997</v>
      </c>
      <c r="J253" s="344" t="str">
        <f>IF(coder1_YH!I253="",J252,coder1_YH!I253)</f>
        <v>Spain</v>
      </c>
      <c r="K253" s="345">
        <f t="shared" si="64"/>
        <v>1</v>
      </c>
      <c r="L253" s="344" t="str">
        <f>IF(coder1_YH!J253 = "",L252, coder1_YH!J253)</f>
        <v>Spanish</v>
      </c>
      <c r="M253" s="345">
        <f t="shared" si="65"/>
        <v>1</v>
      </c>
      <c r="N253" s="345" t="str">
        <f>IF(coder1_YH!K253 = "", N252, LEFT(coder1_YH!K253,1))</f>
        <v>0</v>
      </c>
      <c r="O253" s="345" t="str">
        <f>IF(coder1_YH!L253 = "", O252, LEFT(coder1_YH!L253,1))</f>
        <v>0</v>
      </c>
      <c r="P253" s="345" t="str">
        <f>IF(coder1_YH!M253 = "", P252, LEFT(coder1_YH!M253,1))</f>
        <v>0</v>
      </c>
      <c r="Q253" s="321">
        <f>coder1_YH!P253</f>
        <v>2</v>
      </c>
      <c r="R253" s="321" t="str">
        <f>coder1_YH!Q253</f>
        <v>LD.attr (R+ AT)</v>
      </c>
      <c r="S253" s="323" t="str">
        <f t="shared" si="66"/>
        <v>N</v>
      </c>
      <c r="T253" s="323" t="str">
        <f t="shared" si="67"/>
        <v/>
      </c>
      <c r="U253" s="323" t="str">
        <f t="shared" si="68"/>
        <v/>
      </c>
      <c r="V253" s="323" t="str">
        <f t="shared" si="69"/>
        <v>T</v>
      </c>
      <c r="W253" s="323">
        <f t="shared" si="70"/>
        <v>2</v>
      </c>
      <c r="X253" s="385" t="str">
        <f>IF(coder1_YH!N253 = "",X252,coder1_YH!N253)</f>
        <v>NT</v>
      </c>
      <c r="Y253" s="385" t="str">
        <f>IF(coder1_YH!O253 = "",Y252,coder1_YH!O253)</f>
        <v xml:space="preserve">m </v>
      </c>
      <c r="Z253" s="385" t="str">
        <f t="shared" si="83"/>
        <v>M</v>
      </c>
      <c r="AA253" s="385" t="str">
        <f t="shared" si="84"/>
        <v>R</v>
      </c>
      <c r="AB253" s="385" t="str">
        <f t="shared" si="81"/>
        <v>MR</v>
      </c>
      <c r="AC253" s="323" t="str">
        <f t="shared" si="72"/>
        <v xml:space="preserve">NTm </v>
      </c>
      <c r="AD253" s="323" t="str">
        <f t="shared" si="73"/>
        <v>NT_R</v>
      </c>
      <c r="AF253" s="369" t="str">
        <f t="shared" si="74"/>
        <v xml:space="preserve">144-NTm </v>
      </c>
      <c r="AG253" s="369" t="str">
        <f t="shared" si="75"/>
        <v>144-NT_R</v>
      </c>
      <c r="AH253" s="344" t="str">
        <f>IF(coder1_YH!R253="",AH252,coder1_YH!R253)</f>
        <v>5, 6</v>
      </c>
      <c r="AI253" s="344">
        <f t="shared" si="62"/>
        <v>5.5</v>
      </c>
      <c r="AJ253" s="345">
        <f t="shared" si="76"/>
        <v>0</v>
      </c>
      <c r="AK253" s="408">
        <f>IF(coder1_YH!S253="",AK252,coder1_YH!S253)</f>
        <v>11</v>
      </c>
      <c r="AL253" s="345" t="str">
        <f>IF(coder1_YH!T253="",AL252,IF(coder1_YH!T253="mixed",0.25,coder1_YH!T253))</f>
        <v>NA</v>
      </c>
      <c r="AM253" s="345">
        <f>IF(coder1_YH!U253 = "", AM252, IF(coder1_YH!U253="mixed","NA",coder1_YH!U253))</f>
        <v>1</v>
      </c>
      <c r="AN253" s="345">
        <f>IF(coder1_YH!V253="",AN252,coder1_YH!V253)</f>
        <v>1</v>
      </c>
      <c r="AO253" s="345">
        <f>IF(coder1_YH!W253="",AO252,coder1_YH!W253)</f>
        <v>0</v>
      </c>
      <c r="AP253" s="345">
        <f>IF(coder1_YH!X253="",AP252,coder1_YH!X253)</f>
        <v>0.46250000000000002</v>
      </c>
      <c r="AQ253" s="345">
        <f>IF(coder1_YH!Y253="",AQ252,coder1_YH!Y253)</f>
        <v>0</v>
      </c>
      <c r="AR253" t="str">
        <f>coder1_YH!AB253</f>
        <v>0 = Researcher-developed/adapted curriculum</v>
      </c>
      <c r="AS253" s="345" t="str">
        <f>IF(coder1_YH!AC253 = "", AS252,IF(coder1_YH!AC253="BAU","BAU",LEFT(coder1_YH!AC253)))</f>
        <v>1</v>
      </c>
      <c r="AT253" s="345" t="str">
        <f>IF(coder1_YH!AD253 = "", AT252,IF(coder1_YH!AD253="BAU","BAU",LEFT(coder1_YH!AD253)))</f>
        <v>0</v>
      </c>
      <c r="AU253" s="345" t="str">
        <f>IF(coder1_YH!AE253 = "", AU252,IF(coder1_YH!AE253="BAU","BAU",LEFT(coder1_YH!AE253)))</f>
        <v>0</v>
      </c>
      <c r="AV253" s="345">
        <f>IF(coder1_YH!AF253="",AV252,coder1_YH!AF253)</f>
        <v>1000</v>
      </c>
      <c r="AW253" s="345">
        <f t="shared" si="77"/>
        <v>16.666666666666668</v>
      </c>
      <c r="AX253" s="345">
        <f>IF(coder1_YH!AG253="",AX252,coder1_YH!AG253)</f>
        <v>20</v>
      </c>
      <c r="AY253" s="345">
        <f>IF(coder1_YH!AH253="",AY252,coder1_YH!AH253)</f>
        <v>50</v>
      </c>
      <c r="AZ253" s="345" t="str">
        <f>IF(coder1_YH!AI253 = "", AZ252, IF(coder1_YH!AI253="BAU","BAU",LEFT(coder1_YH!AI253)))</f>
        <v>0</v>
      </c>
      <c r="BA253" s="384">
        <f>clean_data!Y253</f>
        <v>20</v>
      </c>
    </row>
    <row r="254" spans="1:53" x14ac:dyDescent="0.2">
      <c r="A254" t="str">
        <f>coder1_YH!B254</f>
        <v>EX</v>
      </c>
      <c r="B254">
        <f>coder1_YH!C254</f>
        <v>254</v>
      </c>
      <c r="C254">
        <f>coder1_YH!D254</f>
        <v>0</v>
      </c>
      <c r="D254">
        <f>coder1_YH!E254</f>
        <v>0</v>
      </c>
      <c r="E254">
        <f>coder1_YH!F254</f>
        <v>0</v>
      </c>
      <c r="F254" s="321" t="str">
        <f>IF(coder1_YH!G254="", clean_mod!F253, coder1_YH!G254)</f>
        <v>Miranda, 1997</v>
      </c>
      <c r="G254" s="321" t="str">
        <f t="shared" si="63"/>
        <v>144</v>
      </c>
      <c r="H254" s="321">
        <f>IF(coder1_YH!H254="", clean_mod!H253, coder1_YH!H254)</f>
        <v>144</v>
      </c>
      <c r="I254" s="404" t="str">
        <f t="shared" si="78"/>
        <v>1997</v>
      </c>
      <c r="J254" s="344" t="str">
        <f>IF(coder1_YH!I254="",J253,coder1_YH!I254)</f>
        <v>Spain</v>
      </c>
      <c r="K254" s="345">
        <f t="shared" si="64"/>
        <v>1</v>
      </c>
      <c r="L254" s="344" t="str">
        <f>IF(coder1_YH!J254 = "",L253, coder1_YH!J254)</f>
        <v>Spanish</v>
      </c>
      <c r="M254" s="345">
        <f t="shared" si="65"/>
        <v>1</v>
      </c>
      <c r="N254" s="345" t="str">
        <f>IF(coder1_YH!K254 = "", N253, LEFT(coder1_YH!K254,1))</f>
        <v>0</v>
      </c>
      <c r="O254" s="345" t="str">
        <f>IF(coder1_YH!L254 = "", O253, LEFT(coder1_YH!L254,1))</f>
        <v>0</v>
      </c>
      <c r="P254" s="345" t="str">
        <f>IF(coder1_YH!M254 = "", P253, LEFT(coder1_YH!M254,1))</f>
        <v>0</v>
      </c>
      <c r="Q254" s="321" t="str">
        <f>coder1_YH!P254</f>
        <v>ctl</v>
      </c>
      <c r="R254" s="321" t="str">
        <f>coder1_YH!Q254</f>
        <v>LD.co (Control)</v>
      </c>
      <c r="S254" s="323" t="str">
        <f t="shared" si="66"/>
        <v/>
      </c>
      <c r="T254" s="323" t="str">
        <f t="shared" si="67"/>
        <v/>
      </c>
      <c r="U254" s="323" t="str">
        <f t="shared" si="68"/>
        <v/>
      </c>
      <c r="V254" s="323" t="str">
        <f t="shared" si="69"/>
        <v/>
      </c>
      <c r="W254" s="323">
        <f t="shared" si="70"/>
        <v>0</v>
      </c>
      <c r="X254" s="385" t="str">
        <f>IF(coder1_YH!N254 = "",X253,coder1_YH!N254)</f>
        <v>.</v>
      </c>
      <c r="Y254" s="385" t="str">
        <f>IF(coder1_YH!O254 = "",Y253,coder1_YH!O254)</f>
        <v>.</v>
      </c>
      <c r="Z254" s="385" t="str">
        <f t="shared" si="83"/>
        <v/>
      </c>
      <c r="AA254" s="385" t="str">
        <f t="shared" si="84"/>
        <v>BAU</v>
      </c>
      <c r="AB254" s="385" t="str">
        <f t="shared" si="81"/>
        <v>BAU</v>
      </c>
      <c r="AC254" s="323" t="str">
        <f t="shared" si="72"/>
        <v>..</v>
      </c>
      <c r="AD254" s="323" t="str">
        <f t="shared" si="73"/>
        <v>BAU</v>
      </c>
      <c r="AF254" s="369" t="str">
        <f t="shared" si="74"/>
        <v>144-..</v>
      </c>
      <c r="AG254" s="369" t="str">
        <f t="shared" si="75"/>
        <v>144-BAU</v>
      </c>
      <c r="AH254" s="344" t="str">
        <f>IF(coder1_YH!R254="",AH253,coder1_YH!R254)</f>
        <v>5, 6</v>
      </c>
      <c r="AI254" s="344">
        <f t="shared" si="62"/>
        <v>5.5</v>
      </c>
      <c r="AJ254" s="345">
        <f t="shared" si="76"/>
        <v>0</v>
      </c>
      <c r="AK254" s="408">
        <f>IF(coder1_YH!S254="",AK253,coder1_YH!S254)</f>
        <v>11</v>
      </c>
      <c r="AL254" s="345" t="str">
        <f>IF(coder1_YH!T254="",AL253,IF(coder1_YH!T254="mixed",0.25,coder1_YH!T254))</f>
        <v>NA</v>
      </c>
      <c r="AM254" s="345">
        <f>IF(coder1_YH!U254 = "", AM253, IF(coder1_YH!U254="mixed","NA",coder1_YH!U254))</f>
        <v>1</v>
      </c>
      <c r="AN254" s="345">
        <f>IF(coder1_YH!V254="",AN253,coder1_YH!V254)</f>
        <v>1</v>
      </c>
      <c r="AO254" s="345">
        <f>IF(coder1_YH!W254="",AO253,coder1_YH!W254)</f>
        <v>0</v>
      </c>
      <c r="AP254" s="345">
        <f>IF(coder1_YH!X254="",AP253,coder1_YH!X254)</f>
        <v>0.46250000000000002</v>
      </c>
      <c r="AQ254" s="345">
        <f>IF(coder1_YH!Y254="",AQ253,coder1_YH!Y254)</f>
        <v>0</v>
      </c>
      <c r="AR254" t="str">
        <f>coder1_YH!AB254</f>
        <v>3 = NA (for BAU/AC Condition)</v>
      </c>
      <c r="AS254" s="345" t="str">
        <f>IF(coder1_YH!AC254 = "", AS253,IF(coder1_YH!AC254="BAU","BAU",LEFT(coder1_YH!AC254)))</f>
        <v>BAU</v>
      </c>
      <c r="AT254" s="345" t="str">
        <f>IF(coder1_YH!AD254 = "", AT253,IF(coder1_YH!AD254="BAU","BAU",LEFT(coder1_YH!AD254)))</f>
        <v>BAU</v>
      </c>
      <c r="AU254" s="345" t="str">
        <f>IF(coder1_YH!AE254 = "", AU253,IF(coder1_YH!AE254="BAU","BAU",LEFT(coder1_YH!AE254)))</f>
        <v>BAU</v>
      </c>
      <c r="AV254" s="345" t="str">
        <f>IF(coder1_YH!AF254="",AV253,coder1_YH!AF254)</f>
        <v>BAU</v>
      </c>
      <c r="AW254" s="345" t="str">
        <f t="shared" si="77"/>
        <v>BAU</v>
      </c>
      <c r="AX254" s="345" t="str">
        <f>IF(coder1_YH!AG254="",AX253,coder1_YH!AG254)</f>
        <v>BAU</v>
      </c>
      <c r="AY254" s="345" t="str">
        <f>IF(coder1_YH!AH254="",AY253,coder1_YH!AH254)</f>
        <v>BAU</v>
      </c>
      <c r="AZ254" s="345" t="str">
        <f>IF(coder1_YH!AI254 = "", AZ253, IF(coder1_YH!AI254="BAU","BAU",LEFT(coder1_YH!AI254)))</f>
        <v>BAU</v>
      </c>
      <c r="BA254" s="384">
        <f>clean_data!Y254</f>
        <v>20</v>
      </c>
    </row>
    <row r="255" spans="1:53" x14ac:dyDescent="0.2">
      <c r="A255" t="str">
        <f>coder1_YH!B255</f>
        <v>EX</v>
      </c>
      <c r="B255">
        <f>coder1_YH!C255</f>
        <v>255</v>
      </c>
      <c r="C255">
        <f>coder1_YH!D255</f>
        <v>0</v>
      </c>
      <c r="D255">
        <f>coder1_YH!E255</f>
        <v>0</v>
      </c>
      <c r="E255" t="b">
        <f>coder1_YH!F255</f>
        <v>1</v>
      </c>
      <c r="F255" s="321" t="str">
        <f>IF(coder1_YH!G255="", clean_mod!F254, coder1_YH!G255)</f>
        <v>Miranda, 1997</v>
      </c>
      <c r="G255" s="321" t="str">
        <f t="shared" si="63"/>
        <v>144</v>
      </c>
      <c r="H255" s="321">
        <f>IF(coder1_YH!H255="", clean_mod!H254, coder1_YH!H255)</f>
        <v>144</v>
      </c>
      <c r="I255" s="404" t="str">
        <f t="shared" si="78"/>
        <v>1997</v>
      </c>
      <c r="J255" s="344" t="str">
        <f>IF(coder1_YH!I255="",J254,coder1_YH!I255)</f>
        <v>Spain</v>
      </c>
      <c r="K255" s="345">
        <f t="shared" si="64"/>
        <v>1</v>
      </c>
      <c r="L255" s="344" t="str">
        <f>IF(coder1_YH!J255 = "",L254, coder1_YH!J255)</f>
        <v>Spanish</v>
      </c>
      <c r="M255" s="345">
        <f t="shared" si="65"/>
        <v>1</v>
      </c>
      <c r="N255" s="345" t="str">
        <f>IF(coder1_YH!K255 = "", N254, LEFT(coder1_YH!K255,1))</f>
        <v>0</v>
      </c>
      <c r="O255" s="345" t="str">
        <f>IF(coder1_YH!L255 = "", O254, LEFT(coder1_YH!L255,1))</f>
        <v>0</v>
      </c>
      <c r="P255" s="345" t="str">
        <f>IF(coder1_YH!M255 = "", P254, LEFT(coder1_YH!M255,1))</f>
        <v>0</v>
      </c>
      <c r="Q255" s="321" t="str">
        <f>coder1_YH!P255</f>
        <v>ctl</v>
      </c>
      <c r="R255" s="321" t="str">
        <f>coder1_YH!Q255</f>
        <v>LD.co (Control)</v>
      </c>
      <c r="S255" s="323" t="str">
        <f t="shared" si="66"/>
        <v/>
      </c>
      <c r="T255" s="323" t="str">
        <f t="shared" si="67"/>
        <v/>
      </c>
      <c r="U255" s="323" t="str">
        <f t="shared" si="68"/>
        <v/>
      </c>
      <c r="V255" s="323" t="str">
        <f t="shared" si="69"/>
        <v/>
      </c>
      <c r="W255" s="323">
        <f t="shared" si="70"/>
        <v>0</v>
      </c>
      <c r="X255" s="385" t="str">
        <f>IF(coder1_YH!N255 = "",X254,coder1_YH!N255)</f>
        <v>.</v>
      </c>
      <c r="Y255" s="385" t="str">
        <f>IF(coder1_YH!O255 = "",Y254,coder1_YH!O255)</f>
        <v>.</v>
      </c>
      <c r="Z255" s="385" t="str">
        <f t="shared" si="83"/>
        <v/>
      </c>
      <c r="AA255" s="385" t="str">
        <f t="shared" si="84"/>
        <v>BAU</v>
      </c>
      <c r="AB255" s="385" t="str">
        <f t="shared" si="81"/>
        <v>BAU</v>
      </c>
      <c r="AC255" s="323" t="str">
        <f t="shared" si="72"/>
        <v>..</v>
      </c>
      <c r="AD255" s="323" t="str">
        <f t="shared" si="73"/>
        <v>BAU</v>
      </c>
      <c r="AF255" s="369" t="str">
        <f t="shared" si="74"/>
        <v>144-..</v>
      </c>
      <c r="AG255" s="369" t="str">
        <f t="shared" si="75"/>
        <v>144-BAU</v>
      </c>
      <c r="AH255" s="344" t="str">
        <f>IF(coder1_YH!R255="",AH254,coder1_YH!R255)</f>
        <v>5, 6</v>
      </c>
      <c r="AI255" s="344">
        <f t="shared" si="62"/>
        <v>5.5</v>
      </c>
      <c r="AJ255" s="345">
        <f t="shared" si="76"/>
        <v>0</v>
      </c>
      <c r="AK255" s="408">
        <f>IF(coder1_YH!S255="",AK254,coder1_YH!S255)</f>
        <v>11</v>
      </c>
      <c r="AL255" s="345" t="str">
        <f>IF(coder1_YH!T255="",AL254,IF(coder1_YH!T255="mixed",0.25,coder1_YH!T255))</f>
        <v>NA</v>
      </c>
      <c r="AM255" s="345">
        <f>IF(coder1_YH!U255 = "", AM254, IF(coder1_YH!U255="mixed","NA",coder1_YH!U255))</f>
        <v>1</v>
      </c>
      <c r="AN255" s="345">
        <f>IF(coder1_YH!V255="",AN254,coder1_YH!V255)</f>
        <v>1</v>
      </c>
      <c r="AO255" s="345">
        <f>IF(coder1_YH!W255="",AO254,coder1_YH!W255)</f>
        <v>0</v>
      </c>
      <c r="AP255" s="345">
        <f>IF(coder1_YH!X255="",AP254,coder1_YH!X255)</f>
        <v>0.46250000000000002</v>
      </c>
      <c r="AQ255" s="345">
        <f>IF(coder1_YH!Y255="",AQ254,coder1_YH!Y255)</f>
        <v>0</v>
      </c>
      <c r="AR255" t="str">
        <f>coder1_YH!AB255</f>
        <v>3 = NA (for BAU/AC Condition)</v>
      </c>
      <c r="AS255" s="345" t="str">
        <f>IF(coder1_YH!AC255 = "", AS254,IF(coder1_YH!AC255="BAU","BAU",LEFT(coder1_YH!AC255)))</f>
        <v>BAU</v>
      </c>
      <c r="AT255" s="345" t="str">
        <f>IF(coder1_YH!AD255 = "", AT254,IF(coder1_YH!AD255="BAU","BAU",LEFT(coder1_YH!AD255)))</f>
        <v>BAU</v>
      </c>
      <c r="AU255" s="345" t="str">
        <f>IF(coder1_YH!AE255 = "", AU254,IF(coder1_YH!AE255="BAU","BAU",LEFT(coder1_YH!AE255)))</f>
        <v>BAU</v>
      </c>
      <c r="AV255" s="345" t="str">
        <f>IF(coder1_YH!AF255="",AV254,coder1_YH!AF255)</f>
        <v>BAU</v>
      </c>
      <c r="AW255" s="345" t="str">
        <f t="shared" si="77"/>
        <v>BAU</v>
      </c>
      <c r="AX255" s="345" t="str">
        <f>IF(coder1_YH!AG255="",AX254,coder1_YH!AG255)</f>
        <v>BAU</v>
      </c>
      <c r="AY255" s="345" t="str">
        <f>IF(coder1_YH!AH255="",AY254,coder1_YH!AH255)</f>
        <v>BAU</v>
      </c>
      <c r="AZ255" s="345" t="str">
        <f>IF(coder1_YH!AI255 = "", AZ254, IF(coder1_YH!AI255="BAU","BAU",LEFT(coder1_YH!AI255)))</f>
        <v>BAU</v>
      </c>
      <c r="BA255" s="384">
        <f>clean_data!Y255</f>
        <v>20</v>
      </c>
    </row>
    <row r="256" spans="1:53" x14ac:dyDescent="0.2">
      <c r="A256" t="str">
        <f>coder1_YH!B256</f>
        <v>EX</v>
      </c>
      <c r="B256">
        <f>coder1_YH!C256</f>
        <v>256</v>
      </c>
      <c r="C256">
        <f>coder1_YH!D256</f>
        <v>0</v>
      </c>
      <c r="D256">
        <f>coder1_YH!E256</f>
        <v>0</v>
      </c>
      <c r="E256">
        <f>coder1_YH!F256</f>
        <v>0</v>
      </c>
      <c r="F256" s="321" t="str">
        <f>IF(coder1_YH!G256="", clean_mod!F255, coder1_YH!G256)</f>
        <v>Miranda, 1997</v>
      </c>
      <c r="G256" s="321" t="str">
        <f t="shared" si="63"/>
        <v>144</v>
      </c>
      <c r="H256" s="321">
        <f>IF(coder1_YH!H256="", clean_mod!H255, coder1_YH!H256)</f>
        <v>144</v>
      </c>
      <c r="I256" s="404" t="str">
        <f t="shared" si="78"/>
        <v>1997</v>
      </c>
      <c r="J256" s="344" t="str">
        <f>IF(coder1_YH!I256="",J255,coder1_YH!I256)</f>
        <v>Spain</v>
      </c>
      <c r="K256" s="345">
        <f t="shared" si="64"/>
        <v>1</v>
      </c>
      <c r="L256" s="344" t="str">
        <f>IF(coder1_YH!J256 = "",L255, coder1_YH!J256)</f>
        <v>Spanish</v>
      </c>
      <c r="M256" s="345">
        <f t="shared" si="65"/>
        <v>1</v>
      </c>
      <c r="N256" s="345" t="str">
        <f>IF(coder1_YH!K256 = "", N255, LEFT(coder1_YH!K256,1))</f>
        <v>0</v>
      </c>
      <c r="O256" s="345" t="str">
        <f>IF(coder1_YH!L256 = "", O255, LEFT(coder1_YH!L256,1))</f>
        <v>0</v>
      </c>
      <c r="P256" s="345" t="str">
        <f>IF(coder1_YH!M256 = "", P255, LEFT(coder1_YH!M256,1))</f>
        <v>0</v>
      </c>
      <c r="Q256" s="321" t="str">
        <f>coder1_YH!P256</f>
        <v>ctl</v>
      </c>
      <c r="R256" s="321" t="str">
        <f>coder1_YH!Q256</f>
        <v>LD.co (Control)</v>
      </c>
      <c r="S256" s="323" t="str">
        <f t="shared" si="66"/>
        <v/>
      </c>
      <c r="T256" s="323" t="str">
        <f t="shared" si="67"/>
        <v/>
      </c>
      <c r="U256" s="323" t="str">
        <f t="shared" si="68"/>
        <v/>
      </c>
      <c r="V256" s="323" t="str">
        <f t="shared" si="69"/>
        <v/>
      </c>
      <c r="W256" s="323">
        <f t="shared" si="70"/>
        <v>0</v>
      </c>
      <c r="X256" s="385" t="str">
        <f>IF(coder1_YH!N256 = "",X255,coder1_YH!N256)</f>
        <v>.</v>
      </c>
      <c r="Y256" s="385" t="str">
        <f>IF(coder1_YH!O256 = "",Y255,coder1_YH!O256)</f>
        <v>.</v>
      </c>
      <c r="Z256" s="385" t="str">
        <f t="shared" si="83"/>
        <v/>
      </c>
      <c r="AA256" s="385" t="str">
        <f t="shared" si="84"/>
        <v>BAU</v>
      </c>
      <c r="AB256" s="385" t="str">
        <f t="shared" si="81"/>
        <v>BAU</v>
      </c>
      <c r="AC256" s="323" t="str">
        <f t="shared" si="72"/>
        <v>..</v>
      </c>
      <c r="AD256" s="323" t="str">
        <f t="shared" si="73"/>
        <v>BAU</v>
      </c>
      <c r="AF256" s="369" t="str">
        <f t="shared" si="74"/>
        <v>144-..</v>
      </c>
      <c r="AG256" s="369" t="str">
        <f t="shared" si="75"/>
        <v>144-BAU</v>
      </c>
      <c r="AH256" s="344" t="str">
        <f>IF(coder1_YH!R256="",AH255,coder1_YH!R256)</f>
        <v>5, 6</v>
      </c>
      <c r="AI256" s="344">
        <f t="shared" si="62"/>
        <v>5.5</v>
      </c>
      <c r="AJ256" s="345">
        <f t="shared" si="76"/>
        <v>0</v>
      </c>
      <c r="AK256" s="408">
        <f>IF(coder1_YH!S256="",AK255,coder1_YH!S256)</f>
        <v>11</v>
      </c>
      <c r="AL256" s="345" t="str">
        <f>IF(coder1_YH!T256="",AL255,IF(coder1_YH!T256="mixed",0.25,coder1_YH!T256))</f>
        <v>NA</v>
      </c>
      <c r="AM256" s="345">
        <f>IF(coder1_YH!U256 = "", AM255, IF(coder1_YH!U256="mixed","NA",coder1_YH!U256))</f>
        <v>1</v>
      </c>
      <c r="AN256" s="345">
        <f>IF(coder1_YH!V256="",AN255,coder1_YH!V256)</f>
        <v>1</v>
      </c>
      <c r="AO256" s="345">
        <f>IF(coder1_YH!W256="",AO255,coder1_YH!W256)</f>
        <v>0</v>
      </c>
      <c r="AP256" s="345">
        <f>IF(coder1_YH!X256="",AP255,coder1_YH!X256)</f>
        <v>0.46250000000000002</v>
      </c>
      <c r="AQ256" s="345">
        <f>IF(coder1_YH!Y256="",AQ255,coder1_YH!Y256)</f>
        <v>0</v>
      </c>
      <c r="AR256" t="str">
        <f>coder1_YH!AB256</f>
        <v>3 = NA (for BAU/AC Condition)</v>
      </c>
      <c r="AS256" s="345" t="str">
        <f>IF(coder1_YH!AC256 = "", AS255,IF(coder1_YH!AC256="BAU","BAU",LEFT(coder1_YH!AC256)))</f>
        <v>BAU</v>
      </c>
      <c r="AT256" s="345" t="str">
        <f>IF(coder1_YH!AD256 = "", AT255,IF(coder1_YH!AD256="BAU","BAU",LEFT(coder1_YH!AD256)))</f>
        <v>BAU</v>
      </c>
      <c r="AU256" s="345" t="str">
        <f>IF(coder1_YH!AE256 = "", AU255,IF(coder1_YH!AE256="BAU","BAU",LEFT(coder1_YH!AE256)))</f>
        <v>BAU</v>
      </c>
      <c r="AV256" s="345" t="str">
        <f>IF(coder1_YH!AF256="",AV255,coder1_YH!AF256)</f>
        <v>BAU</v>
      </c>
      <c r="AW256" s="345" t="str">
        <f t="shared" si="77"/>
        <v>BAU</v>
      </c>
      <c r="AX256" s="345" t="str">
        <f>IF(coder1_YH!AG256="",AX255,coder1_YH!AG256)</f>
        <v>BAU</v>
      </c>
      <c r="AY256" s="345" t="str">
        <f>IF(coder1_YH!AH256="",AY255,coder1_YH!AH256)</f>
        <v>BAU</v>
      </c>
      <c r="AZ256" s="345" t="str">
        <f>IF(coder1_YH!AI256 = "", AZ255, IF(coder1_YH!AI256="BAU","BAU",LEFT(coder1_YH!AI256)))</f>
        <v>BAU</v>
      </c>
      <c r="BA256" s="384">
        <f>clean_data!Y256</f>
        <v>20</v>
      </c>
    </row>
    <row r="257" spans="1:53" x14ac:dyDescent="0.2">
      <c r="A257">
        <f>coder1_YH!B257</f>
        <v>0</v>
      </c>
      <c r="B257">
        <f>coder1_YH!C257</f>
        <v>257</v>
      </c>
      <c r="C257" t="b">
        <f>coder1_YH!D257</f>
        <v>1</v>
      </c>
      <c r="D257" t="b">
        <f>coder1_YH!E257</f>
        <v>1</v>
      </c>
      <c r="E257" t="b">
        <f>coder1_YH!F257</f>
        <v>1</v>
      </c>
      <c r="F257" s="321" t="str">
        <f>IF(coder1_YH!G257="", clean_mod!F256, coder1_YH!G257)</f>
        <v>Mete, 2020</v>
      </c>
      <c r="G257" s="321" t="str">
        <f t="shared" si="63"/>
        <v>145</v>
      </c>
      <c r="H257" s="321">
        <f>IF(coder1_YH!H257="", clean_mod!H256, coder1_YH!H257)</f>
        <v>145</v>
      </c>
      <c r="I257" s="404" t="str">
        <f t="shared" si="78"/>
        <v>2020</v>
      </c>
      <c r="J257" s="344" t="str">
        <f>IF(coder1_YH!I257="",J256,coder1_YH!I257)</f>
        <v>Turky</v>
      </c>
      <c r="K257" s="345">
        <f t="shared" si="64"/>
        <v>1</v>
      </c>
      <c r="L257" s="344" t="str">
        <f>IF(coder1_YH!J257 = "",L256, coder1_YH!J257)</f>
        <v>Turkish</v>
      </c>
      <c r="M257" s="345">
        <f t="shared" si="65"/>
        <v>1</v>
      </c>
      <c r="N257" s="345" t="str">
        <f>IF(coder1_YH!K257 = "", N256, LEFT(coder1_YH!K257,1))</f>
        <v>0</v>
      </c>
      <c r="O257" s="345" t="str">
        <f>IF(coder1_YH!L257 = "", O256, LEFT(coder1_YH!L257,1))</f>
        <v>0</v>
      </c>
      <c r="P257" s="345" t="str">
        <f>IF(coder1_YH!M257 = "", P256, LEFT(coder1_YH!M257,1))</f>
        <v>1</v>
      </c>
      <c r="Q257" s="321">
        <f>coder1_YH!P257</f>
        <v>1</v>
      </c>
      <c r="R257" s="321" t="str">
        <f>coder1_YH!Q257</f>
        <v>experimental REM</v>
      </c>
      <c r="S257" s="323" t="str">
        <f t="shared" si="66"/>
        <v>N</v>
      </c>
      <c r="T257" s="323" t="str">
        <f t="shared" si="67"/>
        <v/>
      </c>
      <c r="U257" s="323" t="str">
        <f t="shared" si="68"/>
        <v>G</v>
      </c>
      <c r="V257" s="323" t="str">
        <f t="shared" si="69"/>
        <v/>
      </c>
      <c r="W257" s="323">
        <f t="shared" si="70"/>
        <v>2</v>
      </c>
      <c r="X257" s="385" t="str">
        <f>IF(coder1_YH!N257 = "",X256,coder1_YH!N257)</f>
        <v>NG</v>
      </c>
      <c r="Y257" s="385" t="str">
        <f>IF(coder1_YH!O257 = "",Y256,coder1_YH!O257)</f>
        <v xml:space="preserve">m </v>
      </c>
      <c r="Z257" s="385" t="str">
        <f t="shared" si="83"/>
        <v>M</v>
      </c>
      <c r="AA257" s="385" t="str">
        <f t="shared" si="84"/>
        <v>R</v>
      </c>
      <c r="AB257" s="385" t="str">
        <f t="shared" si="81"/>
        <v>MR</v>
      </c>
      <c r="AC257" s="323" t="str">
        <f t="shared" si="72"/>
        <v xml:space="preserve">NGm </v>
      </c>
      <c r="AD257" s="323" t="str">
        <f t="shared" si="73"/>
        <v>NG_R</v>
      </c>
      <c r="AE257" s="323">
        <f>IF(Y257="cm", 1,0)</f>
        <v>0</v>
      </c>
      <c r="AF257" s="369" t="str">
        <f t="shared" si="74"/>
        <v xml:space="preserve">145-NGm </v>
      </c>
      <c r="AG257" s="369" t="str">
        <f t="shared" si="75"/>
        <v>145-NG_R</v>
      </c>
      <c r="AH257" s="344">
        <f>IF(coder1_YH!R257="",AH256,coder1_YH!R257)</f>
        <v>6</v>
      </c>
      <c r="AI257" s="344">
        <f t="shared" si="62"/>
        <v>6</v>
      </c>
      <c r="AJ257" s="345">
        <f t="shared" si="76"/>
        <v>1</v>
      </c>
      <c r="AK257" s="408">
        <f>IF(coder1_YH!S257="",AK256,coder1_YH!S257)</f>
        <v>11.5</v>
      </c>
      <c r="AL257" s="345" t="str">
        <f>IF(coder1_YH!T257="",AL256,IF(coder1_YH!T257="mixed",0.25,coder1_YH!T257))</f>
        <v>NA</v>
      </c>
      <c r="AM257" s="345" t="str">
        <f>IF(coder1_YH!U257 = "", AM256, IF(coder1_YH!U257="mixed","NA",coder1_YH!U257))</f>
        <v>NA</v>
      </c>
      <c r="AN257" s="345" t="str">
        <f>IF(coder1_YH!V257="",AN256,coder1_YH!V257)</f>
        <v>NA</v>
      </c>
      <c r="AO257" s="345" t="str">
        <f>IF(coder1_YH!W257="",AO256,coder1_YH!W257)</f>
        <v>NA</v>
      </c>
      <c r="AP257" s="345">
        <f>IF(coder1_YH!X257="",AP256,coder1_YH!X257)</f>
        <v>0.38700000000000001</v>
      </c>
      <c r="AQ257" s="345" t="str">
        <f>IF(coder1_YH!Y257="",AQ256,coder1_YH!Y257)</f>
        <v>NA</v>
      </c>
      <c r="AR257" t="str">
        <f>coder1_YH!AB257</f>
        <v>0 = Researcher-developed/adapted curriculum</v>
      </c>
      <c r="AS257" s="345" t="str">
        <f>IF(coder1_YH!AC257 = "", AS256,IF(coder1_YH!AC257="BAU","BAU",LEFT(coder1_YH!AC257)))</f>
        <v>0</v>
      </c>
      <c r="AT257" s="345" t="str">
        <f>IF(coder1_YH!AD257 = "", AT256,IF(coder1_YH!AD257="BAU","BAU",LEFT(coder1_YH!AD257)))</f>
        <v>0</v>
      </c>
      <c r="AU257" s="345" t="str">
        <f>IF(coder1_YH!AE257 = "", AU256,IF(coder1_YH!AE257="BAU","BAU",LEFT(coder1_YH!AE257)))</f>
        <v>0</v>
      </c>
      <c r="AV257" s="345">
        <f>IF(coder1_YH!AF257="",AV256,coder1_YH!AF257)</f>
        <v>2160</v>
      </c>
      <c r="AW257" s="345">
        <f t="shared" si="77"/>
        <v>36</v>
      </c>
      <c r="AX257" s="345">
        <f>IF(coder1_YH!AG257="",AX256,coder1_YH!AG257)</f>
        <v>36</v>
      </c>
      <c r="AY257" s="345">
        <f>IF(coder1_YH!AH257="",AY256,coder1_YH!AH257)</f>
        <v>60</v>
      </c>
      <c r="AZ257" s="345" t="str">
        <f>IF(coder1_YH!AI257 = "", AZ256, IF(coder1_YH!AI257="BAU","BAU",LEFT(coder1_YH!AI257)))</f>
        <v>0</v>
      </c>
      <c r="BA257" s="384">
        <f>clean_data!Y257</f>
        <v>31</v>
      </c>
    </row>
    <row r="258" spans="1:53" x14ac:dyDescent="0.2">
      <c r="A258">
        <f>coder1_YH!B258</f>
        <v>0</v>
      </c>
      <c r="B258">
        <f>coder1_YH!C258</f>
        <v>258</v>
      </c>
      <c r="C258">
        <f>coder1_YH!D258</f>
        <v>0</v>
      </c>
      <c r="D258" t="str">
        <f>coder1_YH!E258</f>
        <v/>
      </c>
      <c r="E258" t="b">
        <f>coder1_YH!F258</f>
        <v>1</v>
      </c>
      <c r="F258" s="321" t="str">
        <f>IF(coder1_YH!G258="", clean_mod!F257, coder1_YH!G258)</f>
        <v>Mete, 2020</v>
      </c>
      <c r="G258" s="321" t="str">
        <f t="shared" si="63"/>
        <v>145</v>
      </c>
      <c r="H258" s="321">
        <f>IF(coder1_YH!H258="", clean_mod!H257, coder1_YH!H258)</f>
        <v>145</v>
      </c>
      <c r="I258" s="404" t="str">
        <f t="shared" si="78"/>
        <v>2020</v>
      </c>
      <c r="J258" s="344" t="str">
        <f>IF(coder1_YH!I258="",J257,coder1_YH!I258)</f>
        <v>Turky</v>
      </c>
      <c r="K258" s="345">
        <f t="shared" si="64"/>
        <v>1</v>
      </c>
      <c r="L258" s="344" t="str">
        <f>IF(coder1_YH!J258 = "",L257, coder1_YH!J258)</f>
        <v>Turkish</v>
      </c>
      <c r="M258" s="345">
        <f t="shared" si="65"/>
        <v>1</v>
      </c>
      <c r="N258" s="345" t="str">
        <f>IF(coder1_YH!K258 = "", N257, LEFT(coder1_YH!K258,1))</f>
        <v>0</v>
      </c>
      <c r="O258" s="345" t="str">
        <f>IF(coder1_YH!L258 = "", O257, LEFT(coder1_YH!L258,1))</f>
        <v>0</v>
      </c>
      <c r="P258" s="345" t="str">
        <f>IF(coder1_YH!M258 = "", P257, LEFT(coder1_YH!M258,1))</f>
        <v>1</v>
      </c>
      <c r="Q258" s="321" t="str">
        <f>coder1_YH!P258</f>
        <v>ctl</v>
      </c>
      <c r="R258" s="321" t="str">
        <f>coder1_YH!Q258</f>
        <v>control</v>
      </c>
      <c r="S258" s="323" t="str">
        <f t="shared" si="66"/>
        <v/>
      </c>
      <c r="T258" s="323" t="str">
        <f t="shared" si="67"/>
        <v/>
      </c>
      <c r="U258" s="323" t="str">
        <f t="shared" si="68"/>
        <v/>
      </c>
      <c r="V258" s="323" t="str">
        <f t="shared" si="69"/>
        <v/>
      </c>
      <c r="W258" s="323">
        <f t="shared" si="70"/>
        <v>0</v>
      </c>
      <c r="X258" s="385" t="str">
        <f>IF(coder1_YH!N258 = "",X257,coder1_YH!N258)</f>
        <v>.</v>
      </c>
      <c r="Y258" s="385" t="str">
        <f>IF(coder1_YH!O258 = "",Y257,coder1_YH!O258)</f>
        <v>.</v>
      </c>
      <c r="Z258" s="385" t="str">
        <f t="shared" si="83"/>
        <v/>
      </c>
      <c r="AA258" s="385" t="str">
        <f t="shared" si="84"/>
        <v>BAU</v>
      </c>
      <c r="AB258" s="385" t="str">
        <f t="shared" si="81"/>
        <v>BAU</v>
      </c>
      <c r="AC258" s="323" t="str">
        <f t="shared" si="72"/>
        <v>..</v>
      </c>
      <c r="AD258" s="323" t="str">
        <f t="shared" si="73"/>
        <v>BAU</v>
      </c>
      <c r="AF258" s="369" t="str">
        <f t="shared" si="74"/>
        <v>145-..</v>
      </c>
      <c r="AG258" s="369" t="str">
        <f t="shared" si="75"/>
        <v>145-BAU</v>
      </c>
      <c r="AH258" s="344">
        <f>IF(coder1_YH!R258="",AH257,coder1_YH!R258)</f>
        <v>6</v>
      </c>
      <c r="AI258" s="344">
        <f t="shared" ref="AI258:AI312" si="85">IF(AH258="4, 5",4.5,IF(AH258="7, 8, 9",8,IF(AH258="3, 4",3.5,IF(AH258="7, 8",7.5,IF(AH258="5, 6",5.5,IF(AH258="4,5,6,7,8",6,AH258))))))</f>
        <v>6</v>
      </c>
      <c r="AJ258" s="345">
        <f t="shared" si="76"/>
        <v>1</v>
      </c>
      <c r="AK258" s="408">
        <f>IF(coder1_YH!S258="",AK257,coder1_YH!S258)</f>
        <v>11.5</v>
      </c>
      <c r="AL258" s="345" t="str">
        <f>IF(coder1_YH!T258="",AL257,IF(coder1_YH!T258="mixed",0.25,coder1_YH!T258))</f>
        <v>NA</v>
      </c>
      <c r="AM258" s="345" t="str">
        <f>IF(coder1_YH!U258 = "", AM257, IF(coder1_YH!U258="mixed","NA",coder1_YH!U258))</f>
        <v>NA</v>
      </c>
      <c r="AN258" s="345" t="str">
        <f>IF(coder1_YH!V258="",AN257,coder1_YH!V258)</f>
        <v>NA</v>
      </c>
      <c r="AO258" s="345" t="str">
        <f>IF(coder1_YH!W258="",AO257,coder1_YH!W258)</f>
        <v>NA</v>
      </c>
      <c r="AP258" s="345">
        <f>IF(coder1_YH!X258="",AP257,coder1_YH!X258)</f>
        <v>0.58069999999999999</v>
      </c>
      <c r="AQ258" s="345" t="str">
        <f>IF(coder1_YH!Y258="",AQ257,coder1_YH!Y258)</f>
        <v>NA</v>
      </c>
      <c r="AR258" t="str">
        <f>coder1_YH!AB258</f>
        <v>2 = District/State curriculum</v>
      </c>
      <c r="AS258" s="345" t="str">
        <f>IF(coder1_YH!AC258 = "", AS257,IF(coder1_YH!AC258="BAU","BAU",LEFT(coder1_YH!AC258)))</f>
        <v>BAU</v>
      </c>
      <c r="AT258" s="345" t="str">
        <f>IF(coder1_YH!AD258 = "", AT257,IF(coder1_YH!AD258="BAU","BAU",LEFT(coder1_YH!AD258)))</f>
        <v>BAU</v>
      </c>
      <c r="AU258" s="345" t="str">
        <f>IF(coder1_YH!AE258 = "", AU257,IF(coder1_YH!AE258="BAU","BAU",LEFT(coder1_YH!AE258)))</f>
        <v>BAU</v>
      </c>
      <c r="AV258" s="345" t="str">
        <f>IF(coder1_YH!AF258="",AV257,coder1_YH!AF258)</f>
        <v>BAU</v>
      </c>
      <c r="AW258" s="345" t="str">
        <f t="shared" si="77"/>
        <v>BAU</v>
      </c>
      <c r="AX258" s="345" t="str">
        <f>IF(coder1_YH!AG258="",AX257,coder1_YH!AG258)</f>
        <v>BAU</v>
      </c>
      <c r="AY258" s="345" t="str">
        <f>IF(coder1_YH!AH258="",AY257,coder1_YH!AH258)</f>
        <v>BAU</v>
      </c>
      <c r="AZ258" s="345" t="str">
        <f>IF(coder1_YH!AI258 = "", AZ257, IF(coder1_YH!AI258="BAU","BAU",LEFT(coder1_YH!AI258)))</f>
        <v>BAU</v>
      </c>
      <c r="BA258" s="384">
        <f>clean_data!Y258</f>
        <v>31</v>
      </c>
    </row>
    <row r="259" spans="1:53" x14ac:dyDescent="0.2">
      <c r="A259">
        <f>coder1_YH!B259</f>
        <v>0</v>
      </c>
      <c r="B259">
        <f>coder1_YH!C259</f>
        <v>259</v>
      </c>
      <c r="C259" t="b">
        <f>coder1_YH!D259</f>
        <v>1</v>
      </c>
      <c r="D259" t="b">
        <f>coder1_YH!E259</f>
        <v>1</v>
      </c>
      <c r="E259" t="b">
        <f>coder1_YH!F259</f>
        <v>1</v>
      </c>
      <c r="F259" s="321" t="str">
        <f>IF(coder1_YH!G259="", clean_mod!F258, coder1_YH!G259)</f>
        <v>Souvignier &amp; Mokhlesgerami, 2006</v>
      </c>
      <c r="G259" s="321" t="str">
        <f t="shared" ref="G259:G312" si="86">LEFT(H259,3)</f>
        <v>146</v>
      </c>
      <c r="H259" s="321">
        <f>IF(coder1_YH!H259="", clean_mod!H258, coder1_YH!H259)</f>
        <v>146</v>
      </c>
      <c r="I259" s="404" t="str">
        <f t="shared" ref="I259:I312" si="87">RIGHT(F259,4)</f>
        <v>2006</v>
      </c>
      <c r="J259" s="344" t="str">
        <f>IF(coder1_YH!I259="",J258,coder1_YH!I259)</f>
        <v>Germany</v>
      </c>
      <c r="K259" s="345">
        <f t="shared" ref="K259:K312" si="88">IF(J259="USA",0,1)</f>
        <v>1</v>
      </c>
      <c r="L259" s="344" t="str">
        <f>IF(coder1_YH!J259 = "",L258, coder1_YH!J259)</f>
        <v>German</v>
      </c>
      <c r="M259" s="345">
        <f t="shared" ref="M259:M312" si="89">IF(L259="English",0,1)</f>
        <v>1</v>
      </c>
      <c r="N259" s="345" t="str">
        <f>IF(coder1_YH!K259 = "", N258, LEFT(coder1_YH!K259,1))</f>
        <v>0</v>
      </c>
      <c r="O259" s="345" t="str">
        <f>IF(coder1_YH!L259 = "", O258, LEFT(coder1_YH!L259,1))</f>
        <v>0</v>
      </c>
      <c r="P259" s="345" t="str">
        <f>IF(coder1_YH!M259 = "", P258, LEFT(coder1_YH!M259,1))</f>
        <v>1</v>
      </c>
      <c r="Q259" s="321">
        <f>coder1_YH!P259</f>
        <v>1</v>
      </c>
      <c r="R259" s="321" t="str">
        <f>coder1_YH!Q259</f>
        <v>Strat + CSR + MSR</v>
      </c>
      <c r="S259" s="323" t="str">
        <f t="shared" ref="S259:S312" si="90">IF(ISNUMBER(SEARCH("N", $X259)), "N", "")</f>
        <v>N</v>
      </c>
      <c r="T259" s="323" t="str">
        <f t="shared" ref="T259:T312" si="91">IF(ISNUMBER(SEARCH("V", $X259)), "V", "")</f>
        <v>V</v>
      </c>
      <c r="U259" s="323" t="str">
        <f t="shared" ref="U259:U312" si="92">IF(ISNUMBER(SEARCH("G", $X259)), "G", "")</f>
        <v>G</v>
      </c>
      <c r="V259" s="323" t="str">
        <f t="shared" ref="V259:V312" si="93">IF(ISNUMBER(SEARCH("T", $X259)), "T", "")</f>
        <v>T</v>
      </c>
      <c r="W259" s="323">
        <f t="shared" ref="W259:W312" si="94">4 - COUNTIF(S259:V259, "")</f>
        <v>4</v>
      </c>
      <c r="X259" s="385" t="str">
        <f>IF(coder1_YH!N259 = "",X258,coder1_YH!N259)</f>
        <v>NVGT</v>
      </c>
      <c r="Y259" s="385" t="str">
        <f>IF(coder1_YH!O259 = "",Y258,coder1_YH!O259)</f>
        <v xml:space="preserve">m </v>
      </c>
      <c r="Z259" s="385" t="str">
        <f t="shared" si="83"/>
        <v>M</v>
      </c>
      <c r="AA259" s="385" t="str">
        <f t="shared" si="84"/>
        <v>R</v>
      </c>
      <c r="AB259" s="385" t="str">
        <f t="shared" ref="AB259:AB312" si="95">Z259&amp;AA259</f>
        <v>MR</v>
      </c>
      <c r="AC259" s="323" t="str">
        <f t="shared" ref="AC259:AC312" si="96">X259&amp;Y259</f>
        <v xml:space="preserve">NVGTm </v>
      </c>
      <c r="AD259" s="323" t="str">
        <f t="shared" ref="AD259:AD312" si="97">IF(X259=".",AA259,X259&amp;"_"&amp;AA259)</f>
        <v>NVGT_R</v>
      </c>
      <c r="AE259" s="323">
        <f>IF(Y259="cm", 1,0)</f>
        <v>0</v>
      </c>
      <c r="AF259" s="369" t="str">
        <f t="shared" ref="AF259:AF312" si="98">$H259&amp;"-"&amp;AC259</f>
        <v xml:space="preserve">146-NVGTm </v>
      </c>
      <c r="AG259" s="369" t="str">
        <f t="shared" ref="AG259:AG312" si="99">$H259&amp;"-"&amp;AD259</f>
        <v>146-NVGT_R</v>
      </c>
      <c r="AH259" s="344">
        <f>IF(coder1_YH!R259="",AH258,coder1_YH!R259)</f>
        <v>5</v>
      </c>
      <c r="AI259" s="344">
        <f t="shared" si="85"/>
        <v>5</v>
      </c>
      <c r="AJ259" s="345">
        <f t="shared" ref="AJ259:AJ312" si="100">IF(AI259&lt;6,0,1)</f>
        <v>0</v>
      </c>
      <c r="AK259" s="408">
        <f>IF(coder1_YH!S259="",AK258,coder1_YH!S259)</f>
        <v>11</v>
      </c>
      <c r="AL259" s="345" t="str">
        <f>IF(coder1_YH!T259="",AL258,IF(coder1_YH!T259="mixed",0.25,coder1_YH!T259))</f>
        <v>NA</v>
      </c>
      <c r="AM259" s="345" t="str">
        <f>IF(coder1_YH!U259 = "", AM258, IF(coder1_YH!U259="mixed","NA",coder1_YH!U259))</f>
        <v>NA</v>
      </c>
      <c r="AN259" s="345" t="str">
        <f>IF(coder1_YH!V259="",AN258,coder1_YH!V259)</f>
        <v>NA</v>
      </c>
      <c r="AO259" s="345" t="str">
        <f>IF(coder1_YH!W259="",AO258,coder1_YH!W259)</f>
        <v>NA</v>
      </c>
      <c r="AP259" s="345">
        <f>IF(coder1_YH!X259="",AP258,coder1_YH!X259)</f>
        <v>0.49915682967959529</v>
      </c>
      <c r="AQ259" s="345" t="str">
        <f>IF(coder1_YH!Y259="",AQ258,coder1_YH!Y259)</f>
        <v>NA</v>
      </c>
      <c r="AR259" t="str">
        <f>coder1_YH!AB259</f>
        <v>0 = Researcher-developed/adapted curriculum</v>
      </c>
      <c r="AS259" s="345" t="str">
        <f>IF(coder1_YH!AC259 = "", AS258,IF(coder1_YH!AC259="BAU","BAU",LEFT(coder1_YH!AC259)))</f>
        <v>1</v>
      </c>
      <c r="AT259" s="345" t="str">
        <f>IF(coder1_YH!AD259 = "", AT258,IF(coder1_YH!AD259="BAU","BAU",LEFT(coder1_YH!AD259)))</f>
        <v>0</v>
      </c>
      <c r="AU259" s="345" t="str">
        <f>IF(coder1_YH!AE259 = "", AU258,IF(coder1_YH!AE259="BAU","BAU",LEFT(coder1_YH!AE259)))</f>
        <v>1</v>
      </c>
      <c r="AV259" s="345">
        <f>IF(coder1_YH!AF259="",AV258,coder1_YH!AF259)</f>
        <v>900</v>
      </c>
      <c r="AW259" s="345">
        <f t="shared" ref="AW259:AW312" si="101">IF(AV259="BAU","BAU",IF(AV259="NA","NA",AV259/60))</f>
        <v>15</v>
      </c>
      <c r="AX259" s="345">
        <f>IF(coder1_YH!AG259="",AX258,coder1_YH!AG259)</f>
        <v>20</v>
      </c>
      <c r="AY259" s="345">
        <f>IF(coder1_YH!AH259="",AY258,coder1_YH!AH259)</f>
        <v>45</v>
      </c>
      <c r="AZ259" s="345" t="str">
        <f>IF(coder1_YH!AI259 = "", AZ258, IF(coder1_YH!AI259="BAU","BAU",LEFT(coder1_YH!AI259)))</f>
        <v>1</v>
      </c>
      <c r="BA259" s="384">
        <f>clean_data!Y259</f>
        <v>95</v>
      </c>
    </row>
    <row r="260" spans="1:53" x14ac:dyDescent="0.2">
      <c r="A260">
        <f>coder1_YH!B260</f>
        <v>0</v>
      </c>
      <c r="B260">
        <f>coder1_YH!C260</f>
        <v>260</v>
      </c>
      <c r="C260">
        <f>coder1_YH!D260</f>
        <v>0</v>
      </c>
      <c r="D260" t="str">
        <f>coder1_YH!E260</f>
        <v/>
      </c>
      <c r="E260" t="b">
        <f>coder1_YH!F260</f>
        <v>1</v>
      </c>
      <c r="F260" s="321" t="str">
        <f>IF(coder1_YH!G260="", clean_mod!F259, coder1_YH!G260)</f>
        <v>Souvignier &amp; Mokhlesgerami, 2006</v>
      </c>
      <c r="G260" s="321" t="str">
        <f t="shared" si="86"/>
        <v>146</v>
      </c>
      <c r="H260" s="321">
        <f>IF(coder1_YH!H260="", clean_mod!H259, coder1_YH!H260)</f>
        <v>146</v>
      </c>
      <c r="I260" s="404" t="str">
        <f t="shared" si="87"/>
        <v>2006</v>
      </c>
      <c r="J260" s="344" t="str">
        <f>IF(coder1_YH!I260="",J259,coder1_YH!I260)</f>
        <v>Germany</v>
      </c>
      <c r="K260" s="345">
        <f t="shared" si="88"/>
        <v>1</v>
      </c>
      <c r="L260" s="344" t="str">
        <f>IF(coder1_YH!J260 = "",L259, coder1_YH!J260)</f>
        <v>German</v>
      </c>
      <c r="M260" s="345">
        <f t="shared" si="89"/>
        <v>1</v>
      </c>
      <c r="N260" s="345" t="str">
        <f>IF(coder1_YH!K260 = "", N259, LEFT(coder1_YH!K260,1))</f>
        <v>0</v>
      </c>
      <c r="O260" s="345" t="str">
        <f>IF(coder1_YH!L260 = "", O259, LEFT(coder1_YH!L260,1))</f>
        <v>0</v>
      </c>
      <c r="P260" s="345" t="str">
        <f>IF(coder1_YH!M260 = "", P259, LEFT(coder1_YH!M260,1))</f>
        <v>1</v>
      </c>
      <c r="Q260" s="321">
        <f>coder1_YH!P260</f>
        <v>2</v>
      </c>
      <c r="R260" s="321" t="str">
        <f>coder1_YH!Q260</f>
        <v>Strat + CSR</v>
      </c>
      <c r="S260" s="323" t="str">
        <f t="shared" si="90"/>
        <v>N</v>
      </c>
      <c r="T260" s="323" t="str">
        <f t="shared" si="91"/>
        <v>V</v>
      </c>
      <c r="U260" s="323" t="str">
        <f t="shared" si="92"/>
        <v/>
      </c>
      <c r="V260" s="323" t="str">
        <f t="shared" si="93"/>
        <v/>
      </c>
      <c r="W260" s="323">
        <f t="shared" si="94"/>
        <v>2</v>
      </c>
      <c r="X260" s="385" t="str">
        <f>IF(coder1_YH!N260 = "",X259,coder1_YH!N260)</f>
        <v>NV</v>
      </c>
      <c r="Y260" s="385" t="str">
        <f>IF(coder1_YH!O260 = "",Y259,coder1_YH!O260)</f>
        <v xml:space="preserve">m </v>
      </c>
      <c r="Z260" s="385" t="str">
        <f t="shared" si="83"/>
        <v>M</v>
      </c>
      <c r="AA260" s="385" t="str">
        <f t="shared" si="84"/>
        <v>R</v>
      </c>
      <c r="AB260" s="385" t="str">
        <f t="shared" si="95"/>
        <v>MR</v>
      </c>
      <c r="AC260" s="323" t="str">
        <f t="shared" si="96"/>
        <v xml:space="preserve">NVm </v>
      </c>
      <c r="AD260" s="323" t="str">
        <f t="shared" si="97"/>
        <v>NV_R</v>
      </c>
      <c r="AF260" s="369" t="str">
        <f t="shared" si="98"/>
        <v xml:space="preserve">146-NVm </v>
      </c>
      <c r="AG260" s="369" t="str">
        <f t="shared" si="99"/>
        <v>146-NV_R</v>
      </c>
      <c r="AH260" s="344">
        <f>IF(coder1_YH!R260="",AH259,coder1_YH!R260)</f>
        <v>5</v>
      </c>
      <c r="AI260" s="344">
        <f t="shared" si="85"/>
        <v>5</v>
      </c>
      <c r="AJ260" s="345">
        <f t="shared" si="100"/>
        <v>0</v>
      </c>
      <c r="AK260" s="408">
        <f>IF(coder1_YH!S260="",AK259,coder1_YH!S260)</f>
        <v>11</v>
      </c>
      <c r="AL260" s="345" t="str">
        <f>IF(coder1_YH!T260="",AL259,IF(coder1_YH!T260="mixed",0.25,coder1_YH!T260))</f>
        <v>NA</v>
      </c>
      <c r="AM260" s="345" t="str">
        <f>IF(coder1_YH!U260 = "", AM259, IF(coder1_YH!U260="mixed","NA",coder1_YH!U260))</f>
        <v>NA</v>
      </c>
      <c r="AN260" s="345" t="str">
        <f>IF(coder1_YH!V260="",AN259,coder1_YH!V260)</f>
        <v>NA</v>
      </c>
      <c r="AO260" s="345" t="str">
        <f>IF(coder1_YH!W260="",AO259,coder1_YH!W260)</f>
        <v>NA</v>
      </c>
      <c r="AP260" s="345">
        <f>IF(coder1_YH!X260="",AP259,coder1_YH!X260)</f>
        <v>0.49915682967959529</v>
      </c>
      <c r="AQ260" s="345" t="str">
        <f>IF(coder1_YH!Y260="",AQ259,coder1_YH!Y260)</f>
        <v>NA</v>
      </c>
      <c r="AR260" t="str">
        <f>coder1_YH!AB260</f>
        <v>0 = Researcher-developed/adapted curriculum</v>
      </c>
      <c r="AS260" s="345" t="str">
        <f>IF(coder1_YH!AC260 = "", AS259,IF(coder1_YH!AC260="BAU","BAU",LEFT(coder1_YH!AC260)))</f>
        <v>1</v>
      </c>
      <c r="AT260" s="345" t="str">
        <f>IF(coder1_YH!AD260 = "", AT259,IF(coder1_YH!AD260="BAU","BAU",LEFT(coder1_YH!AD260)))</f>
        <v>0</v>
      </c>
      <c r="AU260" s="345" t="str">
        <f>IF(coder1_YH!AE260 = "", AU259,IF(coder1_YH!AE260="BAU","BAU",LEFT(coder1_YH!AE260)))</f>
        <v>1</v>
      </c>
      <c r="AV260" s="345">
        <f>IF(coder1_YH!AF260="",AV259,coder1_YH!AF260)</f>
        <v>900</v>
      </c>
      <c r="AW260" s="345">
        <f t="shared" si="101"/>
        <v>15</v>
      </c>
      <c r="AX260" s="345">
        <f>IF(coder1_YH!AG260="",AX259,coder1_YH!AG260)</f>
        <v>20</v>
      </c>
      <c r="AY260" s="345">
        <f>IF(coder1_YH!AH260="",AY259,coder1_YH!AH260)</f>
        <v>45</v>
      </c>
      <c r="AZ260" s="345" t="str">
        <f>IF(coder1_YH!AI260 = "", AZ259, IF(coder1_YH!AI260="BAU","BAU",LEFT(coder1_YH!AI260)))</f>
        <v>1</v>
      </c>
      <c r="BA260" s="384">
        <f>clean_data!Y260</f>
        <v>146</v>
      </c>
    </row>
    <row r="261" spans="1:53" x14ac:dyDescent="0.2">
      <c r="A261">
        <f>coder1_YH!B261</f>
        <v>0</v>
      </c>
      <c r="B261">
        <f>coder1_YH!C261</f>
        <v>261</v>
      </c>
      <c r="C261">
        <f>coder1_YH!D261</f>
        <v>0</v>
      </c>
      <c r="D261" t="str">
        <f>coder1_YH!E261</f>
        <v/>
      </c>
      <c r="E261" t="b">
        <f>coder1_YH!F261</f>
        <v>1</v>
      </c>
      <c r="F261" s="321" t="str">
        <f>IF(coder1_YH!G261="", clean_mod!F260, coder1_YH!G261)</f>
        <v>Souvignier &amp; Mokhlesgerami, 2006</v>
      </c>
      <c r="G261" s="321" t="str">
        <f t="shared" si="86"/>
        <v>146</v>
      </c>
      <c r="H261" s="321">
        <f>IF(coder1_YH!H261="", clean_mod!H260, coder1_YH!H261)</f>
        <v>146</v>
      </c>
      <c r="I261" s="404" t="str">
        <f t="shared" si="87"/>
        <v>2006</v>
      </c>
      <c r="J261" s="344" t="str">
        <f>IF(coder1_YH!I261="",J260,coder1_YH!I261)</f>
        <v>Germany</v>
      </c>
      <c r="K261" s="345">
        <f t="shared" si="88"/>
        <v>1</v>
      </c>
      <c r="L261" s="344" t="str">
        <f>IF(coder1_YH!J261 = "",L260, coder1_YH!J261)</f>
        <v>German</v>
      </c>
      <c r="M261" s="345">
        <f t="shared" si="89"/>
        <v>1</v>
      </c>
      <c r="N261" s="345" t="str">
        <f>IF(coder1_YH!K261 = "", N260, LEFT(coder1_YH!K261,1))</f>
        <v>0</v>
      </c>
      <c r="O261" s="345" t="str">
        <f>IF(coder1_YH!L261 = "", O260, LEFT(coder1_YH!L261,1))</f>
        <v>0</v>
      </c>
      <c r="P261" s="345" t="str">
        <f>IF(coder1_YH!M261 = "", P260, LEFT(coder1_YH!M261,1))</f>
        <v>1</v>
      </c>
      <c r="Q261" s="321">
        <f>coder1_YH!P261</f>
        <v>3</v>
      </c>
      <c r="R261" s="321" t="str">
        <f>coder1_YH!Q261</f>
        <v>Strat</v>
      </c>
      <c r="S261" s="323" t="str">
        <f t="shared" si="90"/>
        <v/>
      </c>
      <c r="T261" s="323" t="str">
        <f t="shared" si="91"/>
        <v/>
      </c>
      <c r="U261" s="323" t="str">
        <f t="shared" si="92"/>
        <v/>
      </c>
      <c r="V261" s="323" t="str">
        <f t="shared" si="93"/>
        <v/>
      </c>
      <c r="W261" s="323">
        <f t="shared" si="94"/>
        <v>0</v>
      </c>
      <c r="X261" s="385" t="str">
        <f>IF(coder1_YH!N261 = "",X260,coder1_YH!N261)</f>
        <v>.</v>
      </c>
      <c r="Y261" s="385" t="str">
        <f>IF(coder1_YH!O261 = "",Y260,coder1_YH!O261)</f>
        <v xml:space="preserve">m </v>
      </c>
      <c r="Z261" s="385" t="str">
        <f t="shared" si="83"/>
        <v/>
      </c>
      <c r="AA261" s="385" t="str">
        <f t="shared" si="84"/>
        <v>R</v>
      </c>
      <c r="AB261" s="385" t="str">
        <f t="shared" si="95"/>
        <v>R</v>
      </c>
      <c r="AC261" s="323" t="str">
        <f t="shared" si="96"/>
        <v xml:space="preserve">.m </v>
      </c>
      <c r="AD261" s="323" t="str">
        <f t="shared" si="97"/>
        <v>R</v>
      </c>
      <c r="AF261" s="369" t="str">
        <f t="shared" si="98"/>
        <v xml:space="preserve">146-.m </v>
      </c>
      <c r="AG261" s="369" t="str">
        <f t="shared" si="99"/>
        <v>146-R</v>
      </c>
      <c r="AH261" s="344">
        <f>IF(coder1_YH!R261="",AH260,coder1_YH!R261)</f>
        <v>5</v>
      </c>
      <c r="AI261" s="344">
        <f t="shared" si="85"/>
        <v>5</v>
      </c>
      <c r="AJ261" s="345">
        <f t="shared" si="100"/>
        <v>0</v>
      </c>
      <c r="AK261" s="408">
        <f>IF(coder1_YH!S261="",AK260,coder1_YH!S261)</f>
        <v>11</v>
      </c>
      <c r="AL261" s="345" t="str">
        <f>IF(coder1_YH!T261="",AL260,IF(coder1_YH!T261="mixed",0.25,coder1_YH!T261))</f>
        <v>NA</v>
      </c>
      <c r="AM261" s="345" t="str">
        <f>IF(coder1_YH!U261 = "", AM260, IF(coder1_YH!U261="mixed","NA",coder1_YH!U261))</f>
        <v>NA</v>
      </c>
      <c r="AN261" s="345" t="str">
        <f>IF(coder1_YH!V261="",AN260,coder1_YH!V261)</f>
        <v>NA</v>
      </c>
      <c r="AO261" s="345" t="str">
        <f>IF(coder1_YH!W261="",AO260,coder1_YH!W261)</f>
        <v>NA</v>
      </c>
      <c r="AP261" s="345">
        <f>IF(coder1_YH!X261="",AP260,coder1_YH!X261)</f>
        <v>0.49915682967959529</v>
      </c>
      <c r="AQ261" s="345" t="str">
        <f>IF(coder1_YH!Y261="",AQ260,coder1_YH!Y261)</f>
        <v>NA</v>
      </c>
      <c r="AR261" t="str">
        <f>coder1_YH!AB261</f>
        <v>0 = Researcher-developed/adapted curriculum</v>
      </c>
      <c r="AS261" s="345" t="str">
        <f>IF(coder1_YH!AC261 = "", AS260,IF(coder1_YH!AC261="BAU","BAU",LEFT(coder1_YH!AC261)))</f>
        <v>1</v>
      </c>
      <c r="AT261" s="345" t="str">
        <f>IF(coder1_YH!AD261 = "", AT260,IF(coder1_YH!AD261="BAU","BAU",LEFT(coder1_YH!AD261)))</f>
        <v>0</v>
      </c>
      <c r="AU261" s="345" t="str">
        <f>IF(coder1_YH!AE261 = "", AU260,IF(coder1_YH!AE261="BAU","BAU",LEFT(coder1_YH!AE261)))</f>
        <v>1</v>
      </c>
      <c r="AV261" s="345">
        <f>IF(coder1_YH!AF261="",AV260,coder1_YH!AF261)</f>
        <v>900</v>
      </c>
      <c r="AW261" s="345">
        <f t="shared" si="101"/>
        <v>15</v>
      </c>
      <c r="AX261" s="345">
        <f>IF(coder1_YH!AG261="",AX260,coder1_YH!AG261)</f>
        <v>20</v>
      </c>
      <c r="AY261" s="345">
        <f>IF(coder1_YH!AH261="",AY260,coder1_YH!AH261)</f>
        <v>45</v>
      </c>
      <c r="AZ261" s="345" t="str">
        <f>IF(coder1_YH!AI261 = "", AZ260, IF(coder1_YH!AI261="BAU","BAU",LEFT(coder1_YH!AI261)))</f>
        <v>1</v>
      </c>
      <c r="BA261" s="384">
        <f>clean_data!Y261</f>
        <v>89</v>
      </c>
    </row>
    <row r="262" spans="1:53" x14ac:dyDescent="0.2">
      <c r="A262">
        <f>coder1_YH!B262</f>
        <v>0</v>
      </c>
      <c r="B262">
        <f>coder1_YH!C262</f>
        <v>262</v>
      </c>
      <c r="C262">
        <f>coder1_YH!D262</f>
        <v>0</v>
      </c>
      <c r="D262" t="str">
        <f>coder1_YH!E262</f>
        <v/>
      </c>
      <c r="E262" t="b">
        <f>coder1_YH!F262</f>
        <v>1</v>
      </c>
      <c r="F262" s="321" t="str">
        <f>IF(coder1_YH!G262="", clean_mod!F261, coder1_YH!G262)</f>
        <v>Souvignier &amp; Mokhlesgerami, 2006</v>
      </c>
      <c r="G262" s="321" t="str">
        <f t="shared" si="86"/>
        <v>146</v>
      </c>
      <c r="H262" s="321">
        <f>IF(coder1_YH!H262="", clean_mod!H261, coder1_YH!H262)</f>
        <v>146</v>
      </c>
      <c r="I262" s="404" t="str">
        <f t="shared" si="87"/>
        <v>2006</v>
      </c>
      <c r="J262" s="344" t="str">
        <f>IF(coder1_YH!I262="",J261,coder1_YH!I262)</f>
        <v>Germany</v>
      </c>
      <c r="K262" s="345">
        <f t="shared" si="88"/>
        <v>1</v>
      </c>
      <c r="L262" s="344" t="str">
        <f>IF(coder1_YH!J262 = "",L261, coder1_YH!J262)</f>
        <v>German</v>
      </c>
      <c r="M262" s="345">
        <f t="shared" si="89"/>
        <v>1</v>
      </c>
      <c r="N262" s="345" t="str">
        <f>IF(coder1_YH!K262 = "", N261, LEFT(coder1_YH!K262,1))</f>
        <v>0</v>
      </c>
      <c r="O262" s="345" t="str">
        <f>IF(coder1_YH!L262 = "", O261, LEFT(coder1_YH!L262,1))</f>
        <v>0</v>
      </c>
      <c r="P262" s="345" t="str">
        <f>IF(coder1_YH!M262 = "", P261, LEFT(coder1_YH!M262,1))</f>
        <v>1</v>
      </c>
      <c r="Q262" s="321" t="str">
        <f>coder1_YH!P262</f>
        <v>ctl</v>
      </c>
      <c r="R262" s="321" t="str">
        <f>coder1_YH!Q262</f>
        <v>Control</v>
      </c>
      <c r="S262" s="323" t="str">
        <f t="shared" si="90"/>
        <v/>
      </c>
      <c r="T262" s="323" t="str">
        <f t="shared" si="91"/>
        <v/>
      </c>
      <c r="U262" s="323" t="str">
        <f t="shared" si="92"/>
        <v/>
      </c>
      <c r="V262" s="323" t="str">
        <f t="shared" si="93"/>
        <v/>
      </c>
      <c r="W262" s="323">
        <f t="shared" si="94"/>
        <v>0</v>
      </c>
      <c r="X262" s="385" t="str">
        <f>IF(coder1_YH!N262 = "",X261,coder1_YH!N262)</f>
        <v>.</v>
      </c>
      <c r="Y262" s="385" t="str">
        <f>IF(coder1_YH!O262 = "",Y261,coder1_YH!O262)</f>
        <v>.</v>
      </c>
      <c r="Z262" s="385" t="str">
        <f t="shared" si="83"/>
        <v/>
      </c>
      <c r="AA262" s="385" t="str">
        <f t="shared" si="84"/>
        <v>BAU</v>
      </c>
      <c r="AB262" s="385" t="str">
        <f t="shared" si="95"/>
        <v>BAU</v>
      </c>
      <c r="AC262" s="323" t="str">
        <f t="shared" si="96"/>
        <v>..</v>
      </c>
      <c r="AD262" s="323" t="str">
        <f t="shared" si="97"/>
        <v>BAU</v>
      </c>
      <c r="AF262" s="369" t="str">
        <f t="shared" si="98"/>
        <v>146-..</v>
      </c>
      <c r="AG262" s="369" t="str">
        <f t="shared" si="99"/>
        <v>146-BAU</v>
      </c>
      <c r="AH262" s="344">
        <f>IF(coder1_YH!R262="",AH261,coder1_YH!R262)</f>
        <v>5</v>
      </c>
      <c r="AI262" s="344">
        <f t="shared" si="85"/>
        <v>5</v>
      </c>
      <c r="AJ262" s="345">
        <f t="shared" si="100"/>
        <v>0</v>
      </c>
      <c r="AK262" s="408">
        <f>IF(coder1_YH!S262="",AK261,coder1_YH!S262)</f>
        <v>11</v>
      </c>
      <c r="AL262" s="345" t="str">
        <f>IF(coder1_YH!T262="",AL261,IF(coder1_YH!T262="mixed",0.25,coder1_YH!T262))</f>
        <v>NA</v>
      </c>
      <c r="AM262" s="345" t="str">
        <f>IF(coder1_YH!U262 = "", AM261, IF(coder1_YH!U262="mixed","NA",coder1_YH!U262))</f>
        <v>NA</v>
      </c>
      <c r="AN262" s="345" t="str">
        <f>IF(coder1_YH!V262="",AN261,coder1_YH!V262)</f>
        <v>NA</v>
      </c>
      <c r="AO262" s="345" t="str">
        <f>IF(coder1_YH!W262="",AO261,coder1_YH!W262)</f>
        <v>NA</v>
      </c>
      <c r="AP262" s="345">
        <f>IF(coder1_YH!X262="",AP261,coder1_YH!X262)</f>
        <v>0.49915682967959529</v>
      </c>
      <c r="AQ262" s="345" t="str">
        <f>IF(coder1_YH!Y262="",AQ261,coder1_YH!Y262)</f>
        <v>NA</v>
      </c>
      <c r="AR262" t="str">
        <f>coder1_YH!AB262</f>
        <v>3 = NA (for BAU/AC Condition)</v>
      </c>
      <c r="AS262" s="345" t="str">
        <f>IF(coder1_YH!AC262 = "", AS261,IF(coder1_YH!AC262="BAU","BAU",LEFT(coder1_YH!AC262)))</f>
        <v>BAU</v>
      </c>
      <c r="AT262" s="345" t="str">
        <f>IF(coder1_YH!AD262 = "", AT261,IF(coder1_YH!AD262="BAU","BAU",LEFT(coder1_YH!AD262)))</f>
        <v>BAU</v>
      </c>
      <c r="AU262" s="345" t="str">
        <f>IF(coder1_YH!AE262 = "", AU261,IF(coder1_YH!AE262="BAU","BAU",LEFT(coder1_YH!AE262)))</f>
        <v>BAU</v>
      </c>
      <c r="AV262" s="345" t="str">
        <f>IF(coder1_YH!AF262="",AV261,coder1_YH!AF262)</f>
        <v>BAU</v>
      </c>
      <c r="AW262" s="345" t="str">
        <f t="shared" si="101"/>
        <v>BAU</v>
      </c>
      <c r="AX262" s="345" t="str">
        <f>IF(coder1_YH!AG262="",AX261,coder1_YH!AG262)</f>
        <v>BAU</v>
      </c>
      <c r="AY262" s="345" t="str">
        <f>IF(coder1_YH!AH262="",AY261,coder1_YH!AH262)</f>
        <v>BAU</v>
      </c>
      <c r="AZ262" s="345" t="str">
        <f>IF(coder1_YH!AI262 = "", AZ261, IF(coder1_YH!AI262="BAU","BAU",LEFT(coder1_YH!AI262)))</f>
        <v>BAU</v>
      </c>
      <c r="BA262" s="384">
        <f>clean_data!Y262</f>
        <v>84</v>
      </c>
    </row>
    <row r="263" spans="1:53" x14ac:dyDescent="0.2">
      <c r="A263">
        <f>coder1_YH!B263</f>
        <v>0</v>
      </c>
      <c r="B263">
        <f>coder1_YH!C263</f>
        <v>263</v>
      </c>
      <c r="C263">
        <f>coder1_YH!D263</f>
        <v>0</v>
      </c>
      <c r="D263">
        <f>coder1_YH!E263</f>
        <v>0</v>
      </c>
      <c r="E263" t="b">
        <f>coder1_YH!F263</f>
        <v>1</v>
      </c>
      <c r="F263" s="321" t="str">
        <f>IF(coder1_YH!G263="", clean_mod!F262, coder1_YH!G263)</f>
        <v>Schünemann et al., 2013</v>
      </c>
      <c r="G263" s="321" t="str">
        <f t="shared" si="86"/>
        <v>147</v>
      </c>
      <c r="H263" s="321">
        <f>IF(coder1_YH!H263="", clean_mod!H262, coder1_YH!H263)</f>
        <v>147</v>
      </c>
      <c r="I263" s="404" t="str">
        <f t="shared" si="87"/>
        <v>2013</v>
      </c>
      <c r="J263" s="344" t="str">
        <f>IF(coder1_YH!I263="",J262,coder1_YH!I263)</f>
        <v>Germany</v>
      </c>
      <c r="K263" s="345">
        <f t="shared" si="88"/>
        <v>1</v>
      </c>
      <c r="L263" s="344" t="str">
        <f>IF(coder1_YH!J263 = "",L262, coder1_YH!J263)</f>
        <v>German</v>
      </c>
      <c r="M263" s="345">
        <f t="shared" si="89"/>
        <v>1</v>
      </c>
      <c r="N263" s="345" t="str">
        <f>IF(coder1_YH!K263 = "", N262, LEFT(coder1_YH!K263,1))</f>
        <v>0</v>
      </c>
      <c r="O263" s="345" t="str">
        <f>IF(coder1_YH!L263 = "", O262, LEFT(coder1_YH!L263,1))</f>
        <v>0</v>
      </c>
      <c r="P263" s="345" t="str">
        <f>IF(coder1_YH!M263 = "", P262, LEFT(coder1_YH!M263,1))</f>
        <v>1</v>
      </c>
      <c r="Q263" s="321" t="str">
        <f>coder1_YH!P263</f>
        <v>ctl</v>
      </c>
      <c r="R263" s="321" t="str">
        <f>coder1_YH!Q263</f>
        <v>Comparison</v>
      </c>
      <c r="S263" s="323" t="str">
        <f t="shared" si="90"/>
        <v/>
      </c>
      <c r="T263" s="323" t="str">
        <f t="shared" si="91"/>
        <v/>
      </c>
      <c r="U263" s="323" t="str">
        <f t="shared" si="92"/>
        <v/>
      </c>
      <c r="V263" s="323" t="str">
        <f t="shared" si="93"/>
        <v/>
      </c>
      <c r="W263" s="323">
        <f t="shared" si="94"/>
        <v>0</v>
      </c>
      <c r="X263" s="385" t="str">
        <f>IF(coder1_YH!N263 = "",X262,coder1_YH!N263)</f>
        <v>.</v>
      </c>
      <c r="Y263" s="385" t="str">
        <f>IF(coder1_YH!O263 = "",Y262,coder1_YH!O263)</f>
        <v>.</v>
      </c>
      <c r="Z263" s="385" t="str">
        <f t="shared" si="83"/>
        <v/>
      </c>
      <c r="AA263" s="385" t="str">
        <f t="shared" si="84"/>
        <v>BAU</v>
      </c>
      <c r="AB263" s="385" t="str">
        <f t="shared" si="95"/>
        <v>BAU</v>
      </c>
      <c r="AC263" s="323" t="str">
        <f t="shared" si="96"/>
        <v>..</v>
      </c>
      <c r="AD263" s="323" t="str">
        <f t="shared" si="97"/>
        <v>BAU</v>
      </c>
      <c r="AF263" s="369" t="str">
        <f t="shared" si="98"/>
        <v>147-..</v>
      </c>
      <c r="AG263" s="369" t="str">
        <f t="shared" si="99"/>
        <v>147-BAU</v>
      </c>
      <c r="AH263" s="344">
        <f>IF(coder1_YH!R263="",AH262,coder1_YH!R263)</f>
        <v>5</v>
      </c>
      <c r="AI263" s="344">
        <f t="shared" si="85"/>
        <v>5</v>
      </c>
      <c r="AJ263" s="345">
        <f t="shared" si="100"/>
        <v>0</v>
      </c>
      <c r="AK263" s="408">
        <f>IF(coder1_YH!S263="",AK262,coder1_YH!S263)</f>
        <v>11.7</v>
      </c>
      <c r="AL263" s="345" t="str">
        <f>IF(coder1_YH!T263="",AL262,IF(coder1_YH!T263="mixed",0.25,coder1_YH!T263))</f>
        <v>NA</v>
      </c>
      <c r="AM263" s="345" t="str">
        <f>IF(coder1_YH!U263 = "", AM262, IF(coder1_YH!U263="mixed","NA",coder1_YH!U263))</f>
        <v>NA</v>
      </c>
      <c r="AN263" s="345" t="str">
        <f>IF(coder1_YH!V263="",AN262,coder1_YH!V263)</f>
        <v>NA</v>
      </c>
      <c r="AO263" s="345">
        <f>IF(coder1_YH!W263="",AO262,coder1_YH!W263)</f>
        <v>0</v>
      </c>
      <c r="AP263" s="345">
        <f>IF(coder1_YH!X263="",AP262,coder1_YH!X263)</f>
        <v>0.43548387096774194</v>
      </c>
      <c r="AQ263" s="345" t="str">
        <f>IF(coder1_YH!Y263="",AQ262,coder1_YH!Y263)</f>
        <v>NA</v>
      </c>
      <c r="AR263" t="str">
        <f>coder1_YH!AB263</f>
        <v>3 = NA (for BAU/AC Condition)</v>
      </c>
      <c r="AS263" s="345" t="str">
        <f>IF(coder1_YH!AC263 = "", AS262,IF(coder1_YH!AC263="BAU","BAU",LEFT(coder1_YH!AC263)))</f>
        <v>BAU</v>
      </c>
      <c r="AT263" s="345" t="str">
        <f>IF(coder1_YH!AD263 = "", AT262,IF(coder1_YH!AD263="BAU","BAU",LEFT(coder1_YH!AD263)))</f>
        <v>BAU</v>
      </c>
      <c r="AU263" s="345" t="str">
        <f>IF(coder1_YH!AE263 = "", AU262,IF(coder1_YH!AE263="BAU","BAU",LEFT(coder1_YH!AE263)))</f>
        <v>BAU</v>
      </c>
      <c r="AV263" s="345" t="str">
        <f>IF(coder1_YH!AF263="",AV262,coder1_YH!AF263)</f>
        <v>BAU</v>
      </c>
      <c r="AW263" s="345" t="str">
        <f t="shared" si="101"/>
        <v>BAU</v>
      </c>
      <c r="AX263" s="345" t="str">
        <f>IF(coder1_YH!AG263="",AX262,coder1_YH!AG263)</f>
        <v>BAU</v>
      </c>
      <c r="AY263" s="345" t="str">
        <f>IF(coder1_YH!AH263="",AY262,coder1_YH!AH263)</f>
        <v>BAU</v>
      </c>
      <c r="AZ263" s="345" t="str">
        <f>IF(coder1_YH!AI263 = "", AZ262, IF(coder1_YH!AI263="BAU","BAU",LEFT(coder1_YH!AI263)))</f>
        <v>BAU</v>
      </c>
      <c r="BA263" s="384">
        <f>clean_data!Y263</f>
        <v>127</v>
      </c>
    </row>
    <row r="264" spans="1:53" x14ac:dyDescent="0.2">
      <c r="A264">
        <f>coder1_YH!B264</f>
        <v>0</v>
      </c>
      <c r="B264">
        <f>coder1_YH!C264</f>
        <v>264</v>
      </c>
      <c r="C264">
        <f>coder1_YH!D264</f>
        <v>0</v>
      </c>
      <c r="D264">
        <f>coder1_YH!E264</f>
        <v>0</v>
      </c>
      <c r="E264" t="b">
        <f>coder1_YH!F264</f>
        <v>1</v>
      </c>
      <c r="F264" s="321" t="str">
        <f>IF(coder1_YH!G264="", clean_mod!F263, coder1_YH!G264)</f>
        <v>Schünemann et al., 2013</v>
      </c>
      <c r="G264" s="321" t="str">
        <f t="shared" si="86"/>
        <v>147</v>
      </c>
      <c r="H264" s="321">
        <f>IF(coder1_YH!H264="", clean_mod!H263, coder1_YH!H264)</f>
        <v>147</v>
      </c>
      <c r="I264" s="404" t="str">
        <f t="shared" si="87"/>
        <v>2013</v>
      </c>
      <c r="J264" s="344" t="str">
        <f>IF(coder1_YH!I264="",J263,coder1_YH!I264)</f>
        <v>Germany</v>
      </c>
      <c r="K264" s="345">
        <f t="shared" si="88"/>
        <v>1</v>
      </c>
      <c r="L264" s="344" t="str">
        <f>IF(coder1_YH!J264 = "",L263, coder1_YH!J264)</f>
        <v>German</v>
      </c>
      <c r="M264" s="345">
        <f t="shared" si="89"/>
        <v>1</v>
      </c>
      <c r="N264" s="345" t="str">
        <f>IF(coder1_YH!K264 = "", N263, LEFT(coder1_YH!K264,1))</f>
        <v>0</v>
      </c>
      <c r="O264" s="345" t="str">
        <f>IF(coder1_YH!L264 = "", O263, LEFT(coder1_YH!L264,1))</f>
        <v>0</v>
      </c>
      <c r="P264" s="345" t="str">
        <f>IF(coder1_YH!M264 = "", P263, LEFT(coder1_YH!M264,1))</f>
        <v>1</v>
      </c>
      <c r="Q264" s="321">
        <f>coder1_YH!P264</f>
        <v>1</v>
      </c>
      <c r="R264" s="321" t="str">
        <f>coder1_YH!Q264</f>
        <v>RT</v>
      </c>
      <c r="S264" s="323" t="str">
        <f t="shared" si="90"/>
        <v>N</v>
      </c>
      <c r="T264" s="323" t="str">
        <f t="shared" si="91"/>
        <v>V</v>
      </c>
      <c r="U264" s="323" t="str">
        <f t="shared" si="92"/>
        <v/>
      </c>
      <c r="V264" s="323" t="str">
        <f t="shared" si="93"/>
        <v/>
      </c>
      <c r="W264" s="323">
        <f t="shared" si="94"/>
        <v>2</v>
      </c>
      <c r="X264" s="385" t="str">
        <f>IF(coder1_YH!N264 = "",X263,coder1_YH!N264)</f>
        <v>NV</v>
      </c>
      <c r="Y264" s="385" t="str">
        <f>IF(coder1_YH!O264 = "",Y263,coder1_YH!O264)</f>
        <v xml:space="preserve">m </v>
      </c>
      <c r="Z264" s="385" t="str">
        <f t="shared" si="83"/>
        <v>M</v>
      </c>
      <c r="AA264" s="385" t="str">
        <f t="shared" si="84"/>
        <v>R</v>
      </c>
      <c r="AB264" s="385" t="str">
        <f t="shared" si="95"/>
        <v>MR</v>
      </c>
      <c r="AC264" s="323" t="str">
        <f t="shared" si="96"/>
        <v xml:space="preserve">NVm </v>
      </c>
      <c r="AD264" s="323" t="str">
        <f t="shared" si="97"/>
        <v>NV_R</v>
      </c>
      <c r="AF264" s="369" t="str">
        <f t="shared" si="98"/>
        <v xml:space="preserve">147-NVm </v>
      </c>
      <c r="AG264" s="369" t="str">
        <f t="shared" si="99"/>
        <v>147-NV_R</v>
      </c>
      <c r="AH264" s="344">
        <f>IF(coder1_YH!R264="",AH263,coder1_YH!R264)</f>
        <v>5</v>
      </c>
      <c r="AI264" s="344">
        <f t="shared" si="85"/>
        <v>5</v>
      </c>
      <c r="AJ264" s="345">
        <f t="shared" si="100"/>
        <v>0</v>
      </c>
      <c r="AK264" s="408">
        <f>IF(coder1_YH!S264="",AK263,coder1_YH!S264)</f>
        <v>11.05</v>
      </c>
      <c r="AL264" s="345" t="str">
        <f>IF(coder1_YH!T264="",AL263,IF(coder1_YH!T264="mixed",0.25,coder1_YH!T264))</f>
        <v>NA</v>
      </c>
      <c r="AM264" s="345" t="str">
        <f>IF(coder1_YH!U264 = "", AM263, IF(coder1_YH!U264="mixed","NA",coder1_YH!U264))</f>
        <v>NA</v>
      </c>
      <c r="AN264" s="345" t="str">
        <f>IF(coder1_YH!V264="",AN263,coder1_YH!V264)</f>
        <v>NA</v>
      </c>
      <c r="AO264" s="345">
        <f>IF(coder1_YH!W264="",AO263,coder1_YH!W264)</f>
        <v>0</v>
      </c>
      <c r="AP264" s="345">
        <f>IF(coder1_YH!X264="",AP263,coder1_YH!X264)</f>
        <v>0.47244094488188976</v>
      </c>
      <c r="AQ264" s="345" t="str">
        <f>IF(coder1_YH!Y264="",AQ263,coder1_YH!Y264)</f>
        <v>NA</v>
      </c>
      <c r="AR264" t="str">
        <f>coder1_YH!AB264</f>
        <v>0 = Researcher-developed/adapted curriculum</v>
      </c>
      <c r="AS264" s="345" t="str">
        <f>IF(coder1_YH!AC264 = "", AS263,IF(coder1_YH!AC264="BAU","BAU",LEFT(coder1_YH!AC264)))</f>
        <v>0</v>
      </c>
      <c r="AT264" s="345" t="str">
        <f>IF(coder1_YH!AD264 = "", AT263,IF(coder1_YH!AD264="BAU","BAU",LEFT(coder1_YH!AD264)))</f>
        <v>0</v>
      </c>
      <c r="AU264" s="345" t="str">
        <f>IF(coder1_YH!AE264 = "", AU263,IF(coder1_YH!AE264="BAU","BAU",LEFT(coder1_YH!AE264)))</f>
        <v>0</v>
      </c>
      <c r="AV264" s="345">
        <f>IF(coder1_YH!AF264="",AV263,coder1_YH!AF264)</f>
        <v>630</v>
      </c>
      <c r="AW264" s="345">
        <f t="shared" si="101"/>
        <v>10.5</v>
      </c>
      <c r="AX264" s="345">
        <f>IF(coder1_YH!AG264="",AX263,coder1_YH!AG264)</f>
        <v>14</v>
      </c>
      <c r="AY264" s="345">
        <f>IF(coder1_YH!AH264="",AY263,coder1_YH!AH264)</f>
        <v>45</v>
      </c>
      <c r="AZ264" s="345" t="str">
        <f>IF(coder1_YH!AI264 = "", AZ263, IF(coder1_YH!AI264="BAU","BAU",LEFT(coder1_YH!AI264)))</f>
        <v>1</v>
      </c>
      <c r="BA264" s="384">
        <f>clean_data!Y264</f>
        <v>127</v>
      </c>
    </row>
    <row r="265" spans="1:53" x14ac:dyDescent="0.2">
      <c r="A265">
        <f>coder1_YH!B265</f>
        <v>0</v>
      </c>
      <c r="B265">
        <f>coder1_YH!C265</f>
        <v>265</v>
      </c>
      <c r="C265" t="b">
        <f>coder1_YH!D265</f>
        <v>1</v>
      </c>
      <c r="D265" t="b">
        <f>coder1_YH!E265</f>
        <v>1</v>
      </c>
      <c r="E265" t="b">
        <f>coder1_YH!F265</f>
        <v>1</v>
      </c>
      <c r="F265" s="321" t="str">
        <f>IF(coder1_YH!G265="", clean_mod!F264, coder1_YH!G265)</f>
        <v>Schünemann et al., 2013</v>
      </c>
      <c r="G265" s="321" t="str">
        <f t="shared" si="86"/>
        <v>147</v>
      </c>
      <c r="H265" s="321">
        <f>IF(coder1_YH!H265="", clean_mod!H264, coder1_YH!H265)</f>
        <v>147</v>
      </c>
      <c r="I265" s="404" t="str">
        <f t="shared" si="87"/>
        <v>2013</v>
      </c>
      <c r="J265" s="344" t="str">
        <f>IF(coder1_YH!I265="",J264,coder1_YH!I265)</f>
        <v>Germany</v>
      </c>
      <c r="K265" s="345">
        <f t="shared" si="88"/>
        <v>1</v>
      </c>
      <c r="L265" s="344" t="str">
        <f>IF(coder1_YH!J265 = "",L264, coder1_YH!J265)</f>
        <v>German</v>
      </c>
      <c r="M265" s="345">
        <f t="shared" si="89"/>
        <v>1</v>
      </c>
      <c r="N265" s="345" t="str">
        <f>IF(coder1_YH!K265 = "", N264, LEFT(coder1_YH!K265,1))</f>
        <v>0</v>
      </c>
      <c r="O265" s="345" t="str">
        <f>IF(coder1_YH!L265 = "", O264, LEFT(coder1_YH!L265,1))</f>
        <v>0</v>
      </c>
      <c r="P265" s="345" t="str">
        <f>IF(coder1_YH!M265 = "", P264, LEFT(coder1_YH!M265,1))</f>
        <v>1</v>
      </c>
      <c r="Q265" s="321">
        <f>coder1_YH!P265</f>
        <v>2</v>
      </c>
      <c r="R265" s="321" t="str">
        <f>coder1_YH!Q265</f>
        <v>RT + SRL</v>
      </c>
      <c r="S265" s="323" t="str">
        <f t="shared" si="90"/>
        <v>N</v>
      </c>
      <c r="T265" s="323" t="str">
        <f t="shared" si="91"/>
        <v>V</v>
      </c>
      <c r="U265" s="323" t="str">
        <f t="shared" si="92"/>
        <v>G</v>
      </c>
      <c r="V265" s="323" t="str">
        <f t="shared" si="93"/>
        <v>T</v>
      </c>
      <c r="W265" s="323">
        <f t="shared" si="94"/>
        <v>4</v>
      </c>
      <c r="X265" s="385" t="str">
        <f>IF(coder1_YH!N265 = "",X264,coder1_YH!N265)</f>
        <v>NVGT</v>
      </c>
      <c r="Y265" s="385" t="str">
        <f>IF(coder1_YH!O265 = "",Y264,coder1_YH!O265)</f>
        <v xml:space="preserve">m </v>
      </c>
      <c r="Z265" s="385" t="str">
        <f t="shared" si="83"/>
        <v>M</v>
      </c>
      <c r="AA265" s="385" t="str">
        <f t="shared" si="84"/>
        <v>R</v>
      </c>
      <c r="AB265" s="385" t="str">
        <f t="shared" si="95"/>
        <v>MR</v>
      </c>
      <c r="AC265" s="323" t="str">
        <f t="shared" si="96"/>
        <v xml:space="preserve">NVGTm </v>
      </c>
      <c r="AD265" s="323" t="str">
        <f t="shared" si="97"/>
        <v>NVGT_R</v>
      </c>
      <c r="AE265" s="323">
        <f>IF(Y265="cm", 1,0)</f>
        <v>0</v>
      </c>
      <c r="AF265" s="369" t="str">
        <f t="shared" si="98"/>
        <v xml:space="preserve">147-NVGTm </v>
      </c>
      <c r="AG265" s="369" t="str">
        <f t="shared" si="99"/>
        <v>147-NVGT_R</v>
      </c>
      <c r="AH265" s="344">
        <f>IF(coder1_YH!R265="",AH264,coder1_YH!R265)</f>
        <v>5</v>
      </c>
      <c r="AI265" s="344">
        <f t="shared" si="85"/>
        <v>5</v>
      </c>
      <c r="AJ265" s="345">
        <f t="shared" si="100"/>
        <v>0</v>
      </c>
      <c r="AK265" s="408">
        <f>IF(coder1_YH!S265="",AK264,coder1_YH!S265)</f>
        <v>11.02</v>
      </c>
      <c r="AL265" s="345" t="str">
        <f>IF(coder1_YH!T265="",AL264,IF(coder1_YH!T265="mixed",0.25,coder1_YH!T265))</f>
        <v>NA</v>
      </c>
      <c r="AM265" s="345" t="str">
        <f>IF(coder1_YH!U265 = "", AM264, IF(coder1_YH!U265="mixed","NA",coder1_YH!U265))</f>
        <v>NA</v>
      </c>
      <c r="AN265" s="345" t="str">
        <f>IF(coder1_YH!V265="",AN264,coder1_YH!V265)</f>
        <v>NA</v>
      </c>
      <c r="AO265" s="345">
        <f>IF(coder1_YH!W265="",AO264,coder1_YH!W265)</f>
        <v>0</v>
      </c>
      <c r="AP265" s="345">
        <f>IF(coder1_YH!X265="",AP264,coder1_YH!X265)</f>
        <v>0.47863247863247865</v>
      </c>
      <c r="AQ265" s="345" t="str">
        <f>IF(coder1_YH!Y265="",AQ264,coder1_YH!Y265)</f>
        <v>NA</v>
      </c>
      <c r="AR265" t="str">
        <f>coder1_YH!AB265</f>
        <v>0 = Researcher-developed/adapted curriculum</v>
      </c>
      <c r="AS265" s="345" t="str">
        <f>IF(coder1_YH!AC265 = "", AS264,IF(coder1_YH!AC265="BAU","BAU",LEFT(coder1_YH!AC265)))</f>
        <v>0</v>
      </c>
      <c r="AT265" s="345" t="str">
        <f>IF(coder1_YH!AD265 = "", AT264,IF(coder1_YH!AD265="BAU","BAU",LEFT(coder1_YH!AD265)))</f>
        <v>0</v>
      </c>
      <c r="AU265" s="345" t="str">
        <f>IF(coder1_YH!AE265 = "", AU264,IF(coder1_YH!AE265="BAU","BAU",LEFT(coder1_YH!AE265)))</f>
        <v>0</v>
      </c>
      <c r="AV265" s="345">
        <f>IF(coder1_YH!AF265="",AV264,coder1_YH!AF265)</f>
        <v>630</v>
      </c>
      <c r="AW265" s="345">
        <f t="shared" si="101"/>
        <v>10.5</v>
      </c>
      <c r="AX265" s="345">
        <f>IF(coder1_YH!AG265="",AX264,coder1_YH!AG265)</f>
        <v>14</v>
      </c>
      <c r="AY265" s="345">
        <f>IF(coder1_YH!AH265="",AY264,coder1_YH!AH265)</f>
        <v>45</v>
      </c>
      <c r="AZ265" s="345" t="str">
        <f>IF(coder1_YH!AI265 = "", AZ264, IF(coder1_YH!AI265="BAU","BAU",LEFT(coder1_YH!AI265)))</f>
        <v>1</v>
      </c>
      <c r="BA265" s="384">
        <f>clean_data!Y265</f>
        <v>127</v>
      </c>
    </row>
    <row r="266" spans="1:53" x14ac:dyDescent="0.2">
      <c r="A266">
        <f>coder1_YH!B266</f>
        <v>0</v>
      </c>
      <c r="B266">
        <f>coder1_YH!C266</f>
        <v>266</v>
      </c>
      <c r="C266">
        <f>coder1_YH!D266</f>
        <v>0</v>
      </c>
      <c r="D266">
        <f>coder1_YH!E266</f>
        <v>0</v>
      </c>
      <c r="E266" t="b">
        <f>coder1_YH!F266</f>
        <v>1</v>
      </c>
      <c r="F266" s="321" t="str">
        <f>IF(coder1_YH!G266="", clean_mod!F265, coder1_YH!G266)</f>
        <v>Spörer &amp; Schünemann, 2014</v>
      </c>
      <c r="G266" s="321" t="str">
        <f t="shared" si="86"/>
        <v>148</v>
      </c>
      <c r="H266" s="321">
        <f>IF(coder1_YH!H266="", clean_mod!H265, coder1_YH!H266)</f>
        <v>148</v>
      </c>
      <c r="I266" s="404" t="str">
        <f t="shared" si="87"/>
        <v>2014</v>
      </c>
      <c r="J266" s="344" t="str">
        <f>IF(coder1_YH!I266="",J265,coder1_YH!I266)</f>
        <v>Germany</v>
      </c>
      <c r="K266" s="345">
        <f t="shared" si="88"/>
        <v>1</v>
      </c>
      <c r="L266" s="344" t="str">
        <f>IF(coder1_YH!J266 = "",L265, coder1_YH!J266)</f>
        <v>German</v>
      </c>
      <c r="M266" s="345">
        <f t="shared" si="89"/>
        <v>1</v>
      </c>
      <c r="N266" s="345" t="str">
        <f>IF(coder1_YH!K266 = "", N265, LEFT(coder1_YH!K266,1))</f>
        <v>0</v>
      </c>
      <c r="O266" s="345" t="str">
        <f>IF(coder1_YH!L266 = "", O265, LEFT(coder1_YH!L266,1))</f>
        <v>0</v>
      </c>
      <c r="P266" s="345" t="str">
        <f>IF(coder1_YH!M266 = "", P265, LEFT(coder1_YH!M266,1))</f>
        <v>1</v>
      </c>
      <c r="Q266" s="321" t="str">
        <f>coder1_YH!P266</f>
        <v>ctl</v>
      </c>
      <c r="R266" s="321" t="str">
        <f>coder1_YH!Q266</f>
        <v>RT</v>
      </c>
      <c r="S266" s="323" t="str">
        <f t="shared" si="90"/>
        <v>N</v>
      </c>
      <c r="T266" s="323" t="str">
        <f t="shared" si="91"/>
        <v/>
      </c>
      <c r="U266" s="323" t="str">
        <f t="shared" si="92"/>
        <v/>
      </c>
      <c r="V266" s="323" t="str">
        <f t="shared" si="93"/>
        <v/>
      </c>
      <c r="W266" s="323">
        <f t="shared" si="94"/>
        <v>1</v>
      </c>
      <c r="X266" s="385" t="str">
        <f>IF(coder1_YH!N266 = "",X265,coder1_YH!N266)</f>
        <v>N</v>
      </c>
      <c r="Y266" s="385" t="str">
        <f>IF(coder1_YH!O266 = "",Y265,coder1_YH!O266)</f>
        <v xml:space="preserve">m </v>
      </c>
      <c r="Z266" s="385" t="str">
        <f t="shared" si="83"/>
        <v>M</v>
      </c>
      <c r="AA266" s="385" t="str">
        <f t="shared" si="84"/>
        <v>R</v>
      </c>
      <c r="AB266" s="385" t="str">
        <f t="shared" si="95"/>
        <v>MR</v>
      </c>
      <c r="AC266" s="323" t="str">
        <f t="shared" si="96"/>
        <v xml:space="preserve">Nm </v>
      </c>
      <c r="AD266" s="323" t="str">
        <f t="shared" si="97"/>
        <v>N_R</v>
      </c>
      <c r="AF266" s="369" t="str">
        <f t="shared" si="98"/>
        <v xml:space="preserve">148-Nm </v>
      </c>
      <c r="AG266" s="369" t="str">
        <f t="shared" si="99"/>
        <v>148-N_R</v>
      </c>
      <c r="AH266" s="344">
        <f>IF(coder1_YH!R266="",AH265,coder1_YH!R266)</f>
        <v>5</v>
      </c>
      <c r="AI266" s="344">
        <f t="shared" si="85"/>
        <v>5</v>
      </c>
      <c r="AJ266" s="345">
        <f t="shared" si="100"/>
        <v>0</v>
      </c>
      <c r="AK266" s="408">
        <f>IF(coder1_YH!S266="",AK265,coder1_YH!S266)</f>
        <v>10.48</v>
      </c>
      <c r="AL266" s="345" t="str">
        <f>IF(coder1_YH!T266="",AL265,IF(coder1_YH!T266="mixed",0.25,coder1_YH!T266))</f>
        <v>NA</v>
      </c>
      <c r="AM266" s="345" t="str">
        <f>IF(coder1_YH!U266 = "", AM265, IF(coder1_YH!U266="mixed","NA",coder1_YH!U266))</f>
        <v>NA</v>
      </c>
      <c r="AN266" s="345" t="str">
        <f>IF(coder1_YH!V266="",AN265,coder1_YH!V266)</f>
        <v>NA</v>
      </c>
      <c r="AO266" s="345">
        <f>IF(coder1_YH!W266="",AO265,coder1_YH!W266)</f>
        <v>7.5187969924812026E-3</v>
      </c>
      <c r="AP266" s="345">
        <f>IF(coder1_YH!X266="",AP265,coder1_YH!X266)</f>
        <v>0.5864661654135338</v>
      </c>
      <c r="AQ266" s="345" t="str">
        <f>IF(coder1_YH!Y266="",AQ265,coder1_YH!Y266)</f>
        <v>NA</v>
      </c>
      <c r="AR266" t="str">
        <f>coder1_YH!AB266</f>
        <v>0 = Researcher-developed/adapted curriculum</v>
      </c>
      <c r="AS266" s="345" t="str">
        <f>IF(coder1_YH!AC266 = "", AS265,IF(coder1_YH!AC266="BAU","BAU",LEFT(coder1_YH!AC266)))</f>
        <v>0</v>
      </c>
      <c r="AT266" s="345" t="str">
        <f>IF(coder1_YH!AD266 = "", AT265,IF(coder1_YH!AD266="BAU","BAU",LEFT(coder1_YH!AD266)))</f>
        <v>0</v>
      </c>
      <c r="AU266" s="345" t="str">
        <f>IF(coder1_YH!AE266 = "", AU265,IF(coder1_YH!AE266="BAU","BAU",LEFT(coder1_YH!AE266)))</f>
        <v>0</v>
      </c>
      <c r="AV266" s="345">
        <f>IF(coder1_YH!AF266="",AV265,coder1_YH!AF266)</f>
        <v>630</v>
      </c>
      <c r="AW266" s="345">
        <f t="shared" si="101"/>
        <v>10.5</v>
      </c>
      <c r="AX266" s="345">
        <f>IF(coder1_YH!AG266="",AX265,coder1_YH!AG266)</f>
        <v>45</v>
      </c>
      <c r="AY266" s="345">
        <f>IF(coder1_YH!AH266="",AY265,coder1_YH!AH266)</f>
        <v>14</v>
      </c>
      <c r="AZ266" s="345" t="str">
        <f>IF(coder1_YH!AI266 = "", AZ265, IF(coder1_YH!AI266="BAU","BAU",LEFT(coder1_YH!AI266)))</f>
        <v>1</v>
      </c>
      <c r="BA266" s="384">
        <f>clean_data!Y266</f>
        <v>133</v>
      </c>
    </row>
    <row r="267" spans="1:53" x14ac:dyDescent="0.2">
      <c r="A267">
        <f>coder1_YH!B267</f>
        <v>0</v>
      </c>
      <c r="B267">
        <f>coder1_YH!C267</f>
        <v>267</v>
      </c>
      <c r="C267">
        <f>coder1_YH!D267</f>
        <v>0</v>
      </c>
      <c r="D267">
        <f>coder1_YH!E267</f>
        <v>0</v>
      </c>
      <c r="E267" t="b">
        <f>coder1_YH!F267</f>
        <v>1</v>
      </c>
      <c r="F267" s="321" t="str">
        <f>IF(coder1_YH!G267="", clean_mod!F266, coder1_YH!G267)</f>
        <v>Spörer &amp; Schünemann, 2014</v>
      </c>
      <c r="G267" s="321" t="str">
        <f t="shared" si="86"/>
        <v>148</v>
      </c>
      <c r="H267" s="321">
        <f>IF(coder1_YH!H267="", clean_mod!H266, coder1_YH!H267)</f>
        <v>148</v>
      </c>
      <c r="I267" s="404" t="str">
        <f t="shared" si="87"/>
        <v>2014</v>
      </c>
      <c r="J267" s="344" t="str">
        <f>IF(coder1_YH!I267="",J266,coder1_YH!I267)</f>
        <v>Germany</v>
      </c>
      <c r="K267" s="345">
        <f t="shared" si="88"/>
        <v>1</v>
      </c>
      <c r="L267" s="344" t="str">
        <f>IF(coder1_YH!J267 = "",L266, coder1_YH!J267)</f>
        <v>German</v>
      </c>
      <c r="M267" s="345">
        <f t="shared" si="89"/>
        <v>1</v>
      </c>
      <c r="N267" s="345" t="str">
        <f>IF(coder1_YH!K267 = "", N266, LEFT(coder1_YH!K267,1))</f>
        <v>0</v>
      </c>
      <c r="O267" s="345" t="str">
        <f>IF(coder1_YH!L267 = "", O266, LEFT(coder1_YH!L267,1))</f>
        <v>0</v>
      </c>
      <c r="P267" s="345" t="str">
        <f>IF(coder1_YH!M267 = "", P266, LEFT(coder1_YH!M267,1))</f>
        <v>1</v>
      </c>
      <c r="Q267" s="321">
        <f>coder1_YH!P267</f>
        <v>1</v>
      </c>
      <c r="R267" s="321" t="str">
        <f>coder1_YH!Q267</f>
        <v>RT + SIP (pretest sig.)</v>
      </c>
      <c r="S267" s="323" t="str">
        <f t="shared" si="90"/>
        <v>N</v>
      </c>
      <c r="T267" s="323" t="str">
        <f t="shared" si="91"/>
        <v>V</v>
      </c>
      <c r="U267" s="323" t="str">
        <f t="shared" si="92"/>
        <v>G</v>
      </c>
      <c r="V267" s="323" t="str">
        <f t="shared" si="93"/>
        <v/>
      </c>
      <c r="W267" s="323">
        <f t="shared" si="94"/>
        <v>3</v>
      </c>
      <c r="X267" s="385" t="str">
        <f>IF(coder1_YH!N267 = "",X266,coder1_YH!N267)</f>
        <v>NVG</v>
      </c>
      <c r="Y267" s="385" t="str">
        <f>IF(coder1_YH!O267 = "",Y266,coder1_YH!O267)</f>
        <v xml:space="preserve">m </v>
      </c>
      <c r="Z267" s="385" t="str">
        <f t="shared" si="83"/>
        <v>M</v>
      </c>
      <c r="AA267" s="385" t="str">
        <f t="shared" si="84"/>
        <v>R</v>
      </c>
      <c r="AB267" s="385" t="str">
        <f t="shared" si="95"/>
        <v>MR</v>
      </c>
      <c r="AC267" s="323" t="str">
        <f t="shared" si="96"/>
        <v xml:space="preserve">NVGm </v>
      </c>
      <c r="AD267" s="323" t="str">
        <f t="shared" si="97"/>
        <v>NVG_R</v>
      </c>
      <c r="AF267" s="369" t="str">
        <f t="shared" si="98"/>
        <v xml:space="preserve">148-NVGm </v>
      </c>
      <c r="AG267" s="369" t="str">
        <f t="shared" si="99"/>
        <v>148-NVG_R</v>
      </c>
      <c r="AH267" s="344">
        <f>IF(coder1_YH!R267="",AH266,coder1_YH!R267)</f>
        <v>5</v>
      </c>
      <c r="AI267" s="344">
        <f t="shared" si="85"/>
        <v>5</v>
      </c>
      <c r="AJ267" s="345">
        <f t="shared" si="100"/>
        <v>0</v>
      </c>
      <c r="AK267" s="408">
        <f>IF(coder1_YH!S267="",AK266,coder1_YH!S267)</f>
        <v>10.57</v>
      </c>
      <c r="AL267" s="345" t="str">
        <f>IF(coder1_YH!T267="",AL266,IF(coder1_YH!T267="mixed",0.25,coder1_YH!T267))</f>
        <v>NA</v>
      </c>
      <c r="AM267" s="345" t="str">
        <f>IF(coder1_YH!U267 = "", AM266, IF(coder1_YH!U267="mixed","NA",coder1_YH!U267))</f>
        <v>NA</v>
      </c>
      <c r="AN267" s="345" t="str">
        <f>IF(coder1_YH!V267="",AN266,coder1_YH!V267)</f>
        <v>NA</v>
      </c>
      <c r="AO267" s="345">
        <f>IF(coder1_YH!W267="",AO266,coder1_YH!W267)</f>
        <v>3.875968992248062E-2</v>
      </c>
      <c r="AP267" s="345">
        <f>IF(coder1_YH!X267="",AP266,coder1_YH!X267)</f>
        <v>0.49612403100775193</v>
      </c>
      <c r="AQ267" s="345" t="str">
        <f>IF(coder1_YH!Y267="",AQ266,coder1_YH!Y267)</f>
        <v>NA</v>
      </c>
      <c r="AR267" t="str">
        <f>coder1_YH!AB267</f>
        <v>0 = Researcher-developed/adapted curriculum</v>
      </c>
      <c r="AS267" s="345" t="str">
        <f>IF(coder1_YH!AC267 = "", AS266,IF(coder1_YH!AC267="BAU","BAU",LEFT(coder1_YH!AC267)))</f>
        <v>0</v>
      </c>
      <c r="AT267" s="345" t="str">
        <f>IF(coder1_YH!AD267 = "", AT266,IF(coder1_YH!AD267="BAU","BAU",LEFT(coder1_YH!AD267)))</f>
        <v>0</v>
      </c>
      <c r="AU267" s="345" t="str">
        <f>IF(coder1_YH!AE267 = "", AU266,IF(coder1_YH!AE267="BAU","BAU",LEFT(coder1_YH!AE267)))</f>
        <v>0</v>
      </c>
      <c r="AV267" s="345">
        <f>IF(coder1_YH!AF267="",AV266,coder1_YH!AF267)</f>
        <v>630</v>
      </c>
      <c r="AW267" s="345">
        <f t="shared" si="101"/>
        <v>10.5</v>
      </c>
      <c r="AX267" s="345">
        <f>IF(coder1_YH!AG267="",AX266,coder1_YH!AG267)</f>
        <v>45</v>
      </c>
      <c r="AY267" s="345">
        <f>IF(coder1_YH!AH267="",AY266,coder1_YH!AH267)</f>
        <v>14</v>
      </c>
      <c r="AZ267" s="345" t="str">
        <f>IF(coder1_YH!AI267 = "", AZ266, IF(coder1_YH!AI267="BAU","BAU",LEFT(coder1_YH!AI267)))</f>
        <v>1</v>
      </c>
      <c r="BA267" s="384">
        <f>clean_data!Y267</f>
        <v>129</v>
      </c>
    </row>
    <row r="268" spans="1:53" x14ac:dyDescent="0.2">
      <c r="A268">
        <f>coder1_YH!B268</f>
        <v>0</v>
      </c>
      <c r="B268">
        <f>coder1_YH!C268</f>
        <v>268</v>
      </c>
      <c r="C268">
        <f>coder1_YH!D268</f>
        <v>0</v>
      </c>
      <c r="D268">
        <f>coder1_YH!E268</f>
        <v>0</v>
      </c>
      <c r="E268" t="b">
        <f>coder1_YH!F268</f>
        <v>1</v>
      </c>
      <c r="F268" s="321" t="str">
        <f>IF(coder1_YH!G268="", clean_mod!F267, coder1_YH!G268)</f>
        <v>Spörer &amp; Schünemann, 2014</v>
      </c>
      <c r="G268" s="321" t="str">
        <f t="shared" si="86"/>
        <v>148</v>
      </c>
      <c r="H268" s="321">
        <f>IF(coder1_YH!H268="", clean_mod!H267, coder1_YH!H268)</f>
        <v>148</v>
      </c>
      <c r="I268" s="404" t="str">
        <f t="shared" si="87"/>
        <v>2014</v>
      </c>
      <c r="J268" s="344" t="str">
        <f>IF(coder1_YH!I268="",J267,coder1_YH!I268)</f>
        <v>Germany</v>
      </c>
      <c r="K268" s="345">
        <f t="shared" si="88"/>
        <v>1</v>
      </c>
      <c r="L268" s="344" t="str">
        <f>IF(coder1_YH!J268 = "",L267, coder1_YH!J268)</f>
        <v>German</v>
      </c>
      <c r="M268" s="345">
        <f t="shared" si="89"/>
        <v>1</v>
      </c>
      <c r="N268" s="345" t="str">
        <f>IF(coder1_YH!K268 = "", N267, LEFT(coder1_YH!K268,1))</f>
        <v>0</v>
      </c>
      <c r="O268" s="345" t="str">
        <f>IF(coder1_YH!L268 = "", O267, LEFT(coder1_YH!L268,1))</f>
        <v>0</v>
      </c>
      <c r="P268" s="345" t="str">
        <f>IF(coder1_YH!M268 = "", P267, LEFT(coder1_YH!M268,1))</f>
        <v>1</v>
      </c>
      <c r="Q268" s="321">
        <f>coder1_YH!P268</f>
        <v>2</v>
      </c>
      <c r="R268" s="321" t="str">
        <f>coder1_YH!Q268</f>
        <v>RT + ORP</v>
      </c>
      <c r="S268" s="323" t="str">
        <f t="shared" si="90"/>
        <v>N</v>
      </c>
      <c r="T268" s="323" t="str">
        <f t="shared" si="91"/>
        <v>V</v>
      </c>
      <c r="U268" s="323" t="str">
        <f t="shared" si="92"/>
        <v>G</v>
      </c>
      <c r="V268" s="323" t="str">
        <f t="shared" si="93"/>
        <v/>
      </c>
      <c r="W268" s="323">
        <f t="shared" si="94"/>
        <v>3</v>
      </c>
      <c r="X268" s="385" t="str">
        <f>IF(coder1_YH!N268 = "",X267,coder1_YH!N268)</f>
        <v>NVG</v>
      </c>
      <c r="Y268" s="385" t="str">
        <f>IF(coder1_YH!O268 = "",Y267,coder1_YH!O268)</f>
        <v xml:space="preserve">m </v>
      </c>
      <c r="Z268" s="385" t="str">
        <f t="shared" si="83"/>
        <v>M</v>
      </c>
      <c r="AA268" s="385" t="str">
        <f t="shared" si="84"/>
        <v>R</v>
      </c>
      <c r="AB268" s="385" t="str">
        <f t="shared" si="95"/>
        <v>MR</v>
      </c>
      <c r="AC268" s="323" t="str">
        <f t="shared" si="96"/>
        <v xml:space="preserve">NVGm </v>
      </c>
      <c r="AD268" s="323" t="str">
        <f t="shared" si="97"/>
        <v>NVG_R</v>
      </c>
      <c r="AF268" s="369" t="str">
        <f t="shared" si="98"/>
        <v xml:space="preserve">148-NVGm </v>
      </c>
      <c r="AG268" s="369" t="str">
        <f t="shared" si="99"/>
        <v>148-NVG_R</v>
      </c>
      <c r="AH268" s="344">
        <f>IF(coder1_YH!R268="",AH267,coder1_YH!R268)</f>
        <v>5</v>
      </c>
      <c r="AI268" s="344">
        <f t="shared" si="85"/>
        <v>5</v>
      </c>
      <c r="AJ268" s="345">
        <f t="shared" si="100"/>
        <v>0</v>
      </c>
      <c r="AK268" s="408">
        <f>IF(coder1_YH!S268="",AK267,coder1_YH!S268)</f>
        <v>10.6</v>
      </c>
      <c r="AL268" s="345" t="str">
        <f>IF(coder1_YH!T268="",AL267,IF(coder1_YH!T268="mixed",0.25,coder1_YH!T268))</f>
        <v>NA</v>
      </c>
      <c r="AM268" s="345" t="str">
        <f>IF(coder1_YH!U268 = "", AM267, IF(coder1_YH!U268="mixed","NA",coder1_YH!U268))</f>
        <v>NA</v>
      </c>
      <c r="AN268" s="345" t="str">
        <f>IF(coder1_YH!V268="",AN267,coder1_YH!V268)</f>
        <v>NA</v>
      </c>
      <c r="AO268" s="345">
        <f>IF(coder1_YH!W268="",AO267,coder1_YH!W268)</f>
        <v>1.5873015873015872E-2</v>
      </c>
      <c r="AP268" s="345">
        <f>IF(coder1_YH!X268="",AP267,coder1_YH!X268)</f>
        <v>0.56349206349206349</v>
      </c>
      <c r="AQ268" s="345" t="str">
        <f>IF(coder1_YH!Y268="",AQ267,coder1_YH!Y268)</f>
        <v>NA</v>
      </c>
      <c r="AR268" t="str">
        <f>coder1_YH!AB268</f>
        <v>0 = Researcher-developed/adapted curriculum</v>
      </c>
      <c r="AS268" s="345" t="str">
        <f>IF(coder1_YH!AC268 = "", AS267,IF(coder1_YH!AC268="BAU","BAU",LEFT(coder1_YH!AC268)))</f>
        <v>0</v>
      </c>
      <c r="AT268" s="345" t="str">
        <f>IF(coder1_YH!AD268 = "", AT267,IF(coder1_YH!AD268="BAU","BAU",LEFT(coder1_YH!AD268)))</f>
        <v>0</v>
      </c>
      <c r="AU268" s="345" t="str">
        <f>IF(coder1_YH!AE268 = "", AU267,IF(coder1_YH!AE268="BAU","BAU",LEFT(coder1_YH!AE268)))</f>
        <v>0</v>
      </c>
      <c r="AV268" s="345">
        <f>IF(coder1_YH!AF268="",AV267,coder1_YH!AF268)</f>
        <v>630</v>
      </c>
      <c r="AW268" s="345">
        <f t="shared" si="101"/>
        <v>10.5</v>
      </c>
      <c r="AX268" s="345">
        <f>IF(coder1_YH!AG268="",AX267,coder1_YH!AG268)</f>
        <v>45</v>
      </c>
      <c r="AY268" s="345">
        <f>IF(coder1_YH!AH268="",AY267,coder1_YH!AH268)</f>
        <v>14</v>
      </c>
      <c r="AZ268" s="345" t="str">
        <f>IF(coder1_YH!AI268 = "", AZ267, IF(coder1_YH!AI268="BAU","BAU",LEFT(coder1_YH!AI268)))</f>
        <v>1</v>
      </c>
      <c r="BA268" s="384">
        <f>clean_data!Y268</f>
        <v>126</v>
      </c>
    </row>
    <row r="269" spans="1:53" x14ac:dyDescent="0.2">
      <c r="A269">
        <f>coder1_YH!B269</f>
        <v>0</v>
      </c>
      <c r="B269">
        <f>coder1_YH!C269</f>
        <v>269</v>
      </c>
      <c r="C269" t="b">
        <f>coder1_YH!D269</f>
        <v>1</v>
      </c>
      <c r="D269" t="b">
        <f>coder1_YH!E269</f>
        <v>1</v>
      </c>
      <c r="E269" t="b">
        <f>coder1_YH!F269</f>
        <v>1</v>
      </c>
      <c r="F269" s="321" t="str">
        <f>IF(coder1_YH!G269="", clean_mod!F268, coder1_YH!G269)</f>
        <v>Spörer &amp; Schünemann, 2014</v>
      </c>
      <c r="G269" s="321" t="str">
        <f t="shared" si="86"/>
        <v>148</v>
      </c>
      <c r="H269" s="321">
        <f>IF(coder1_YH!H269="", clean_mod!H268, coder1_YH!H269)</f>
        <v>148</v>
      </c>
      <c r="I269" s="404" t="str">
        <f t="shared" si="87"/>
        <v>2014</v>
      </c>
      <c r="J269" s="344" t="str">
        <f>IF(coder1_YH!I269="",J268,coder1_YH!I269)</f>
        <v>Germany</v>
      </c>
      <c r="K269" s="345">
        <f t="shared" si="88"/>
        <v>1</v>
      </c>
      <c r="L269" s="344" t="str">
        <f>IF(coder1_YH!J269 = "",L268, coder1_YH!J269)</f>
        <v>German</v>
      </c>
      <c r="M269" s="345">
        <f t="shared" si="89"/>
        <v>1</v>
      </c>
      <c r="N269" s="345" t="str">
        <f>IF(coder1_YH!K269 = "", N268, LEFT(coder1_YH!K269,1))</f>
        <v>0</v>
      </c>
      <c r="O269" s="345" t="str">
        <f>IF(coder1_YH!L269 = "", O268, LEFT(coder1_YH!L269,1))</f>
        <v>0</v>
      </c>
      <c r="P269" s="345" t="str">
        <f>IF(coder1_YH!M269 = "", P268, LEFT(coder1_YH!M269,1))</f>
        <v>1</v>
      </c>
      <c r="Q269" s="321">
        <f>coder1_YH!P269</f>
        <v>3</v>
      </c>
      <c r="R269" s="321" t="str">
        <f>coder1_YH!Q269</f>
        <v>RT + SRL</v>
      </c>
      <c r="S269" s="323" t="str">
        <f t="shared" si="90"/>
        <v>N</v>
      </c>
      <c r="T269" s="323" t="str">
        <f t="shared" si="91"/>
        <v/>
      </c>
      <c r="U269" s="323" t="str">
        <f t="shared" si="92"/>
        <v>G</v>
      </c>
      <c r="V269" s="323" t="str">
        <f t="shared" si="93"/>
        <v/>
      </c>
      <c r="W269" s="323">
        <f t="shared" si="94"/>
        <v>2</v>
      </c>
      <c r="X269" s="385" t="str">
        <f>IF(coder1_YH!N269 = "",X268,coder1_YH!N269)</f>
        <v>NG</v>
      </c>
      <c r="Y269" s="385" t="str">
        <f>IF(coder1_YH!O269 = "",Y268,coder1_YH!O269)</f>
        <v xml:space="preserve">m </v>
      </c>
      <c r="Z269" s="385" t="str">
        <f t="shared" si="83"/>
        <v>M</v>
      </c>
      <c r="AA269" s="385" t="str">
        <f t="shared" si="84"/>
        <v>R</v>
      </c>
      <c r="AB269" s="385" t="str">
        <f t="shared" si="95"/>
        <v>MR</v>
      </c>
      <c r="AC269" s="323" t="str">
        <f t="shared" si="96"/>
        <v xml:space="preserve">NGm </v>
      </c>
      <c r="AD269" s="323" t="str">
        <f t="shared" si="97"/>
        <v>NG_R</v>
      </c>
      <c r="AE269" s="323">
        <f t="shared" ref="AE269:AE270" si="102">IF(Y269="cm", 1,0)</f>
        <v>0</v>
      </c>
      <c r="AF269" s="369" t="str">
        <f t="shared" si="98"/>
        <v xml:space="preserve">148-NGm </v>
      </c>
      <c r="AG269" s="369" t="str">
        <f t="shared" si="99"/>
        <v>148-NG_R</v>
      </c>
      <c r="AH269" s="344">
        <f>IF(coder1_YH!R269="",AH268,coder1_YH!R269)</f>
        <v>5</v>
      </c>
      <c r="AI269" s="344">
        <f t="shared" si="85"/>
        <v>5</v>
      </c>
      <c r="AJ269" s="345">
        <f t="shared" si="100"/>
        <v>0</v>
      </c>
      <c r="AK269" s="408">
        <f>IF(coder1_YH!S269="",AK268,coder1_YH!S269)</f>
        <v>10.55</v>
      </c>
      <c r="AL269" s="345" t="str">
        <f>IF(coder1_YH!T269="",AL268,IF(coder1_YH!T269="mixed",0.25,coder1_YH!T269))</f>
        <v>NA</v>
      </c>
      <c r="AM269" s="345" t="str">
        <f>IF(coder1_YH!U269 = "", AM268, IF(coder1_YH!U269="mixed","NA",coder1_YH!U269))</f>
        <v>NA</v>
      </c>
      <c r="AN269" s="345" t="str">
        <f>IF(coder1_YH!V269="",AN268,coder1_YH!V269)</f>
        <v>NA</v>
      </c>
      <c r="AO269" s="345">
        <f>IF(coder1_YH!W269="",AO268,coder1_YH!W269)</f>
        <v>2.7397260273972601E-2</v>
      </c>
      <c r="AP269" s="345">
        <f>IF(coder1_YH!X269="",AP268,coder1_YH!X269)</f>
        <v>0.57534246575342463</v>
      </c>
      <c r="AQ269" s="345" t="str">
        <f>IF(coder1_YH!Y269="",AQ268,coder1_YH!Y269)</f>
        <v>NA</v>
      </c>
      <c r="AR269" t="str">
        <f>coder1_YH!AB269</f>
        <v>0 = Researcher-developed/adapted curriculum</v>
      </c>
      <c r="AS269" s="345" t="str">
        <f>IF(coder1_YH!AC269 = "", AS268,IF(coder1_YH!AC269="BAU","BAU",LEFT(coder1_YH!AC269)))</f>
        <v>0</v>
      </c>
      <c r="AT269" s="345" t="str">
        <f>IF(coder1_YH!AD269 = "", AT268,IF(coder1_YH!AD269="BAU","BAU",LEFT(coder1_YH!AD269)))</f>
        <v>0</v>
      </c>
      <c r="AU269" s="345" t="str">
        <f>IF(coder1_YH!AE269 = "", AU268,IF(coder1_YH!AE269="BAU","BAU",LEFT(coder1_YH!AE269)))</f>
        <v>0</v>
      </c>
      <c r="AV269" s="345">
        <f>IF(coder1_YH!AF269="",AV268,coder1_YH!AF269)</f>
        <v>630</v>
      </c>
      <c r="AW269" s="345">
        <f t="shared" si="101"/>
        <v>10.5</v>
      </c>
      <c r="AX269" s="345">
        <f>IF(coder1_YH!AG269="",AX268,coder1_YH!AG269)</f>
        <v>45</v>
      </c>
      <c r="AY269" s="345">
        <f>IF(coder1_YH!AH269="",AY268,coder1_YH!AH269)</f>
        <v>14</v>
      </c>
      <c r="AZ269" s="345" t="str">
        <f>IF(coder1_YH!AI269 = "", AZ268, IF(coder1_YH!AI269="BAU","BAU",LEFT(coder1_YH!AI269)))</f>
        <v>1</v>
      </c>
      <c r="BA269" s="384">
        <f>clean_data!Y269</f>
        <v>146</v>
      </c>
    </row>
    <row r="270" spans="1:53" x14ac:dyDescent="0.2">
      <c r="A270">
        <f>coder1_YH!B270</f>
        <v>0</v>
      </c>
      <c r="B270">
        <f>coder1_YH!C270</f>
        <v>270</v>
      </c>
      <c r="C270" t="b">
        <f>coder1_YH!D270</f>
        <v>1</v>
      </c>
      <c r="D270" t="b">
        <f>coder1_YH!E270</f>
        <v>1</v>
      </c>
      <c r="E270" t="b">
        <f>coder1_YH!F270</f>
        <v>1</v>
      </c>
      <c r="F270" s="321" t="str">
        <f>IF(coder1_YH!G270="", clean_mod!F269, coder1_YH!G270)</f>
        <v>Mason, 2004</v>
      </c>
      <c r="G270" s="321" t="str">
        <f t="shared" si="86"/>
        <v>149</v>
      </c>
      <c r="H270" s="321">
        <f>IF(coder1_YH!H270="", clean_mod!H269, coder1_YH!H270)</f>
        <v>149</v>
      </c>
      <c r="I270" s="404" t="str">
        <f t="shared" si="87"/>
        <v>2004</v>
      </c>
      <c r="J270" s="344" t="str">
        <f>IF(coder1_YH!I270="",J269,coder1_YH!I270)</f>
        <v>USA</v>
      </c>
      <c r="K270" s="345">
        <f t="shared" si="88"/>
        <v>0</v>
      </c>
      <c r="L270" s="344" t="str">
        <f>IF(coder1_YH!J270 = "",L269, coder1_YH!J270)</f>
        <v>English</v>
      </c>
      <c r="M270" s="345">
        <f t="shared" si="89"/>
        <v>0</v>
      </c>
      <c r="N270" s="345" t="str">
        <f>IF(coder1_YH!K270 = "", N269, LEFT(coder1_YH!K270,1))</f>
        <v>0</v>
      </c>
      <c r="O270" s="345" t="str">
        <f>IF(coder1_YH!L270 = "", O269, LEFT(coder1_YH!L270,1))</f>
        <v>0</v>
      </c>
      <c r="P270" s="345" t="str">
        <f>IF(coder1_YH!M270 = "", P269, LEFT(coder1_YH!M270,1))</f>
        <v>0</v>
      </c>
      <c r="Q270" s="321">
        <f>coder1_YH!P270</f>
        <v>1</v>
      </c>
      <c r="R270" s="321" t="str">
        <f>coder1_YH!Q270</f>
        <v>TWA + SRL</v>
      </c>
      <c r="S270" s="323" t="str">
        <f t="shared" si="90"/>
        <v>N</v>
      </c>
      <c r="T270" s="323" t="str">
        <f t="shared" si="91"/>
        <v/>
      </c>
      <c r="U270" s="323" t="str">
        <f t="shared" si="92"/>
        <v>G</v>
      </c>
      <c r="V270" s="323" t="str">
        <f t="shared" si="93"/>
        <v/>
      </c>
      <c r="W270" s="323">
        <f t="shared" si="94"/>
        <v>2</v>
      </c>
      <c r="X270" s="385" t="str">
        <f>IF(coder1_YH!N270 = "",X269,coder1_YH!N270)</f>
        <v>NG</v>
      </c>
      <c r="Y270" s="385" t="str">
        <f>IF(coder1_YH!O270 = "",Y269,coder1_YH!O270)</f>
        <v xml:space="preserve">m </v>
      </c>
      <c r="Z270" s="385" t="str">
        <f t="shared" si="83"/>
        <v>M</v>
      </c>
      <c r="AA270" s="385" t="str">
        <f t="shared" si="84"/>
        <v>R</v>
      </c>
      <c r="AB270" s="385" t="str">
        <f t="shared" si="95"/>
        <v>MR</v>
      </c>
      <c r="AC270" s="323" t="str">
        <f t="shared" si="96"/>
        <v xml:space="preserve">NGm </v>
      </c>
      <c r="AD270" s="323" t="str">
        <f t="shared" si="97"/>
        <v>NG_R</v>
      </c>
      <c r="AE270" s="323">
        <f t="shared" si="102"/>
        <v>0</v>
      </c>
      <c r="AF270" s="369" t="str">
        <f t="shared" si="98"/>
        <v xml:space="preserve">149-NGm </v>
      </c>
      <c r="AG270" s="369" t="str">
        <f t="shared" si="99"/>
        <v>149-NG_R</v>
      </c>
      <c r="AH270" s="344">
        <f>IF(coder1_YH!R270="",AH269,coder1_YH!R270)</f>
        <v>5</v>
      </c>
      <c r="AI270" s="344">
        <f t="shared" si="85"/>
        <v>5</v>
      </c>
      <c r="AJ270" s="345">
        <f t="shared" si="100"/>
        <v>0</v>
      </c>
      <c r="AK270" s="408">
        <f>IF(coder1_YH!S270="",AK269,coder1_YH!S270)</f>
        <v>10.758333333333333</v>
      </c>
      <c r="AL270" s="345">
        <f>IF(coder1_YH!T270="",AL269,IF(coder1_YH!T270="mixed",0.25,coder1_YH!T270))</f>
        <v>1</v>
      </c>
      <c r="AM270" s="345">
        <f>IF(coder1_YH!U270 = "", AM269, IF(coder1_YH!U270="mixed","NA",coder1_YH!U270))</f>
        <v>0.1875</v>
      </c>
      <c r="AN270" s="345">
        <f>IF(coder1_YH!V270="",AN269,coder1_YH!V270)</f>
        <v>0.75</v>
      </c>
      <c r="AO270" s="345" t="str">
        <f>IF(coder1_YH!W270="",AO269,coder1_YH!W270)</f>
        <v>NA</v>
      </c>
      <c r="AP270" s="345">
        <f>IF(coder1_YH!X270="",AP269,coder1_YH!X270)</f>
        <v>0.5</v>
      </c>
      <c r="AQ270" s="345">
        <f>IF(coder1_YH!Y270="",AQ269,coder1_YH!Y270)</f>
        <v>0.875</v>
      </c>
      <c r="AR270" t="str">
        <f>coder1_YH!AB270</f>
        <v>0 = Researcher-developed/adapted curriculum</v>
      </c>
      <c r="AS270" s="345" t="str">
        <f>IF(coder1_YH!AC270 = "", AS269,IF(coder1_YH!AC270="BAU","BAU",LEFT(coder1_YH!AC270)))</f>
        <v>0</v>
      </c>
      <c r="AT270" s="345" t="str">
        <f>IF(coder1_YH!AD270 = "", AT269,IF(coder1_YH!AD270="BAU","BAU",LEFT(coder1_YH!AD270)))</f>
        <v>1</v>
      </c>
      <c r="AU270" s="345" t="str">
        <f>IF(coder1_YH!AE270 = "", AU269,IF(coder1_YH!AE270="BAU","BAU",LEFT(coder1_YH!AE270)))</f>
        <v>0</v>
      </c>
      <c r="AV270" s="345">
        <f>IF(coder1_YH!AF270="",AV269,coder1_YH!AF270)</f>
        <v>260</v>
      </c>
      <c r="AW270" s="345">
        <f t="shared" si="101"/>
        <v>4.333333333333333</v>
      </c>
      <c r="AX270" s="345">
        <f>IF(coder1_YH!AG270="",AX269,coder1_YH!AG270)</f>
        <v>13</v>
      </c>
      <c r="AY270" s="345">
        <f>IF(coder1_YH!AH270="",AY269,coder1_YH!AH270)</f>
        <v>20</v>
      </c>
      <c r="AZ270" s="345" t="str">
        <f>IF(coder1_YH!AI270 = "", AZ269, IF(coder1_YH!AI270="BAU","BAU",LEFT(coder1_YH!AI270)))</f>
        <v>1</v>
      </c>
      <c r="BA270" s="384">
        <f>clean_data!Y270</f>
        <v>16</v>
      </c>
    </row>
    <row r="271" spans="1:53" x14ac:dyDescent="0.2">
      <c r="A271">
        <f>coder1_YH!B271</f>
        <v>0</v>
      </c>
      <c r="B271">
        <f>coder1_YH!C271</f>
        <v>271</v>
      </c>
      <c r="C271">
        <f>coder1_YH!D271</f>
        <v>0</v>
      </c>
      <c r="D271" t="str">
        <f>coder1_YH!E271</f>
        <v/>
      </c>
      <c r="E271" t="str">
        <f>coder1_YH!F271</f>
        <v/>
      </c>
      <c r="F271" s="321" t="str">
        <f>IF(coder1_YH!G271="", clean_mod!F270, coder1_YH!G271)</f>
        <v>Mason, 2004</v>
      </c>
      <c r="G271" s="321" t="str">
        <f t="shared" si="86"/>
        <v>149</v>
      </c>
      <c r="H271" s="321">
        <f>IF(coder1_YH!H271="", clean_mod!H270, coder1_YH!H271)</f>
        <v>149</v>
      </c>
      <c r="I271" s="404" t="str">
        <f t="shared" si="87"/>
        <v>2004</v>
      </c>
      <c r="J271" s="344" t="str">
        <f>IF(coder1_YH!I271="",J270,coder1_YH!I271)</f>
        <v>USA</v>
      </c>
      <c r="K271" s="345">
        <f t="shared" si="88"/>
        <v>0</v>
      </c>
      <c r="L271" s="344" t="str">
        <f>IF(coder1_YH!J271 = "",L270, coder1_YH!J271)</f>
        <v>English</v>
      </c>
      <c r="M271" s="345">
        <f t="shared" si="89"/>
        <v>0</v>
      </c>
      <c r="N271" s="345" t="str">
        <f>IF(coder1_YH!K271 = "", N270, LEFT(coder1_YH!K271,1))</f>
        <v>0</v>
      </c>
      <c r="O271" s="345" t="str">
        <f>IF(coder1_YH!L271 = "", O270, LEFT(coder1_YH!L271,1))</f>
        <v>0</v>
      </c>
      <c r="P271" s="345" t="str">
        <f>IF(coder1_YH!M271 = "", P270, LEFT(coder1_YH!M271,1))</f>
        <v>0</v>
      </c>
      <c r="Q271" s="321">
        <f>coder1_YH!P271</f>
        <v>0</v>
      </c>
      <c r="R271" s="321">
        <f>coder1_YH!Q271</f>
        <v>0</v>
      </c>
      <c r="S271" s="323" t="str">
        <f t="shared" si="90"/>
        <v>N</v>
      </c>
      <c r="T271" s="323" t="str">
        <f t="shared" si="91"/>
        <v/>
      </c>
      <c r="U271" s="323" t="str">
        <f t="shared" si="92"/>
        <v>G</v>
      </c>
      <c r="V271" s="323" t="str">
        <f t="shared" si="93"/>
        <v/>
      </c>
      <c r="W271" s="323">
        <f t="shared" si="94"/>
        <v>2</v>
      </c>
      <c r="X271" s="385" t="str">
        <f>IF(coder1_YH!N271 = "",X270,coder1_YH!N271)</f>
        <v>NG</v>
      </c>
      <c r="Y271" s="385" t="str">
        <f>IF(coder1_YH!O271 = "",Y270,coder1_YH!O271)</f>
        <v xml:space="preserve">m </v>
      </c>
      <c r="Z271" s="385" t="str">
        <f t="shared" si="83"/>
        <v>M</v>
      </c>
      <c r="AA271" s="385" t="str">
        <f t="shared" si="84"/>
        <v>R</v>
      </c>
      <c r="AB271" s="385" t="str">
        <f t="shared" si="95"/>
        <v>MR</v>
      </c>
      <c r="AC271" s="323" t="str">
        <f t="shared" si="96"/>
        <v xml:space="preserve">NGm </v>
      </c>
      <c r="AD271" s="323" t="str">
        <f t="shared" si="97"/>
        <v>NG_R</v>
      </c>
      <c r="AF271" s="369" t="str">
        <f t="shared" si="98"/>
        <v xml:space="preserve">149-NGm </v>
      </c>
      <c r="AG271" s="369" t="str">
        <f t="shared" si="99"/>
        <v>149-NG_R</v>
      </c>
      <c r="AH271" s="344">
        <f>IF(coder1_YH!R271="",AH270,coder1_YH!R271)</f>
        <v>5</v>
      </c>
      <c r="AI271" s="344">
        <f t="shared" si="85"/>
        <v>5</v>
      </c>
      <c r="AJ271" s="345">
        <f t="shared" si="100"/>
        <v>0</v>
      </c>
      <c r="AK271" s="408">
        <f>IF(coder1_YH!S271="",AK270,coder1_YH!S271)</f>
        <v>10.758333333333333</v>
      </c>
      <c r="AL271" s="345">
        <f>IF(coder1_YH!T271="",AL270,IF(coder1_YH!T271="mixed",0.25,coder1_YH!T271))</f>
        <v>1</v>
      </c>
      <c r="AM271" s="345">
        <f>IF(coder1_YH!U271 = "", AM270, IF(coder1_YH!U271="mixed","NA",coder1_YH!U271))</f>
        <v>0.1875</v>
      </c>
      <c r="AN271" s="345">
        <f>IF(coder1_YH!V271="",AN270,coder1_YH!V271)</f>
        <v>0.75</v>
      </c>
      <c r="AO271" s="345" t="str">
        <f>IF(coder1_YH!W271="",AO270,coder1_YH!W271)</f>
        <v>NA</v>
      </c>
      <c r="AP271" s="345">
        <f>IF(coder1_YH!X271="",AP270,coder1_YH!X271)</f>
        <v>0.5</v>
      </c>
      <c r="AQ271" s="345">
        <f>IF(coder1_YH!Y271="",AQ270,coder1_YH!Y271)</f>
        <v>0.875</v>
      </c>
      <c r="AR271">
        <f>coder1_YH!AB271</f>
        <v>0</v>
      </c>
      <c r="AS271" s="345" t="str">
        <f>IF(coder1_YH!AC271 = "", AS270,IF(coder1_YH!AC271="BAU","BAU",LEFT(coder1_YH!AC271)))</f>
        <v>0</v>
      </c>
      <c r="AT271" s="345" t="str">
        <f>IF(coder1_YH!AD271 = "", AT270,IF(coder1_YH!AD271="BAU","BAU",LEFT(coder1_YH!AD271)))</f>
        <v>1</v>
      </c>
      <c r="AU271" s="345" t="str">
        <f>IF(coder1_YH!AE271 = "", AU270,IF(coder1_YH!AE271="BAU","BAU",LEFT(coder1_YH!AE271)))</f>
        <v>0</v>
      </c>
      <c r="AV271" s="345">
        <f>IF(coder1_YH!AF271="",AV270,coder1_YH!AF271)</f>
        <v>260</v>
      </c>
      <c r="AW271" s="345">
        <f t="shared" si="101"/>
        <v>4.333333333333333</v>
      </c>
      <c r="AX271" s="345">
        <f>IF(coder1_YH!AG271="",AX270,coder1_YH!AG271)</f>
        <v>13</v>
      </c>
      <c r="AY271" s="345">
        <f>IF(coder1_YH!AH271="",AY270,coder1_YH!AH271)</f>
        <v>20</v>
      </c>
      <c r="AZ271" s="345" t="str">
        <f>IF(coder1_YH!AI271 = "", AZ270, IF(coder1_YH!AI271="BAU","BAU",LEFT(coder1_YH!AI271)))</f>
        <v>1</v>
      </c>
      <c r="BA271" s="384">
        <f>clean_data!Y271</f>
        <v>16</v>
      </c>
    </row>
    <row r="272" spans="1:53" x14ac:dyDescent="0.2">
      <c r="A272">
        <f>coder1_YH!B272</f>
        <v>0</v>
      </c>
      <c r="B272">
        <f>coder1_YH!C272</f>
        <v>272</v>
      </c>
      <c r="C272">
        <f>coder1_YH!D272</f>
        <v>0</v>
      </c>
      <c r="D272" t="str">
        <f>coder1_YH!E272</f>
        <v/>
      </c>
      <c r="E272" t="str">
        <f>coder1_YH!F272</f>
        <v/>
      </c>
      <c r="F272" s="321" t="str">
        <f>IF(coder1_YH!G272="", clean_mod!F271, coder1_YH!G272)</f>
        <v>Mason, 2004</v>
      </c>
      <c r="G272" s="321" t="str">
        <f t="shared" si="86"/>
        <v>149</v>
      </c>
      <c r="H272" s="321">
        <f>IF(coder1_YH!H272="", clean_mod!H271, coder1_YH!H272)</f>
        <v>149</v>
      </c>
      <c r="I272" s="404" t="str">
        <f t="shared" si="87"/>
        <v>2004</v>
      </c>
      <c r="J272" s="344" t="str">
        <f>IF(coder1_YH!I272="",J271,coder1_YH!I272)</f>
        <v>USA</v>
      </c>
      <c r="K272" s="345">
        <f t="shared" si="88"/>
        <v>0</v>
      </c>
      <c r="L272" s="344" t="str">
        <f>IF(coder1_YH!J272 = "",L271, coder1_YH!J272)</f>
        <v>English</v>
      </c>
      <c r="M272" s="345">
        <f t="shared" si="89"/>
        <v>0</v>
      </c>
      <c r="N272" s="345" t="str">
        <f>IF(coder1_YH!K272 = "", N271, LEFT(coder1_YH!K272,1))</f>
        <v>0</v>
      </c>
      <c r="O272" s="345" t="str">
        <f>IF(coder1_YH!L272 = "", O271, LEFT(coder1_YH!L272,1))</f>
        <v>0</v>
      </c>
      <c r="P272" s="345" t="str">
        <f>IF(coder1_YH!M272 = "", P271, LEFT(coder1_YH!M272,1))</f>
        <v>0</v>
      </c>
      <c r="Q272" s="321">
        <f>coder1_YH!P272</f>
        <v>0</v>
      </c>
      <c r="R272" s="321">
        <f>coder1_YH!Q272</f>
        <v>0</v>
      </c>
      <c r="S272" s="323" t="str">
        <f t="shared" si="90"/>
        <v>N</v>
      </c>
      <c r="T272" s="323" t="str">
        <f t="shared" si="91"/>
        <v/>
      </c>
      <c r="U272" s="323" t="str">
        <f t="shared" si="92"/>
        <v>G</v>
      </c>
      <c r="V272" s="323" t="str">
        <f t="shared" si="93"/>
        <v/>
      </c>
      <c r="W272" s="323">
        <f t="shared" si="94"/>
        <v>2</v>
      </c>
      <c r="X272" s="385" t="str">
        <f>IF(coder1_YH!N272 = "",X271,coder1_YH!N272)</f>
        <v>NG</v>
      </c>
      <c r="Y272" s="385" t="str">
        <f>IF(coder1_YH!O272 = "",Y271,coder1_YH!O272)</f>
        <v xml:space="preserve">m </v>
      </c>
      <c r="Z272" s="385" t="str">
        <f t="shared" si="83"/>
        <v>M</v>
      </c>
      <c r="AA272" s="385" t="str">
        <f t="shared" si="84"/>
        <v>R</v>
      </c>
      <c r="AB272" s="385" t="str">
        <f t="shared" si="95"/>
        <v>MR</v>
      </c>
      <c r="AC272" s="323" t="str">
        <f t="shared" si="96"/>
        <v xml:space="preserve">NGm </v>
      </c>
      <c r="AD272" s="323" t="str">
        <f t="shared" si="97"/>
        <v>NG_R</v>
      </c>
      <c r="AF272" s="369" t="str">
        <f t="shared" si="98"/>
        <v xml:space="preserve">149-NGm </v>
      </c>
      <c r="AG272" s="369" t="str">
        <f t="shared" si="99"/>
        <v>149-NG_R</v>
      </c>
      <c r="AH272" s="344">
        <f>IF(coder1_YH!R272="",AH271,coder1_YH!R272)</f>
        <v>5</v>
      </c>
      <c r="AI272" s="344">
        <f t="shared" si="85"/>
        <v>5</v>
      </c>
      <c r="AJ272" s="345">
        <f t="shared" si="100"/>
        <v>0</v>
      </c>
      <c r="AK272" s="408">
        <f>IF(coder1_YH!S272="",AK271,coder1_YH!S272)</f>
        <v>10.758333333333333</v>
      </c>
      <c r="AL272" s="345">
        <f>IF(coder1_YH!T272="",AL271,IF(coder1_YH!T272="mixed",0.25,coder1_YH!T272))</f>
        <v>1</v>
      </c>
      <c r="AM272" s="345">
        <f>IF(coder1_YH!U272 = "", AM271, IF(coder1_YH!U272="mixed","NA",coder1_YH!U272))</f>
        <v>0.1875</v>
      </c>
      <c r="AN272" s="345">
        <f>IF(coder1_YH!V272="",AN271,coder1_YH!V272)</f>
        <v>0.75</v>
      </c>
      <c r="AO272" s="345" t="str">
        <f>IF(coder1_YH!W272="",AO271,coder1_YH!W272)</f>
        <v>NA</v>
      </c>
      <c r="AP272" s="345">
        <f>IF(coder1_YH!X272="",AP271,coder1_YH!X272)</f>
        <v>0.5</v>
      </c>
      <c r="AQ272" s="345">
        <f>IF(coder1_YH!Y272="",AQ271,coder1_YH!Y272)</f>
        <v>0.875</v>
      </c>
      <c r="AR272">
        <f>coder1_YH!AB272</f>
        <v>0</v>
      </c>
      <c r="AS272" s="345" t="str">
        <f>IF(coder1_YH!AC272 = "", AS271,IF(coder1_YH!AC272="BAU","BAU",LEFT(coder1_YH!AC272)))</f>
        <v>0</v>
      </c>
      <c r="AT272" s="345" t="str">
        <f>IF(coder1_YH!AD272 = "", AT271,IF(coder1_YH!AD272="BAU","BAU",LEFT(coder1_YH!AD272)))</f>
        <v>1</v>
      </c>
      <c r="AU272" s="345" t="str">
        <f>IF(coder1_YH!AE272 = "", AU271,IF(coder1_YH!AE272="BAU","BAU",LEFT(coder1_YH!AE272)))</f>
        <v>0</v>
      </c>
      <c r="AV272" s="345">
        <f>IF(coder1_YH!AF272="",AV271,coder1_YH!AF272)</f>
        <v>260</v>
      </c>
      <c r="AW272" s="345">
        <f t="shared" si="101"/>
        <v>4.333333333333333</v>
      </c>
      <c r="AX272" s="345">
        <f>IF(coder1_YH!AG272="",AX271,coder1_YH!AG272)</f>
        <v>13</v>
      </c>
      <c r="AY272" s="345">
        <f>IF(coder1_YH!AH272="",AY271,coder1_YH!AH272)</f>
        <v>20</v>
      </c>
      <c r="AZ272" s="345" t="str">
        <f>IF(coder1_YH!AI272 = "", AZ271, IF(coder1_YH!AI272="BAU","BAU",LEFT(coder1_YH!AI272)))</f>
        <v>1</v>
      </c>
      <c r="BA272" s="384">
        <f>clean_data!Y272</f>
        <v>16</v>
      </c>
    </row>
    <row r="273" spans="1:53" x14ac:dyDescent="0.2">
      <c r="A273">
        <f>coder1_YH!B273</f>
        <v>0</v>
      </c>
      <c r="B273">
        <f>coder1_YH!C273</f>
        <v>273</v>
      </c>
      <c r="C273">
        <f>coder1_YH!D273</f>
        <v>0</v>
      </c>
      <c r="D273" t="str">
        <f>coder1_YH!E273</f>
        <v/>
      </c>
      <c r="E273" t="str">
        <f>coder1_YH!F273</f>
        <v/>
      </c>
      <c r="F273" s="321" t="str">
        <f>IF(coder1_YH!G273="", clean_mod!F272, coder1_YH!G273)</f>
        <v>Mason, 2004</v>
      </c>
      <c r="G273" s="321" t="str">
        <f t="shared" si="86"/>
        <v>149</v>
      </c>
      <c r="H273" s="321">
        <f>IF(coder1_YH!H273="", clean_mod!H272, coder1_YH!H273)</f>
        <v>149</v>
      </c>
      <c r="I273" s="404" t="str">
        <f t="shared" si="87"/>
        <v>2004</v>
      </c>
      <c r="J273" s="344" t="str">
        <f>IF(coder1_YH!I273="",J272,coder1_YH!I273)</f>
        <v>USA</v>
      </c>
      <c r="K273" s="345">
        <f t="shared" si="88"/>
        <v>0</v>
      </c>
      <c r="L273" s="344" t="str">
        <f>IF(coder1_YH!J273 = "",L272, coder1_YH!J273)</f>
        <v>English</v>
      </c>
      <c r="M273" s="345">
        <f t="shared" si="89"/>
        <v>0</v>
      </c>
      <c r="N273" s="345" t="str">
        <f>IF(coder1_YH!K273 = "", N272, LEFT(coder1_YH!K273,1))</f>
        <v>0</v>
      </c>
      <c r="O273" s="345" t="str">
        <f>IF(coder1_YH!L273 = "", O272, LEFT(coder1_YH!L273,1))</f>
        <v>0</v>
      </c>
      <c r="P273" s="345" t="str">
        <f>IF(coder1_YH!M273 = "", P272, LEFT(coder1_YH!M273,1))</f>
        <v>0</v>
      </c>
      <c r="Q273" s="321">
        <f>coder1_YH!P273</f>
        <v>0</v>
      </c>
      <c r="R273" s="321">
        <f>coder1_YH!Q273</f>
        <v>0</v>
      </c>
      <c r="S273" s="323" t="str">
        <f t="shared" si="90"/>
        <v>N</v>
      </c>
      <c r="T273" s="323" t="str">
        <f t="shared" si="91"/>
        <v/>
      </c>
      <c r="U273" s="323" t="str">
        <f t="shared" si="92"/>
        <v>G</v>
      </c>
      <c r="V273" s="323" t="str">
        <f t="shared" si="93"/>
        <v/>
      </c>
      <c r="W273" s="323">
        <f t="shared" si="94"/>
        <v>2</v>
      </c>
      <c r="X273" s="385" t="str">
        <f>IF(coder1_YH!N273 = "",X272,coder1_YH!N273)</f>
        <v>NG</v>
      </c>
      <c r="Y273" s="385" t="str">
        <f>IF(coder1_YH!O273 = "",Y272,coder1_YH!O273)</f>
        <v xml:space="preserve">m </v>
      </c>
      <c r="Z273" s="385" t="str">
        <f t="shared" si="83"/>
        <v>M</v>
      </c>
      <c r="AA273" s="385" t="str">
        <f t="shared" si="84"/>
        <v>R</v>
      </c>
      <c r="AB273" s="385" t="str">
        <f t="shared" si="95"/>
        <v>MR</v>
      </c>
      <c r="AC273" s="323" t="str">
        <f t="shared" si="96"/>
        <v xml:space="preserve">NGm </v>
      </c>
      <c r="AD273" s="323" t="str">
        <f t="shared" si="97"/>
        <v>NG_R</v>
      </c>
      <c r="AF273" s="369" t="str">
        <f t="shared" si="98"/>
        <v xml:space="preserve">149-NGm </v>
      </c>
      <c r="AG273" s="369" t="str">
        <f t="shared" si="99"/>
        <v>149-NG_R</v>
      </c>
      <c r="AH273" s="344">
        <f>IF(coder1_YH!R273="",AH272,coder1_YH!R273)</f>
        <v>5</v>
      </c>
      <c r="AI273" s="344">
        <f t="shared" si="85"/>
        <v>5</v>
      </c>
      <c r="AJ273" s="345">
        <f t="shared" si="100"/>
        <v>0</v>
      </c>
      <c r="AK273" s="408">
        <f>IF(coder1_YH!S273="",AK272,coder1_YH!S273)</f>
        <v>10.758333333333333</v>
      </c>
      <c r="AL273" s="345">
        <f>IF(coder1_YH!T273="",AL272,IF(coder1_YH!T273="mixed",0.25,coder1_YH!T273))</f>
        <v>1</v>
      </c>
      <c r="AM273" s="345">
        <f>IF(coder1_YH!U273 = "", AM272, IF(coder1_YH!U273="mixed","NA",coder1_YH!U273))</f>
        <v>0.1875</v>
      </c>
      <c r="AN273" s="345">
        <f>IF(coder1_YH!V273="",AN272,coder1_YH!V273)</f>
        <v>0.75</v>
      </c>
      <c r="AO273" s="345" t="str">
        <f>IF(coder1_YH!W273="",AO272,coder1_YH!W273)</f>
        <v>NA</v>
      </c>
      <c r="AP273" s="345">
        <f>IF(coder1_YH!X273="",AP272,coder1_YH!X273)</f>
        <v>0.5</v>
      </c>
      <c r="AQ273" s="345">
        <f>IF(coder1_YH!Y273="",AQ272,coder1_YH!Y273)</f>
        <v>0.875</v>
      </c>
      <c r="AR273">
        <f>coder1_YH!AB273</f>
        <v>0</v>
      </c>
      <c r="AS273" s="345" t="str">
        <f>IF(coder1_YH!AC273 = "", AS272,IF(coder1_YH!AC273="BAU","BAU",LEFT(coder1_YH!AC273)))</f>
        <v>0</v>
      </c>
      <c r="AT273" s="345" t="str">
        <f>IF(coder1_YH!AD273 = "", AT272,IF(coder1_YH!AD273="BAU","BAU",LEFT(coder1_YH!AD273)))</f>
        <v>1</v>
      </c>
      <c r="AU273" s="345" t="str">
        <f>IF(coder1_YH!AE273 = "", AU272,IF(coder1_YH!AE273="BAU","BAU",LEFT(coder1_YH!AE273)))</f>
        <v>0</v>
      </c>
      <c r="AV273" s="345">
        <f>IF(coder1_YH!AF273="",AV272,coder1_YH!AF273)</f>
        <v>260</v>
      </c>
      <c r="AW273" s="345">
        <f t="shared" si="101"/>
        <v>4.333333333333333</v>
      </c>
      <c r="AX273" s="345">
        <f>IF(coder1_YH!AG273="",AX272,coder1_YH!AG273)</f>
        <v>13</v>
      </c>
      <c r="AY273" s="345">
        <f>IF(coder1_YH!AH273="",AY272,coder1_YH!AH273)</f>
        <v>20</v>
      </c>
      <c r="AZ273" s="345" t="str">
        <f>IF(coder1_YH!AI273 = "", AZ272, IF(coder1_YH!AI273="BAU","BAU",LEFT(coder1_YH!AI273)))</f>
        <v>1</v>
      </c>
      <c r="BA273" s="384">
        <f>clean_data!Y273</f>
        <v>16</v>
      </c>
    </row>
    <row r="274" spans="1:53" x14ac:dyDescent="0.2">
      <c r="A274">
        <f>coder1_YH!B274</f>
        <v>0</v>
      </c>
      <c r="B274">
        <f>coder1_YH!C274</f>
        <v>274</v>
      </c>
      <c r="C274">
        <f>coder1_YH!D274</f>
        <v>0</v>
      </c>
      <c r="D274" t="str">
        <f>coder1_YH!E274</f>
        <v/>
      </c>
      <c r="E274" t="str">
        <f>coder1_YH!F274</f>
        <v/>
      </c>
      <c r="F274" s="321" t="str">
        <f>IF(coder1_YH!G274="", clean_mod!F273, coder1_YH!G274)</f>
        <v>Mason, 2004</v>
      </c>
      <c r="G274" s="321" t="str">
        <f t="shared" si="86"/>
        <v>149</v>
      </c>
      <c r="H274" s="321">
        <f>IF(coder1_YH!H274="", clean_mod!H273, coder1_YH!H274)</f>
        <v>149</v>
      </c>
      <c r="I274" s="404" t="str">
        <f t="shared" si="87"/>
        <v>2004</v>
      </c>
      <c r="J274" s="344" t="str">
        <f>IF(coder1_YH!I274="",J273,coder1_YH!I274)</f>
        <v>USA</v>
      </c>
      <c r="K274" s="345">
        <f t="shared" si="88"/>
        <v>0</v>
      </c>
      <c r="L274" s="344" t="str">
        <f>IF(coder1_YH!J274 = "",L273, coder1_YH!J274)</f>
        <v>English</v>
      </c>
      <c r="M274" s="345">
        <f t="shared" si="89"/>
        <v>0</v>
      </c>
      <c r="N274" s="345" t="str">
        <f>IF(coder1_YH!K274 = "", N273, LEFT(coder1_YH!K274,1))</f>
        <v>0</v>
      </c>
      <c r="O274" s="345" t="str">
        <f>IF(coder1_YH!L274 = "", O273, LEFT(coder1_YH!L274,1))</f>
        <v>0</v>
      </c>
      <c r="P274" s="345" t="str">
        <f>IF(coder1_YH!M274 = "", P273, LEFT(coder1_YH!M274,1))</f>
        <v>0</v>
      </c>
      <c r="Q274" s="321">
        <f>coder1_YH!P274</f>
        <v>0</v>
      </c>
      <c r="R274" s="321">
        <f>coder1_YH!Q274</f>
        <v>0</v>
      </c>
      <c r="S274" s="323" t="str">
        <f t="shared" si="90"/>
        <v>N</v>
      </c>
      <c r="T274" s="323" t="str">
        <f t="shared" si="91"/>
        <v/>
      </c>
      <c r="U274" s="323" t="str">
        <f t="shared" si="92"/>
        <v>G</v>
      </c>
      <c r="V274" s="323" t="str">
        <f t="shared" si="93"/>
        <v/>
      </c>
      <c r="W274" s="323">
        <f t="shared" si="94"/>
        <v>2</v>
      </c>
      <c r="X274" s="385" t="str">
        <f>IF(coder1_YH!N274 = "",X273,coder1_YH!N274)</f>
        <v>NG</v>
      </c>
      <c r="Y274" s="385" t="str">
        <f>IF(coder1_YH!O274 = "",Y273,coder1_YH!O274)</f>
        <v xml:space="preserve">m </v>
      </c>
      <c r="Z274" s="385" t="str">
        <f t="shared" si="83"/>
        <v>M</v>
      </c>
      <c r="AA274" s="385" t="str">
        <f t="shared" si="84"/>
        <v>R</v>
      </c>
      <c r="AB274" s="385" t="str">
        <f t="shared" si="95"/>
        <v>MR</v>
      </c>
      <c r="AC274" s="323" t="str">
        <f t="shared" si="96"/>
        <v xml:space="preserve">NGm </v>
      </c>
      <c r="AD274" s="323" t="str">
        <f t="shared" si="97"/>
        <v>NG_R</v>
      </c>
      <c r="AF274" s="369" t="str">
        <f t="shared" si="98"/>
        <v xml:space="preserve">149-NGm </v>
      </c>
      <c r="AG274" s="369" t="str">
        <f t="shared" si="99"/>
        <v>149-NG_R</v>
      </c>
      <c r="AH274" s="344">
        <f>IF(coder1_YH!R274="",AH273,coder1_YH!R274)</f>
        <v>5</v>
      </c>
      <c r="AI274" s="344">
        <f t="shared" si="85"/>
        <v>5</v>
      </c>
      <c r="AJ274" s="345">
        <f t="shared" si="100"/>
        <v>0</v>
      </c>
      <c r="AK274" s="408">
        <f>IF(coder1_YH!S274="",AK273,coder1_YH!S274)</f>
        <v>10.758333333333333</v>
      </c>
      <c r="AL274" s="345">
        <f>IF(coder1_YH!T274="",AL273,IF(coder1_YH!T274="mixed",0.25,coder1_YH!T274))</f>
        <v>1</v>
      </c>
      <c r="AM274" s="345">
        <f>IF(coder1_YH!U274 = "", AM273, IF(coder1_YH!U274="mixed","NA",coder1_YH!U274))</f>
        <v>0.1875</v>
      </c>
      <c r="AN274" s="345">
        <f>IF(coder1_YH!V274="",AN273,coder1_YH!V274)</f>
        <v>0.75</v>
      </c>
      <c r="AO274" s="345" t="str">
        <f>IF(coder1_YH!W274="",AO273,coder1_YH!W274)</f>
        <v>NA</v>
      </c>
      <c r="AP274" s="345">
        <f>IF(coder1_YH!X274="",AP273,coder1_YH!X274)</f>
        <v>0.5</v>
      </c>
      <c r="AQ274" s="345">
        <f>IF(coder1_YH!Y274="",AQ273,coder1_YH!Y274)</f>
        <v>0.875</v>
      </c>
      <c r="AR274">
        <f>coder1_YH!AB274</f>
        <v>0</v>
      </c>
      <c r="AS274" s="345" t="str">
        <f>IF(coder1_YH!AC274 = "", AS273,IF(coder1_YH!AC274="BAU","BAU",LEFT(coder1_YH!AC274)))</f>
        <v>0</v>
      </c>
      <c r="AT274" s="345" t="str">
        <f>IF(coder1_YH!AD274 = "", AT273,IF(coder1_YH!AD274="BAU","BAU",LEFT(coder1_YH!AD274)))</f>
        <v>1</v>
      </c>
      <c r="AU274" s="345" t="str">
        <f>IF(coder1_YH!AE274 = "", AU273,IF(coder1_YH!AE274="BAU","BAU",LEFT(coder1_YH!AE274)))</f>
        <v>0</v>
      </c>
      <c r="AV274" s="345">
        <f>IF(coder1_YH!AF274="",AV273,coder1_YH!AF274)</f>
        <v>260</v>
      </c>
      <c r="AW274" s="345">
        <f t="shared" si="101"/>
        <v>4.333333333333333</v>
      </c>
      <c r="AX274" s="345">
        <f>IF(coder1_YH!AG274="",AX273,coder1_YH!AG274)</f>
        <v>13</v>
      </c>
      <c r="AY274" s="345">
        <f>IF(coder1_YH!AH274="",AY273,coder1_YH!AH274)</f>
        <v>20</v>
      </c>
      <c r="AZ274" s="345" t="str">
        <f>IF(coder1_YH!AI274 = "", AZ273, IF(coder1_YH!AI274="BAU","BAU",LEFT(coder1_YH!AI274)))</f>
        <v>1</v>
      </c>
      <c r="BA274" s="384">
        <f>clean_data!Y274</f>
        <v>16</v>
      </c>
    </row>
    <row r="275" spans="1:53" x14ac:dyDescent="0.2">
      <c r="A275">
        <f>coder1_YH!B275</f>
        <v>0</v>
      </c>
      <c r="B275">
        <f>coder1_YH!C275</f>
        <v>275</v>
      </c>
      <c r="C275">
        <f>coder1_YH!D275</f>
        <v>0</v>
      </c>
      <c r="D275" t="str">
        <f>coder1_YH!E275</f>
        <v/>
      </c>
      <c r="E275" t="str">
        <f>coder1_YH!F275</f>
        <v/>
      </c>
      <c r="F275" s="321" t="str">
        <f>IF(coder1_YH!G275="", clean_mod!F274, coder1_YH!G275)</f>
        <v>Mason, 2004</v>
      </c>
      <c r="G275" s="321" t="str">
        <f t="shared" si="86"/>
        <v>149</v>
      </c>
      <c r="H275" s="321">
        <f>IF(coder1_YH!H275="", clean_mod!H274, coder1_YH!H275)</f>
        <v>149</v>
      </c>
      <c r="I275" s="404" t="str">
        <f t="shared" si="87"/>
        <v>2004</v>
      </c>
      <c r="J275" s="344" t="str">
        <f>IF(coder1_YH!I275="",J274,coder1_YH!I275)</f>
        <v>USA</v>
      </c>
      <c r="K275" s="345">
        <f t="shared" si="88"/>
        <v>0</v>
      </c>
      <c r="L275" s="344" t="str">
        <f>IF(coder1_YH!J275 = "",L274, coder1_YH!J275)</f>
        <v>English</v>
      </c>
      <c r="M275" s="345">
        <f t="shared" si="89"/>
        <v>0</v>
      </c>
      <c r="N275" s="345" t="str">
        <f>IF(coder1_YH!K275 = "", N274, LEFT(coder1_YH!K275,1))</f>
        <v>0</v>
      </c>
      <c r="O275" s="345" t="str">
        <f>IF(coder1_YH!L275 = "", O274, LEFT(coder1_YH!L275,1))</f>
        <v>0</v>
      </c>
      <c r="P275" s="345" t="str">
        <f>IF(coder1_YH!M275 = "", P274, LEFT(coder1_YH!M275,1))</f>
        <v>0</v>
      </c>
      <c r="Q275" s="321">
        <f>coder1_YH!P275</f>
        <v>0</v>
      </c>
      <c r="R275" s="321">
        <f>coder1_YH!Q275</f>
        <v>0</v>
      </c>
      <c r="S275" s="323" t="str">
        <f t="shared" si="90"/>
        <v>N</v>
      </c>
      <c r="T275" s="323" t="str">
        <f t="shared" si="91"/>
        <v/>
      </c>
      <c r="U275" s="323" t="str">
        <f t="shared" si="92"/>
        <v>G</v>
      </c>
      <c r="V275" s="323" t="str">
        <f t="shared" si="93"/>
        <v/>
      </c>
      <c r="W275" s="323">
        <f t="shared" si="94"/>
        <v>2</v>
      </c>
      <c r="X275" s="385" t="str">
        <f>IF(coder1_YH!N275 = "",X274,coder1_YH!N275)</f>
        <v>NG</v>
      </c>
      <c r="Y275" s="385" t="str">
        <f>IF(coder1_YH!O275 = "",Y274,coder1_YH!O275)</f>
        <v xml:space="preserve">m </v>
      </c>
      <c r="Z275" s="385" t="str">
        <f t="shared" si="83"/>
        <v>M</v>
      </c>
      <c r="AA275" s="385" t="str">
        <f t="shared" si="84"/>
        <v>R</v>
      </c>
      <c r="AB275" s="385" t="str">
        <f t="shared" si="95"/>
        <v>MR</v>
      </c>
      <c r="AC275" s="323" t="str">
        <f t="shared" si="96"/>
        <v xml:space="preserve">NGm </v>
      </c>
      <c r="AD275" s="323" t="str">
        <f t="shared" si="97"/>
        <v>NG_R</v>
      </c>
      <c r="AF275" s="369" t="str">
        <f t="shared" si="98"/>
        <v xml:space="preserve">149-NGm </v>
      </c>
      <c r="AG275" s="369" t="str">
        <f t="shared" si="99"/>
        <v>149-NG_R</v>
      </c>
      <c r="AH275" s="344">
        <f>IF(coder1_YH!R275="",AH274,coder1_YH!R275)</f>
        <v>5</v>
      </c>
      <c r="AI275" s="344">
        <f t="shared" si="85"/>
        <v>5</v>
      </c>
      <c r="AJ275" s="345">
        <f t="shared" si="100"/>
        <v>0</v>
      </c>
      <c r="AK275" s="408">
        <f>IF(coder1_YH!S275="",AK274,coder1_YH!S275)</f>
        <v>10.758333333333333</v>
      </c>
      <c r="AL275" s="345">
        <f>IF(coder1_YH!T275="",AL274,IF(coder1_YH!T275="mixed",0.25,coder1_YH!T275))</f>
        <v>1</v>
      </c>
      <c r="AM275" s="345">
        <f>IF(coder1_YH!U275 = "", AM274, IF(coder1_YH!U275="mixed","NA",coder1_YH!U275))</f>
        <v>0.1875</v>
      </c>
      <c r="AN275" s="345">
        <f>IF(coder1_YH!V275="",AN274,coder1_YH!V275)</f>
        <v>0.75</v>
      </c>
      <c r="AO275" s="345" t="str">
        <f>IF(coder1_YH!W275="",AO274,coder1_YH!W275)</f>
        <v>NA</v>
      </c>
      <c r="AP275" s="345">
        <f>IF(coder1_YH!X275="",AP274,coder1_YH!X275)</f>
        <v>0.5</v>
      </c>
      <c r="AQ275" s="345">
        <f>IF(coder1_YH!Y275="",AQ274,coder1_YH!Y275)</f>
        <v>0.875</v>
      </c>
      <c r="AR275">
        <f>coder1_YH!AB275</f>
        <v>0</v>
      </c>
      <c r="AS275" s="345" t="str">
        <f>IF(coder1_YH!AC275 = "", AS274,IF(coder1_YH!AC275="BAU","BAU",LEFT(coder1_YH!AC275)))</f>
        <v>0</v>
      </c>
      <c r="AT275" s="345" t="str">
        <f>IF(coder1_YH!AD275 = "", AT274,IF(coder1_YH!AD275="BAU","BAU",LEFT(coder1_YH!AD275)))</f>
        <v>1</v>
      </c>
      <c r="AU275" s="345" t="str">
        <f>IF(coder1_YH!AE275 = "", AU274,IF(coder1_YH!AE275="BAU","BAU",LEFT(coder1_YH!AE275)))</f>
        <v>0</v>
      </c>
      <c r="AV275" s="345">
        <f>IF(coder1_YH!AF275="",AV274,coder1_YH!AF275)</f>
        <v>260</v>
      </c>
      <c r="AW275" s="345">
        <f t="shared" si="101"/>
        <v>4.333333333333333</v>
      </c>
      <c r="AX275" s="345">
        <f>IF(coder1_YH!AG275="",AX274,coder1_YH!AG275)</f>
        <v>13</v>
      </c>
      <c r="AY275" s="345">
        <f>IF(coder1_YH!AH275="",AY274,coder1_YH!AH275)</f>
        <v>20</v>
      </c>
      <c r="AZ275" s="345" t="str">
        <f>IF(coder1_YH!AI275 = "", AZ274, IF(coder1_YH!AI275="BAU","BAU",LEFT(coder1_YH!AI275)))</f>
        <v>1</v>
      </c>
      <c r="BA275" s="384">
        <f>clean_data!Y275</f>
        <v>16</v>
      </c>
    </row>
    <row r="276" spans="1:53" x14ac:dyDescent="0.2">
      <c r="A276">
        <f>coder1_YH!B276</f>
        <v>0</v>
      </c>
      <c r="B276">
        <f>coder1_YH!C276</f>
        <v>276</v>
      </c>
      <c r="C276">
        <f>coder1_YH!D276</f>
        <v>0</v>
      </c>
      <c r="D276" t="str">
        <f>coder1_YH!E276</f>
        <v/>
      </c>
      <c r="E276" t="str">
        <f>coder1_YH!F276</f>
        <v/>
      </c>
      <c r="F276" s="321" t="str">
        <f>IF(coder1_YH!G276="", clean_mod!F275, coder1_YH!G276)</f>
        <v>Mason, 2004</v>
      </c>
      <c r="G276" s="321" t="str">
        <f t="shared" si="86"/>
        <v>149</v>
      </c>
      <c r="H276" s="321">
        <f>IF(coder1_YH!H276="", clean_mod!H275, coder1_YH!H276)</f>
        <v>149</v>
      </c>
      <c r="I276" s="404" t="str">
        <f t="shared" si="87"/>
        <v>2004</v>
      </c>
      <c r="J276" s="344" t="str">
        <f>IF(coder1_YH!I276="",J275,coder1_YH!I276)</f>
        <v>USA</v>
      </c>
      <c r="K276" s="345">
        <f t="shared" si="88"/>
        <v>0</v>
      </c>
      <c r="L276" s="344" t="str">
        <f>IF(coder1_YH!J276 = "",L275, coder1_YH!J276)</f>
        <v>English</v>
      </c>
      <c r="M276" s="345">
        <f t="shared" si="89"/>
        <v>0</v>
      </c>
      <c r="N276" s="345" t="str">
        <f>IF(coder1_YH!K276 = "", N275, LEFT(coder1_YH!K276,1))</f>
        <v>0</v>
      </c>
      <c r="O276" s="345" t="str">
        <f>IF(coder1_YH!L276 = "", O275, LEFT(coder1_YH!L276,1))</f>
        <v>0</v>
      </c>
      <c r="P276" s="345" t="str">
        <f>IF(coder1_YH!M276 = "", P275, LEFT(coder1_YH!M276,1))</f>
        <v>0</v>
      </c>
      <c r="Q276" s="321">
        <f>coder1_YH!P276</f>
        <v>0</v>
      </c>
      <c r="R276" s="321">
        <f>coder1_YH!Q276</f>
        <v>0</v>
      </c>
      <c r="S276" s="323" t="str">
        <f t="shared" si="90"/>
        <v>N</v>
      </c>
      <c r="T276" s="323" t="str">
        <f t="shared" si="91"/>
        <v/>
      </c>
      <c r="U276" s="323" t="str">
        <f t="shared" si="92"/>
        <v>G</v>
      </c>
      <c r="V276" s="323" t="str">
        <f t="shared" si="93"/>
        <v/>
      </c>
      <c r="W276" s="323">
        <f t="shared" si="94"/>
        <v>2</v>
      </c>
      <c r="X276" s="385" t="str">
        <f>IF(coder1_YH!N276 = "",X275,coder1_YH!N276)</f>
        <v>NG</v>
      </c>
      <c r="Y276" s="385" t="str">
        <f>IF(coder1_YH!O276 = "",Y275,coder1_YH!O276)</f>
        <v xml:space="preserve">m </v>
      </c>
      <c r="Z276" s="385" t="str">
        <f t="shared" si="83"/>
        <v>M</v>
      </c>
      <c r="AA276" s="385" t="str">
        <f t="shared" si="84"/>
        <v>R</v>
      </c>
      <c r="AB276" s="385" t="str">
        <f t="shared" si="95"/>
        <v>MR</v>
      </c>
      <c r="AC276" s="323" t="str">
        <f t="shared" si="96"/>
        <v xml:space="preserve">NGm </v>
      </c>
      <c r="AD276" s="323" t="str">
        <f t="shared" si="97"/>
        <v>NG_R</v>
      </c>
      <c r="AF276" s="369" t="str">
        <f t="shared" si="98"/>
        <v xml:space="preserve">149-NGm </v>
      </c>
      <c r="AG276" s="369" t="str">
        <f t="shared" si="99"/>
        <v>149-NG_R</v>
      </c>
      <c r="AH276" s="344">
        <f>IF(coder1_YH!R276="",AH275,coder1_YH!R276)</f>
        <v>5</v>
      </c>
      <c r="AI276" s="344">
        <f t="shared" si="85"/>
        <v>5</v>
      </c>
      <c r="AJ276" s="345">
        <f t="shared" si="100"/>
        <v>0</v>
      </c>
      <c r="AK276" s="408">
        <f>IF(coder1_YH!S276="",AK275,coder1_YH!S276)</f>
        <v>10.758333333333333</v>
      </c>
      <c r="AL276" s="345">
        <f>IF(coder1_YH!T276="",AL275,IF(coder1_YH!T276="mixed",0.25,coder1_YH!T276))</f>
        <v>1</v>
      </c>
      <c r="AM276" s="345">
        <f>IF(coder1_YH!U276 = "", AM275, IF(coder1_YH!U276="mixed","NA",coder1_YH!U276))</f>
        <v>0.1875</v>
      </c>
      <c r="AN276" s="345">
        <f>IF(coder1_YH!V276="",AN275,coder1_YH!V276)</f>
        <v>0.75</v>
      </c>
      <c r="AO276" s="345" t="str">
        <f>IF(coder1_YH!W276="",AO275,coder1_YH!W276)</f>
        <v>NA</v>
      </c>
      <c r="AP276" s="345">
        <f>IF(coder1_YH!X276="",AP275,coder1_YH!X276)</f>
        <v>0.5</v>
      </c>
      <c r="AQ276" s="345">
        <f>IF(coder1_YH!Y276="",AQ275,coder1_YH!Y276)</f>
        <v>0.875</v>
      </c>
      <c r="AR276">
        <f>coder1_YH!AB276</f>
        <v>0</v>
      </c>
      <c r="AS276" s="345" t="str">
        <f>IF(coder1_YH!AC276 = "", AS275,IF(coder1_YH!AC276="BAU","BAU",LEFT(coder1_YH!AC276)))</f>
        <v>0</v>
      </c>
      <c r="AT276" s="345" t="str">
        <f>IF(coder1_YH!AD276 = "", AT275,IF(coder1_YH!AD276="BAU","BAU",LEFT(coder1_YH!AD276)))</f>
        <v>1</v>
      </c>
      <c r="AU276" s="345" t="str">
        <f>IF(coder1_YH!AE276 = "", AU275,IF(coder1_YH!AE276="BAU","BAU",LEFT(coder1_YH!AE276)))</f>
        <v>0</v>
      </c>
      <c r="AV276" s="345">
        <f>IF(coder1_YH!AF276="",AV275,coder1_YH!AF276)</f>
        <v>260</v>
      </c>
      <c r="AW276" s="345">
        <f t="shared" si="101"/>
        <v>4.333333333333333</v>
      </c>
      <c r="AX276" s="345">
        <f>IF(coder1_YH!AG276="",AX275,coder1_YH!AG276)</f>
        <v>13</v>
      </c>
      <c r="AY276" s="345">
        <f>IF(coder1_YH!AH276="",AY275,coder1_YH!AH276)</f>
        <v>20</v>
      </c>
      <c r="AZ276" s="345" t="str">
        <f>IF(coder1_YH!AI276 = "", AZ275, IF(coder1_YH!AI276="BAU","BAU",LEFT(coder1_YH!AI276)))</f>
        <v>1</v>
      </c>
      <c r="BA276" s="384">
        <f>clean_data!Y276</f>
        <v>16</v>
      </c>
    </row>
    <row r="277" spans="1:53" x14ac:dyDescent="0.2">
      <c r="A277">
        <f>coder1_YH!B277</f>
        <v>0</v>
      </c>
      <c r="B277">
        <f>coder1_YH!C277</f>
        <v>277</v>
      </c>
      <c r="C277">
        <f>coder1_YH!D277</f>
        <v>0</v>
      </c>
      <c r="D277" t="str">
        <f>coder1_YH!E277</f>
        <v/>
      </c>
      <c r="E277" t="str">
        <f>coder1_YH!F277</f>
        <v/>
      </c>
      <c r="F277" s="321" t="str">
        <f>IF(coder1_YH!G277="", clean_mod!F276, coder1_YH!G277)</f>
        <v>Mason, 2004</v>
      </c>
      <c r="G277" s="321" t="str">
        <f t="shared" si="86"/>
        <v>149</v>
      </c>
      <c r="H277" s="321">
        <f>IF(coder1_YH!H277="", clean_mod!H276, coder1_YH!H277)</f>
        <v>149</v>
      </c>
      <c r="I277" s="404" t="str">
        <f t="shared" si="87"/>
        <v>2004</v>
      </c>
      <c r="J277" s="344" t="str">
        <f>IF(coder1_YH!I277="",J276,coder1_YH!I277)</f>
        <v>USA</v>
      </c>
      <c r="K277" s="345">
        <f t="shared" si="88"/>
        <v>0</v>
      </c>
      <c r="L277" s="344" t="str">
        <f>IF(coder1_YH!J277 = "",L276, coder1_YH!J277)</f>
        <v>English</v>
      </c>
      <c r="M277" s="345">
        <f t="shared" si="89"/>
        <v>0</v>
      </c>
      <c r="N277" s="345" t="str">
        <f>IF(coder1_YH!K277 = "", N276, LEFT(coder1_YH!K277,1))</f>
        <v>0</v>
      </c>
      <c r="O277" s="345" t="str">
        <f>IF(coder1_YH!L277 = "", O276, LEFT(coder1_YH!L277,1))</f>
        <v>0</v>
      </c>
      <c r="P277" s="345" t="str">
        <f>IF(coder1_YH!M277 = "", P276, LEFT(coder1_YH!M277,1))</f>
        <v>0</v>
      </c>
      <c r="Q277" s="321">
        <f>coder1_YH!P277</f>
        <v>0</v>
      </c>
      <c r="R277" s="321">
        <f>coder1_YH!Q277</f>
        <v>0</v>
      </c>
      <c r="S277" s="323" t="str">
        <f t="shared" si="90"/>
        <v>N</v>
      </c>
      <c r="T277" s="323" t="str">
        <f t="shared" si="91"/>
        <v/>
      </c>
      <c r="U277" s="323" t="str">
        <f t="shared" si="92"/>
        <v>G</v>
      </c>
      <c r="V277" s="323" t="str">
        <f t="shared" si="93"/>
        <v/>
      </c>
      <c r="W277" s="323">
        <f t="shared" si="94"/>
        <v>2</v>
      </c>
      <c r="X277" s="385" t="str">
        <f>IF(coder1_YH!N277 = "",X276,coder1_YH!N277)</f>
        <v>NG</v>
      </c>
      <c r="Y277" s="385" t="str">
        <f>IF(coder1_YH!O277 = "",Y276,coder1_YH!O277)</f>
        <v xml:space="preserve">m </v>
      </c>
      <c r="Z277" s="385" t="str">
        <f t="shared" si="83"/>
        <v>M</v>
      </c>
      <c r="AA277" s="385" t="str">
        <f t="shared" si="84"/>
        <v>R</v>
      </c>
      <c r="AB277" s="385" t="str">
        <f t="shared" si="95"/>
        <v>MR</v>
      </c>
      <c r="AC277" s="323" t="str">
        <f t="shared" si="96"/>
        <v xml:space="preserve">NGm </v>
      </c>
      <c r="AD277" s="323" t="str">
        <f t="shared" si="97"/>
        <v>NG_R</v>
      </c>
      <c r="AF277" s="369" t="str">
        <f t="shared" si="98"/>
        <v xml:space="preserve">149-NGm </v>
      </c>
      <c r="AG277" s="369" t="str">
        <f t="shared" si="99"/>
        <v>149-NG_R</v>
      </c>
      <c r="AH277" s="344">
        <f>IF(coder1_YH!R277="",AH276,coder1_YH!R277)</f>
        <v>5</v>
      </c>
      <c r="AI277" s="344">
        <f t="shared" si="85"/>
        <v>5</v>
      </c>
      <c r="AJ277" s="345">
        <f t="shared" si="100"/>
        <v>0</v>
      </c>
      <c r="AK277" s="408">
        <f>IF(coder1_YH!S277="",AK276,coder1_YH!S277)</f>
        <v>10.758333333333333</v>
      </c>
      <c r="AL277" s="345">
        <f>IF(coder1_YH!T277="",AL276,IF(coder1_YH!T277="mixed",0.25,coder1_YH!T277))</f>
        <v>1</v>
      </c>
      <c r="AM277" s="345">
        <f>IF(coder1_YH!U277 = "", AM276, IF(coder1_YH!U277="mixed","NA",coder1_YH!U277))</f>
        <v>0.1875</v>
      </c>
      <c r="AN277" s="345">
        <f>IF(coder1_YH!V277="",AN276,coder1_YH!V277)</f>
        <v>0.75</v>
      </c>
      <c r="AO277" s="345" t="str">
        <f>IF(coder1_YH!W277="",AO276,coder1_YH!W277)</f>
        <v>NA</v>
      </c>
      <c r="AP277" s="345">
        <f>IF(coder1_YH!X277="",AP276,coder1_YH!X277)</f>
        <v>0.5</v>
      </c>
      <c r="AQ277" s="345">
        <f>IF(coder1_YH!Y277="",AQ276,coder1_YH!Y277)</f>
        <v>0.875</v>
      </c>
      <c r="AR277">
        <f>coder1_YH!AB277</f>
        <v>0</v>
      </c>
      <c r="AS277" s="345" t="str">
        <f>IF(coder1_YH!AC277 = "", AS276,IF(coder1_YH!AC277="BAU","BAU",LEFT(coder1_YH!AC277)))</f>
        <v>0</v>
      </c>
      <c r="AT277" s="345" t="str">
        <f>IF(coder1_YH!AD277 = "", AT276,IF(coder1_YH!AD277="BAU","BAU",LEFT(coder1_YH!AD277)))</f>
        <v>1</v>
      </c>
      <c r="AU277" s="345" t="str">
        <f>IF(coder1_YH!AE277 = "", AU276,IF(coder1_YH!AE277="BAU","BAU",LEFT(coder1_YH!AE277)))</f>
        <v>0</v>
      </c>
      <c r="AV277" s="345">
        <f>IF(coder1_YH!AF277="",AV276,coder1_YH!AF277)</f>
        <v>260</v>
      </c>
      <c r="AW277" s="345">
        <f t="shared" si="101"/>
        <v>4.333333333333333</v>
      </c>
      <c r="AX277" s="345">
        <f>IF(coder1_YH!AG277="",AX276,coder1_YH!AG277)</f>
        <v>13</v>
      </c>
      <c r="AY277" s="345">
        <f>IF(coder1_YH!AH277="",AY276,coder1_YH!AH277)</f>
        <v>20</v>
      </c>
      <c r="AZ277" s="345" t="str">
        <f>IF(coder1_YH!AI277 = "", AZ276, IF(coder1_YH!AI277="BAU","BAU",LEFT(coder1_YH!AI277)))</f>
        <v>1</v>
      </c>
      <c r="BA277" s="384">
        <f>clean_data!Y277</f>
        <v>16</v>
      </c>
    </row>
    <row r="278" spans="1:53" x14ac:dyDescent="0.2">
      <c r="A278">
        <f>coder1_YH!B278</f>
        <v>0</v>
      </c>
      <c r="B278">
        <f>coder1_YH!C278</f>
        <v>278</v>
      </c>
      <c r="C278">
        <f>coder1_YH!D278</f>
        <v>0</v>
      </c>
      <c r="D278" t="str">
        <f>coder1_YH!E278</f>
        <v/>
      </c>
      <c r="E278" t="str">
        <f>coder1_YH!F278</f>
        <v/>
      </c>
      <c r="F278" s="321" t="str">
        <f>IF(coder1_YH!G278="", clean_mod!F277, coder1_YH!G278)</f>
        <v>Mason, 2004</v>
      </c>
      <c r="G278" s="321" t="str">
        <f t="shared" si="86"/>
        <v>149</v>
      </c>
      <c r="H278" s="321">
        <f>IF(coder1_YH!H278="", clean_mod!H277, coder1_YH!H278)</f>
        <v>149</v>
      </c>
      <c r="I278" s="404" t="str">
        <f t="shared" si="87"/>
        <v>2004</v>
      </c>
      <c r="J278" s="344" t="str">
        <f>IF(coder1_YH!I278="",J277,coder1_YH!I278)</f>
        <v>USA</v>
      </c>
      <c r="K278" s="345">
        <f t="shared" si="88"/>
        <v>0</v>
      </c>
      <c r="L278" s="344" t="str">
        <f>IF(coder1_YH!J278 = "",L277, coder1_YH!J278)</f>
        <v>English</v>
      </c>
      <c r="M278" s="345">
        <f t="shared" si="89"/>
        <v>0</v>
      </c>
      <c r="N278" s="345" t="str">
        <f>IF(coder1_YH!K278 = "", N277, LEFT(coder1_YH!K278,1))</f>
        <v>0</v>
      </c>
      <c r="O278" s="345" t="str">
        <f>IF(coder1_YH!L278 = "", O277, LEFT(coder1_YH!L278,1))</f>
        <v>0</v>
      </c>
      <c r="P278" s="345" t="str">
        <f>IF(coder1_YH!M278 = "", P277, LEFT(coder1_YH!M278,1))</f>
        <v>0</v>
      </c>
      <c r="Q278" s="321">
        <f>coder1_YH!P278</f>
        <v>0</v>
      </c>
      <c r="R278" s="321">
        <f>coder1_YH!Q278</f>
        <v>0</v>
      </c>
      <c r="S278" s="323" t="str">
        <f t="shared" si="90"/>
        <v>N</v>
      </c>
      <c r="T278" s="323" t="str">
        <f t="shared" si="91"/>
        <v/>
      </c>
      <c r="U278" s="323" t="str">
        <f t="shared" si="92"/>
        <v>G</v>
      </c>
      <c r="V278" s="323" t="str">
        <f t="shared" si="93"/>
        <v/>
      </c>
      <c r="W278" s="323">
        <f t="shared" si="94"/>
        <v>2</v>
      </c>
      <c r="X278" s="385" t="str">
        <f>IF(coder1_YH!N278 = "",X277,coder1_YH!N278)</f>
        <v>NG</v>
      </c>
      <c r="Y278" s="385" t="str">
        <f>IF(coder1_YH!O278 = "",Y277,coder1_YH!O278)</f>
        <v xml:space="preserve">m </v>
      </c>
      <c r="Z278" s="385" t="str">
        <f t="shared" si="83"/>
        <v>M</v>
      </c>
      <c r="AA278" s="385" t="str">
        <f t="shared" si="84"/>
        <v>R</v>
      </c>
      <c r="AB278" s="385" t="str">
        <f t="shared" si="95"/>
        <v>MR</v>
      </c>
      <c r="AC278" s="323" t="str">
        <f t="shared" si="96"/>
        <v xml:space="preserve">NGm </v>
      </c>
      <c r="AD278" s="323" t="str">
        <f t="shared" si="97"/>
        <v>NG_R</v>
      </c>
      <c r="AF278" s="369" t="str">
        <f t="shared" si="98"/>
        <v xml:space="preserve">149-NGm </v>
      </c>
      <c r="AG278" s="369" t="str">
        <f t="shared" si="99"/>
        <v>149-NG_R</v>
      </c>
      <c r="AH278" s="344">
        <f>IF(coder1_YH!R278="",AH277,coder1_YH!R278)</f>
        <v>5</v>
      </c>
      <c r="AI278" s="344">
        <f t="shared" si="85"/>
        <v>5</v>
      </c>
      <c r="AJ278" s="345">
        <f t="shared" si="100"/>
        <v>0</v>
      </c>
      <c r="AK278" s="408">
        <f>IF(coder1_YH!S278="",AK277,coder1_YH!S278)</f>
        <v>10.758333333333333</v>
      </c>
      <c r="AL278" s="345">
        <f>IF(coder1_YH!T278="",AL277,IF(coder1_YH!T278="mixed",0.25,coder1_YH!T278))</f>
        <v>1</v>
      </c>
      <c r="AM278" s="345">
        <f>IF(coder1_YH!U278 = "", AM277, IF(coder1_YH!U278="mixed","NA",coder1_YH!U278))</f>
        <v>0.1875</v>
      </c>
      <c r="AN278" s="345">
        <f>IF(coder1_YH!V278="",AN277,coder1_YH!V278)</f>
        <v>0.75</v>
      </c>
      <c r="AO278" s="345" t="str">
        <f>IF(coder1_YH!W278="",AO277,coder1_YH!W278)</f>
        <v>NA</v>
      </c>
      <c r="AP278" s="345">
        <f>IF(coder1_YH!X278="",AP277,coder1_YH!X278)</f>
        <v>0.5</v>
      </c>
      <c r="AQ278" s="345">
        <f>IF(coder1_YH!Y278="",AQ277,coder1_YH!Y278)</f>
        <v>0.875</v>
      </c>
      <c r="AR278">
        <f>coder1_YH!AB278</f>
        <v>0</v>
      </c>
      <c r="AS278" s="345" t="str">
        <f>IF(coder1_YH!AC278 = "", AS277,IF(coder1_YH!AC278="BAU","BAU",LEFT(coder1_YH!AC278)))</f>
        <v>0</v>
      </c>
      <c r="AT278" s="345" t="str">
        <f>IF(coder1_YH!AD278 = "", AT277,IF(coder1_YH!AD278="BAU","BAU",LEFT(coder1_YH!AD278)))</f>
        <v>1</v>
      </c>
      <c r="AU278" s="345" t="str">
        <f>IF(coder1_YH!AE278 = "", AU277,IF(coder1_YH!AE278="BAU","BAU",LEFT(coder1_YH!AE278)))</f>
        <v>0</v>
      </c>
      <c r="AV278" s="345">
        <f>IF(coder1_YH!AF278="",AV277,coder1_YH!AF278)</f>
        <v>260</v>
      </c>
      <c r="AW278" s="345">
        <f t="shared" si="101"/>
        <v>4.333333333333333</v>
      </c>
      <c r="AX278" s="345">
        <f>IF(coder1_YH!AG278="",AX277,coder1_YH!AG278)</f>
        <v>13</v>
      </c>
      <c r="AY278" s="345">
        <f>IF(coder1_YH!AH278="",AY277,coder1_YH!AH278)</f>
        <v>20</v>
      </c>
      <c r="AZ278" s="345" t="str">
        <f>IF(coder1_YH!AI278 = "", AZ277, IF(coder1_YH!AI278="BAU","BAU",LEFT(coder1_YH!AI278)))</f>
        <v>1</v>
      </c>
      <c r="BA278" s="384">
        <f>clean_data!Y278</f>
        <v>16</v>
      </c>
    </row>
    <row r="279" spans="1:53" x14ac:dyDescent="0.2">
      <c r="A279">
        <f>coder1_YH!B279</f>
        <v>0</v>
      </c>
      <c r="B279">
        <f>coder1_YH!C279</f>
        <v>279</v>
      </c>
      <c r="C279">
        <f>coder1_YH!D279</f>
        <v>0</v>
      </c>
      <c r="D279" t="str">
        <f>coder1_YH!E279</f>
        <v/>
      </c>
      <c r="E279" t="str">
        <f>coder1_YH!F279</f>
        <v/>
      </c>
      <c r="F279" s="321" t="str">
        <f>IF(coder1_YH!G279="", clean_mod!F278, coder1_YH!G279)</f>
        <v>Mason, 2004</v>
      </c>
      <c r="G279" s="321" t="str">
        <f t="shared" si="86"/>
        <v>149</v>
      </c>
      <c r="H279" s="321">
        <f>IF(coder1_YH!H279="", clean_mod!H278, coder1_YH!H279)</f>
        <v>149</v>
      </c>
      <c r="I279" s="404" t="str">
        <f t="shared" si="87"/>
        <v>2004</v>
      </c>
      <c r="J279" s="344" t="str">
        <f>IF(coder1_YH!I279="",J278,coder1_YH!I279)</f>
        <v>USA</v>
      </c>
      <c r="K279" s="345">
        <f t="shared" si="88"/>
        <v>0</v>
      </c>
      <c r="L279" s="344" t="str">
        <f>IF(coder1_YH!J279 = "",L278, coder1_YH!J279)</f>
        <v>English</v>
      </c>
      <c r="M279" s="345">
        <f t="shared" si="89"/>
        <v>0</v>
      </c>
      <c r="N279" s="345" t="str">
        <f>IF(coder1_YH!K279 = "", N278, LEFT(coder1_YH!K279,1))</f>
        <v>0</v>
      </c>
      <c r="O279" s="345" t="str">
        <f>IF(coder1_YH!L279 = "", O278, LEFT(coder1_YH!L279,1))</f>
        <v>0</v>
      </c>
      <c r="P279" s="345" t="str">
        <f>IF(coder1_YH!M279 = "", P278, LEFT(coder1_YH!M279,1))</f>
        <v>0</v>
      </c>
      <c r="Q279" s="321">
        <f>coder1_YH!P279</f>
        <v>0</v>
      </c>
      <c r="R279" s="321">
        <f>coder1_YH!Q279</f>
        <v>0</v>
      </c>
      <c r="S279" s="323" t="str">
        <f t="shared" si="90"/>
        <v>N</v>
      </c>
      <c r="T279" s="323" t="str">
        <f t="shared" si="91"/>
        <v/>
      </c>
      <c r="U279" s="323" t="str">
        <f t="shared" si="92"/>
        <v>G</v>
      </c>
      <c r="V279" s="323" t="str">
        <f t="shared" si="93"/>
        <v/>
      </c>
      <c r="W279" s="323">
        <f t="shared" si="94"/>
        <v>2</v>
      </c>
      <c r="X279" s="385" t="str">
        <f>IF(coder1_YH!N279 = "",X278,coder1_YH!N279)</f>
        <v>NG</v>
      </c>
      <c r="Y279" s="385" t="str">
        <f>IF(coder1_YH!O279 = "",Y278,coder1_YH!O279)</f>
        <v xml:space="preserve">m </v>
      </c>
      <c r="Z279" s="385" t="str">
        <f t="shared" si="83"/>
        <v>M</v>
      </c>
      <c r="AA279" s="385" t="str">
        <f t="shared" si="84"/>
        <v>R</v>
      </c>
      <c r="AB279" s="385" t="str">
        <f t="shared" si="95"/>
        <v>MR</v>
      </c>
      <c r="AC279" s="323" t="str">
        <f t="shared" si="96"/>
        <v xml:space="preserve">NGm </v>
      </c>
      <c r="AD279" s="323" t="str">
        <f t="shared" si="97"/>
        <v>NG_R</v>
      </c>
      <c r="AF279" s="369" t="str">
        <f t="shared" si="98"/>
        <v xml:space="preserve">149-NGm </v>
      </c>
      <c r="AG279" s="369" t="str">
        <f t="shared" si="99"/>
        <v>149-NG_R</v>
      </c>
      <c r="AH279" s="344">
        <f>IF(coder1_YH!R279="",AH278,coder1_YH!R279)</f>
        <v>5</v>
      </c>
      <c r="AI279" s="344">
        <f t="shared" si="85"/>
        <v>5</v>
      </c>
      <c r="AJ279" s="345">
        <f t="shared" si="100"/>
        <v>0</v>
      </c>
      <c r="AK279" s="408">
        <f>IF(coder1_YH!S279="",AK278,coder1_YH!S279)</f>
        <v>10.758333333333333</v>
      </c>
      <c r="AL279" s="345">
        <f>IF(coder1_YH!T279="",AL278,IF(coder1_YH!T279="mixed",0.25,coder1_YH!T279))</f>
        <v>1</v>
      </c>
      <c r="AM279" s="345">
        <f>IF(coder1_YH!U279 = "", AM278, IF(coder1_YH!U279="mixed","NA",coder1_YH!U279))</f>
        <v>0.1875</v>
      </c>
      <c r="AN279" s="345">
        <f>IF(coder1_YH!V279="",AN278,coder1_YH!V279)</f>
        <v>0.75</v>
      </c>
      <c r="AO279" s="345" t="str">
        <f>IF(coder1_YH!W279="",AO278,coder1_YH!W279)</f>
        <v>NA</v>
      </c>
      <c r="AP279" s="345">
        <f>IF(coder1_YH!X279="",AP278,coder1_YH!X279)</f>
        <v>0.5</v>
      </c>
      <c r="AQ279" s="345">
        <f>IF(coder1_YH!Y279="",AQ278,coder1_YH!Y279)</f>
        <v>0.875</v>
      </c>
      <c r="AR279">
        <f>coder1_YH!AB279</f>
        <v>0</v>
      </c>
      <c r="AS279" s="345" t="str">
        <f>IF(coder1_YH!AC279 = "", AS278,IF(coder1_YH!AC279="BAU","BAU",LEFT(coder1_YH!AC279)))</f>
        <v>0</v>
      </c>
      <c r="AT279" s="345" t="str">
        <f>IF(coder1_YH!AD279 = "", AT278,IF(coder1_YH!AD279="BAU","BAU",LEFT(coder1_YH!AD279)))</f>
        <v>1</v>
      </c>
      <c r="AU279" s="345" t="str">
        <f>IF(coder1_YH!AE279 = "", AU278,IF(coder1_YH!AE279="BAU","BAU",LEFT(coder1_YH!AE279)))</f>
        <v>0</v>
      </c>
      <c r="AV279" s="345">
        <f>IF(coder1_YH!AF279="",AV278,coder1_YH!AF279)</f>
        <v>260</v>
      </c>
      <c r="AW279" s="345">
        <f t="shared" si="101"/>
        <v>4.333333333333333</v>
      </c>
      <c r="AX279" s="345">
        <f>IF(coder1_YH!AG279="",AX278,coder1_YH!AG279)</f>
        <v>13</v>
      </c>
      <c r="AY279" s="345">
        <f>IF(coder1_YH!AH279="",AY278,coder1_YH!AH279)</f>
        <v>20</v>
      </c>
      <c r="AZ279" s="345" t="str">
        <f>IF(coder1_YH!AI279 = "", AZ278, IF(coder1_YH!AI279="BAU","BAU",LEFT(coder1_YH!AI279)))</f>
        <v>1</v>
      </c>
      <c r="BA279" s="384">
        <f>clean_data!Y279</f>
        <v>16</v>
      </c>
    </row>
    <row r="280" spans="1:53" x14ac:dyDescent="0.2">
      <c r="A280">
        <f>coder1_YH!B280</f>
        <v>0</v>
      </c>
      <c r="B280">
        <f>coder1_YH!C280</f>
        <v>280</v>
      </c>
      <c r="C280">
        <f>coder1_YH!D280</f>
        <v>0</v>
      </c>
      <c r="D280" t="str">
        <f>coder1_YH!E280</f>
        <v/>
      </c>
      <c r="E280" t="str">
        <f>coder1_YH!F280</f>
        <v/>
      </c>
      <c r="F280" s="321" t="str">
        <f>IF(coder1_YH!G280="", clean_mod!F279, coder1_YH!G280)</f>
        <v>Mason, 2004</v>
      </c>
      <c r="G280" s="321" t="str">
        <f t="shared" si="86"/>
        <v>149</v>
      </c>
      <c r="H280" s="321">
        <f>IF(coder1_YH!H280="", clean_mod!H279, coder1_YH!H280)</f>
        <v>149</v>
      </c>
      <c r="I280" s="404" t="str">
        <f t="shared" si="87"/>
        <v>2004</v>
      </c>
      <c r="J280" s="344" t="str">
        <f>IF(coder1_YH!I280="",J279,coder1_YH!I280)</f>
        <v>USA</v>
      </c>
      <c r="K280" s="345">
        <f t="shared" si="88"/>
        <v>0</v>
      </c>
      <c r="L280" s="344" t="str">
        <f>IF(coder1_YH!J280 = "",L279, coder1_YH!J280)</f>
        <v>English</v>
      </c>
      <c r="M280" s="345">
        <f t="shared" si="89"/>
        <v>0</v>
      </c>
      <c r="N280" s="345" t="str">
        <f>IF(coder1_YH!K280 = "", N279, LEFT(coder1_YH!K280,1))</f>
        <v>0</v>
      </c>
      <c r="O280" s="345" t="str">
        <f>IF(coder1_YH!L280 = "", O279, LEFT(coder1_YH!L280,1))</f>
        <v>0</v>
      </c>
      <c r="P280" s="345" t="str">
        <f>IF(coder1_YH!M280 = "", P279, LEFT(coder1_YH!M280,1))</f>
        <v>0</v>
      </c>
      <c r="Q280" s="321">
        <f>coder1_YH!P280</f>
        <v>0</v>
      </c>
      <c r="R280" s="321">
        <f>coder1_YH!Q280</f>
        <v>0</v>
      </c>
      <c r="S280" s="323" t="str">
        <f t="shared" si="90"/>
        <v>N</v>
      </c>
      <c r="T280" s="323" t="str">
        <f t="shared" si="91"/>
        <v/>
      </c>
      <c r="U280" s="323" t="str">
        <f t="shared" si="92"/>
        <v>G</v>
      </c>
      <c r="V280" s="323" t="str">
        <f t="shared" si="93"/>
        <v/>
      </c>
      <c r="W280" s="323">
        <f t="shared" si="94"/>
        <v>2</v>
      </c>
      <c r="X280" s="385" t="str">
        <f>IF(coder1_YH!N280 = "",X279,coder1_YH!N280)</f>
        <v>NG</v>
      </c>
      <c r="Y280" s="385" t="str">
        <f>IF(coder1_YH!O280 = "",Y279,coder1_YH!O280)</f>
        <v xml:space="preserve">m </v>
      </c>
      <c r="Z280" s="385" t="str">
        <f t="shared" si="83"/>
        <v>M</v>
      </c>
      <c r="AA280" s="385" t="str">
        <f t="shared" si="84"/>
        <v>R</v>
      </c>
      <c r="AB280" s="385" t="str">
        <f t="shared" si="95"/>
        <v>MR</v>
      </c>
      <c r="AC280" s="323" t="str">
        <f t="shared" si="96"/>
        <v xml:space="preserve">NGm </v>
      </c>
      <c r="AD280" s="323" t="str">
        <f t="shared" si="97"/>
        <v>NG_R</v>
      </c>
      <c r="AF280" s="369" t="str">
        <f t="shared" si="98"/>
        <v xml:space="preserve">149-NGm </v>
      </c>
      <c r="AG280" s="369" t="str">
        <f t="shared" si="99"/>
        <v>149-NG_R</v>
      </c>
      <c r="AH280" s="344">
        <f>IF(coder1_YH!R280="",AH279,coder1_YH!R280)</f>
        <v>5</v>
      </c>
      <c r="AI280" s="344">
        <f t="shared" si="85"/>
        <v>5</v>
      </c>
      <c r="AJ280" s="345">
        <f t="shared" si="100"/>
        <v>0</v>
      </c>
      <c r="AK280" s="408">
        <f>IF(coder1_YH!S280="",AK279,coder1_YH!S280)</f>
        <v>10.758333333333333</v>
      </c>
      <c r="AL280" s="345">
        <f>IF(coder1_YH!T280="",AL279,IF(coder1_YH!T280="mixed",0.25,coder1_YH!T280))</f>
        <v>1</v>
      </c>
      <c r="AM280" s="345">
        <f>IF(coder1_YH!U280 = "", AM279, IF(coder1_YH!U280="mixed","NA",coder1_YH!U280))</f>
        <v>0.1875</v>
      </c>
      <c r="AN280" s="345">
        <f>IF(coder1_YH!V280="",AN279,coder1_YH!V280)</f>
        <v>0.75</v>
      </c>
      <c r="AO280" s="345" t="str">
        <f>IF(coder1_YH!W280="",AO279,coder1_YH!W280)</f>
        <v>NA</v>
      </c>
      <c r="AP280" s="345">
        <f>IF(coder1_YH!X280="",AP279,coder1_YH!X280)</f>
        <v>0.5</v>
      </c>
      <c r="AQ280" s="345">
        <f>IF(coder1_YH!Y280="",AQ279,coder1_YH!Y280)</f>
        <v>0.875</v>
      </c>
      <c r="AR280">
        <f>coder1_YH!AB280</f>
        <v>0</v>
      </c>
      <c r="AS280" s="345" t="str">
        <f>IF(coder1_YH!AC280 = "", AS279,IF(coder1_YH!AC280="BAU","BAU",LEFT(coder1_YH!AC280)))</f>
        <v>0</v>
      </c>
      <c r="AT280" s="345" t="str">
        <f>IF(coder1_YH!AD280 = "", AT279,IF(coder1_YH!AD280="BAU","BAU",LEFT(coder1_YH!AD280)))</f>
        <v>1</v>
      </c>
      <c r="AU280" s="345" t="str">
        <f>IF(coder1_YH!AE280 = "", AU279,IF(coder1_YH!AE280="BAU","BAU",LEFT(coder1_YH!AE280)))</f>
        <v>0</v>
      </c>
      <c r="AV280" s="345">
        <f>IF(coder1_YH!AF280="",AV279,coder1_YH!AF280)</f>
        <v>260</v>
      </c>
      <c r="AW280" s="345">
        <f t="shared" si="101"/>
        <v>4.333333333333333</v>
      </c>
      <c r="AX280" s="345">
        <f>IF(coder1_YH!AG280="",AX279,coder1_YH!AG280)</f>
        <v>13</v>
      </c>
      <c r="AY280" s="345">
        <f>IF(coder1_YH!AH280="",AY279,coder1_YH!AH280)</f>
        <v>20</v>
      </c>
      <c r="AZ280" s="345" t="str">
        <f>IF(coder1_YH!AI280 = "", AZ279, IF(coder1_YH!AI280="BAU","BAU",LEFT(coder1_YH!AI280)))</f>
        <v>1</v>
      </c>
      <c r="BA280" s="384">
        <f>clean_data!Y280</f>
        <v>16</v>
      </c>
    </row>
    <row r="281" spans="1:53" x14ac:dyDescent="0.2">
      <c r="A281">
        <f>coder1_YH!B281</f>
        <v>0</v>
      </c>
      <c r="B281">
        <f>coder1_YH!C281</f>
        <v>281</v>
      </c>
      <c r="C281">
        <f>coder1_YH!D281</f>
        <v>0</v>
      </c>
      <c r="D281" t="str">
        <f>coder1_YH!E281</f>
        <v/>
      </c>
      <c r="E281" t="str">
        <f>coder1_YH!F281</f>
        <v/>
      </c>
      <c r="F281" s="321" t="str">
        <f>IF(coder1_YH!G281="", clean_mod!F280, coder1_YH!G281)</f>
        <v>Mason, 2004</v>
      </c>
      <c r="G281" s="321" t="str">
        <f t="shared" si="86"/>
        <v>149</v>
      </c>
      <c r="H281" s="321">
        <f>IF(coder1_YH!H281="", clean_mod!H280, coder1_YH!H281)</f>
        <v>149</v>
      </c>
      <c r="I281" s="404" t="str">
        <f t="shared" si="87"/>
        <v>2004</v>
      </c>
      <c r="J281" s="344" t="str">
        <f>IF(coder1_YH!I281="",J280,coder1_YH!I281)</f>
        <v>USA</v>
      </c>
      <c r="K281" s="345">
        <f t="shared" si="88"/>
        <v>0</v>
      </c>
      <c r="L281" s="344" t="str">
        <f>IF(coder1_YH!J281 = "",L280, coder1_YH!J281)</f>
        <v>English</v>
      </c>
      <c r="M281" s="345">
        <f t="shared" si="89"/>
        <v>0</v>
      </c>
      <c r="N281" s="345" t="str">
        <f>IF(coder1_YH!K281 = "", N280, LEFT(coder1_YH!K281,1))</f>
        <v>0</v>
      </c>
      <c r="O281" s="345" t="str">
        <f>IF(coder1_YH!L281 = "", O280, LEFT(coder1_YH!L281,1))</f>
        <v>0</v>
      </c>
      <c r="P281" s="345" t="str">
        <f>IF(coder1_YH!M281 = "", P280, LEFT(coder1_YH!M281,1))</f>
        <v>0</v>
      </c>
      <c r="Q281" s="321">
        <f>coder1_YH!P281</f>
        <v>0</v>
      </c>
      <c r="R281" s="321">
        <f>coder1_YH!Q281</f>
        <v>0</v>
      </c>
      <c r="S281" s="323" t="str">
        <f t="shared" si="90"/>
        <v>N</v>
      </c>
      <c r="T281" s="323" t="str">
        <f t="shared" si="91"/>
        <v/>
      </c>
      <c r="U281" s="323" t="str">
        <f t="shared" si="92"/>
        <v>G</v>
      </c>
      <c r="V281" s="323" t="str">
        <f t="shared" si="93"/>
        <v/>
      </c>
      <c r="W281" s="323">
        <f t="shared" si="94"/>
        <v>2</v>
      </c>
      <c r="X281" s="385" t="str">
        <f>IF(coder1_YH!N281 = "",X280,coder1_YH!N281)</f>
        <v>NG</v>
      </c>
      <c r="Y281" s="385" t="str">
        <f>IF(coder1_YH!O281 = "",Y280,coder1_YH!O281)</f>
        <v xml:space="preserve">m </v>
      </c>
      <c r="Z281" s="385" t="str">
        <f t="shared" si="83"/>
        <v>M</v>
      </c>
      <c r="AA281" s="385" t="str">
        <f t="shared" si="84"/>
        <v>R</v>
      </c>
      <c r="AB281" s="385" t="str">
        <f t="shared" si="95"/>
        <v>MR</v>
      </c>
      <c r="AC281" s="323" t="str">
        <f t="shared" si="96"/>
        <v xml:space="preserve">NGm </v>
      </c>
      <c r="AD281" s="323" t="str">
        <f t="shared" si="97"/>
        <v>NG_R</v>
      </c>
      <c r="AF281" s="369" t="str">
        <f t="shared" si="98"/>
        <v xml:space="preserve">149-NGm </v>
      </c>
      <c r="AG281" s="369" t="str">
        <f t="shared" si="99"/>
        <v>149-NG_R</v>
      </c>
      <c r="AH281" s="344">
        <f>IF(coder1_YH!R281="",AH280,coder1_YH!R281)</f>
        <v>5</v>
      </c>
      <c r="AI281" s="344">
        <f t="shared" si="85"/>
        <v>5</v>
      </c>
      <c r="AJ281" s="345">
        <f t="shared" si="100"/>
        <v>0</v>
      </c>
      <c r="AK281" s="408">
        <f>IF(coder1_YH!S281="",AK280,coder1_YH!S281)</f>
        <v>10.758333333333333</v>
      </c>
      <c r="AL281" s="345">
        <f>IF(coder1_YH!T281="",AL280,IF(coder1_YH!T281="mixed",0.25,coder1_YH!T281))</f>
        <v>1</v>
      </c>
      <c r="AM281" s="345">
        <f>IF(coder1_YH!U281 = "", AM280, IF(coder1_YH!U281="mixed","NA",coder1_YH!U281))</f>
        <v>0.1875</v>
      </c>
      <c r="AN281" s="345">
        <f>IF(coder1_YH!V281="",AN280,coder1_YH!V281)</f>
        <v>0.75</v>
      </c>
      <c r="AO281" s="345" t="str">
        <f>IF(coder1_YH!W281="",AO280,coder1_YH!W281)</f>
        <v>NA</v>
      </c>
      <c r="AP281" s="345">
        <f>IF(coder1_YH!X281="",AP280,coder1_YH!X281)</f>
        <v>0.5</v>
      </c>
      <c r="AQ281" s="345">
        <f>IF(coder1_YH!Y281="",AQ280,coder1_YH!Y281)</f>
        <v>0.875</v>
      </c>
      <c r="AR281">
        <f>coder1_YH!AB281</f>
        <v>0</v>
      </c>
      <c r="AS281" s="345" t="str">
        <f>IF(coder1_YH!AC281 = "", AS280,IF(coder1_YH!AC281="BAU","BAU",LEFT(coder1_YH!AC281)))</f>
        <v>0</v>
      </c>
      <c r="AT281" s="345" t="str">
        <f>IF(coder1_YH!AD281 = "", AT280,IF(coder1_YH!AD281="BAU","BAU",LEFT(coder1_YH!AD281)))</f>
        <v>1</v>
      </c>
      <c r="AU281" s="345" t="str">
        <f>IF(coder1_YH!AE281 = "", AU280,IF(coder1_YH!AE281="BAU","BAU",LEFT(coder1_YH!AE281)))</f>
        <v>0</v>
      </c>
      <c r="AV281" s="345">
        <f>IF(coder1_YH!AF281="",AV280,coder1_YH!AF281)</f>
        <v>260</v>
      </c>
      <c r="AW281" s="345">
        <f t="shared" si="101"/>
        <v>4.333333333333333</v>
      </c>
      <c r="AX281" s="345">
        <f>IF(coder1_YH!AG281="",AX280,coder1_YH!AG281)</f>
        <v>13</v>
      </c>
      <c r="AY281" s="345">
        <f>IF(coder1_YH!AH281="",AY280,coder1_YH!AH281)</f>
        <v>20</v>
      </c>
      <c r="AZ281" s="345" t="str">
        <f>IF(coder1_YH!AI281 = "", AZ280, IF(coder1_YH!AI281="BAU","BAU",LEFT(coder1_YH!AI281)))</f>
        <v>1</v>
      </c>
      <c r="BA281" s="384">
        <f>clean_data!Y281</f>
        <v>16</v>
      </c>
    </row>
    <row r="282" spans="1:53" x14ac:dyDescent="0.2">
      <c r="A282">
        <f>coder1_YH!B282</f>
        <v>0</v>
      </c>
      <c r="B282">
        <f>coder1_YH!C282</f>
        <v>282</v>
      </c>
      <c r="C282">
        <f>coder1_YH!D282</f>
        <v>0</v>
      </c>
      <c r="D282" t="str">
        <f>coder1_YH!E282</f>
        <v/>
      </c>
      <c r="E282" t="str">
        <f>coder1_YH!F282</f>
        <v/>
      </c>
      <c r="F282" s="321" t="str">
        <f>IF(coder1_YH!G282="", clean_mod!F281, coder1_YH!G282)</f>
        <v>Mason, 2004</v>
      </c>
      <c r="G282" s="321" t="str">
        <f t="shared" si="86"/>
        <v>149</v>
      </c>
      <c r="H282" s="321">
        <f>IF(coder1_YH!H282="", clean_mod!H281, coder1_YH!H282)</f>
        <v>149</v>
      </c>
      <c r="I282" s="404" t="str">
        <f t="shared" si="87"/>
        <v>2004</v>
      </c>
      <c r="J282" s="344" t="str">
        <f>IF(coder1_YH!I282="",J281,coder1_YH!I282)</f>
        <v>USA</v>
      </c>
      <c r="K282" s="345">
        <f t="shared" si="88"/>
        <v>0</v>
      </c>
      <c r="L282" s="344" t="str">
        <f>IF(coder1_YH!J282 = "",L281, coder1_YH!J282)</f>
        <v>English</v>
      </c>
      <c r="M282" s="345">
        <f t="shared" si="89"/>
        <v>0</v>
      </c>
      <c r="N282" s="345" t="str">
        <f>IF(coder1_YH!K282 = "", N281, LEFT(coder1_YH!K282,1))</f>
        <v>0</v>
      </c>
      <c r="O282" s="345" t="str">
        <f>IF(coder1_YH!L282 = "", O281, LEFT(coder1_YH!L282,1))</f>
        <v>0</v>
      </c>
      <c r="P282" s="345" t="str">
        <f>IF(coder1_YH!M282 = "", P281, LEFT(coder1_YH!M282,1))</f>
        <v>0</v>
      </c>
      <c r="Q282" s="321">
        <f>coder1_YH!P282</f>
        <v>0</v>
      </c>
      <c r="R282" s="321">
        <f>coder1_YH!Q282</f>
        <v>0</v>
      </c>
      <c r="S282" s="323" t="str">
        <f t="shared" si="90"/>
        <v>N</v>
      </c>
      <c r="T282" s="323" t="str">
        <f t="shared" si="91"/>
        <v/>
      </c>
      <c r="U282" s="323" t="str">
        <f t="shared" si="92"/>
        <v>G</v>
      </c>
      <c r="V282" s="323" t="str">
        <f t="shared" si="93"/>
        <v/>
      </c>
      <c r="W282" s="323">
        <f t="shared" si="94"/>
        <v>2</v>
      </c>
      <c r="X282" s="385" t="str">
        <f>IF(coder1_YH!N282 = "",X281,coder1_YH!N282)</f>
        <v>NG</v>
      </c>
      <c r="Y282" s="385" t="str">
        <f>IF(coder1_YH!O282 = "",Y281,coder1_YH!O282)</f>
        <v xml:space="preserve">m </v>
      </c>
      <c r="Z282" s="385" t="str">
        <f t="shared" si="83"/>
        <v>M</v>
      </c>
      <c r="AA282" s="385" t="str">
        <f t="shared" si="84"/>
        <v>R</v>
      </c>
      <c r="AB282" s="385" t="str">
        <f t="shared" si="95"/>
        <v>MR</v>
      </c>
      <c r="AC282" s="323" t="str">
        <f t="shared" si="96"/>
        <v xml:space="preserve">NGm </v>
      </c>
      <c r="AD282" s="323" t="str">
        <f t="shared" si="97"/>
        <v>NG_R</v>
      </c>
      <c r="AF282" s="369" t="str">
        <f t="shared" si="98"/>
        <v xml:space="preserve">149-NGm </v>
      </c>
      <c r="AG282" s="369" t="str">
        <f t="shared" si="99"/>
        <v>149-NG_R</v>
      </c>
      <c r="AH282" s="344">
        <f>IF(coder1_YH!R282="",AH281,coder1_YH!R282)</f>
        <v>5</v>
      </c>
      <c r="AI282" s="344">
        <f t="shared" si="85"/>
        <v>5</v>
      </c>
      <c r="AJ282" s="345">
        <f t="shared" si="100"/>
        <v>0</v>
      </c>
      <c r="AK282" s="408">
        <f>IF(coder1_YH!S282="",AK281,coder1_YH!S282)</f>
        <v>10.758333333333333</v>
      </c>
      <c r="AL282" s="345">
        <f>IF(coder1_YH!T282="",AL281,IF(coder1_YH!T282="mixed",0.25,coder1_YH!T282))</f>
        <v>1</v>
      </c>
      <c r="AM282" s="345">
        <f>IF(coder1_YH!U282 = "", AM281, IF(coder1_YH!U282="mixed","NA",coder1_YH!U282))</f>
        <v>0.1875</v>
      </c>
      <c r="AN282" s="345">
        <f>IF(coder1_YH!V282="",AN281,coder1_YH!V282)</f>
        <v>0.75</v>
      </c>
      <c r="AO282" s="345" t="str">
        <f>IF(coder1_YH!W282="",AO281,coder1_YH!W282)</f>
        <v>NA</v>
      </c>
      <c r="AP282" s="345">
        <f>IF(coder1_YH!X282="",AP281,coder1_YH!X282)</f>
        <v>0.5</v>
      </c>
      <c r="AQ282" s="345">
        <f>IF(coder1_YH!Y282="",AQ281,coder1_YH!Y282)</f>
        <v>0.875</v>
      </c>
      <c r="AR282">
        <f>coder1_YH!AB282</f>
        <v>0</v>
      </c>
      <c r="AS282" s="345" t="str">
        <f>IF(coder1_YH!AC282 = "", AS281,IF(coder1_YH!AC282="BAU","BAU",LEFT(coder1_YH!AC282)))</f>
        <v>0</v>
      </c>
      <c r="AT282" s="345" t="str">
        <f>IF(coder1_YH!AD282 = "", AT281,IF(coder1_YH!AD282="BAU","BAU",LEFT(coder1_YH!AD282)))</f>
        <v>1</v>
      </c>
      <c r="AU282" s="345" t="str">
        <f>IF(coder1_YH!AE282 = "", AU281,IF(coder1_YH!AE282="BAU","BAU",LEFT(coder1_YH!AE282)))</f>
        <v>0</v>
      </c>
      <c r="AV282" s="345">
        <f>IF(coder1_YH!AF282="",AV281,coder1_YH!AF282)</f>
        <v>260</v>
      </c>
      <c r="AW282" s="345">
        <f t="shared" si="101"/>
        <v>4.333333333333333</v>
      </c>
      <c r="AX282" s="345">
        <f>IF(coder1_YH!AG282="",AX281,coder1_YH!AG282)</f>
        <v>13</v>
      </c>
      <c r="AY282" s="345">
        <f>IF(coder1_YH!AH282="",AY281,coder1_YH!AH282)</f>
        <v>20</v>
      </c>
      <c r="AZ282" s="345" t="str">
        <f>IF(coder1_YH!AI282 = "", AZ281, IF(coder1_YH!AI282="BAU","BAU",LEFT(coder1_YH!AI282)))</f>
        <v>1</v>
      </c>
      <c r="BA282" s="384">
        <f>clean_data!Y282</f>
        <v>16</v>
      </c>
    </row>
    <row r="283" spans="1:53" x14ac:dyDescent="0.2">
      <c r="A283">
        <f>coder1_YH!B283</f>
        <v>0</v>
      </c>
      <c r="B283">
        <f>coder1_YH!C283</f>
        <v>283</v>
      </c>
      <c r="C283">
        <f>coder1_YH!D283</f>
        <v>0</v>
      </c>
      <c r="D283" t="str">
        <f>coder1_YH!E283</f>
        <v/>
      </c>
      <c r="E283" t="str">
        <f>coder1_YH!F283</f>
        <v/>
      </c>
      <c r="F283" s="321" t="str">
        <f>IF(coder1_YH!G283="", clean_mod!F282, coder1_YH!G283)</f>
        <v>Mason, 2004</v>
      </c>
      <c r="G283" s="321" t="str">
        <f t="shared" si="86"/>
        <v>149</v>
      </c>
      <c r="H283" s="321">
        <f>IF(coder1_YH!H283="", clean_mod!H282, coder1_YH!H283)</f>
        <v>149</v>
      </c>
      <c r="I283" s="404" t="str">
        <f t="shared" si="87"/>
        <v>2004</v>
      </c>
      <c r="J283" s="344" t="str">
        <f>IF(coder1_YH!I283="",J282,coder1_YH!I283)</f>
        <v>USA</v>
      </c>
      <c r="K283" s="345">
        <f t="shared" si="88"/>
        <v>0</v>
      </c>
      <c r="L283" s="344" t="str">
        <f>IF(coder1_YH!J283 = "",L282, coder1_YH!J283)</f>
        <v>English</v>
      </c>
      <c r="M283" s="345">
        <f t="shared" si="89"/>
        <v>0</v>
      </c>
      <c r="N283" s="345" t="str">
        <f>IF(coder1_YH!K283 = "", N282, LEFT(coder1_YH!K283,1))</f>
        <v>0</v>
      </c>
      <c r="O283" s="345" t="str">
        <f>IF(coder1_YH!L283 = "", O282, LEFT(coder1_YH!L283,1))</f>
        <v>0</v>
      </c>
      <c r="P283" s="345" t="str">
        <f>IF(coder1_YH!M283 = "", P282, LEFT(coder1_YH!M283,1))</f>
        <v>0</v>
      </c>
      <c r="Q283" s="321">
        <f>coder1_YH!P283</f>
        <v>0</v>
      </c>
      <c r="R283" s="321">
        <f>coder1_YH!Q283</f>
        <v>0</v>
      </c>
      <c r="S283" s="323" t="str">
        <f t="shared" si="90"/>
        <v>N</v>
      </c>
      <c r="T283" s="323" t="str">
        <f t="shared" si="91"/>
        <v/>
      </c>
      <c r="U283" s="323" t="str">
        <f t="shared" si="92"/>
        <v>G</v>
      </c>
      <c r="V283" s="323" t="str">
        <f t="shared" si="93"/>
        <v/>
      </c>
      <c r="W283" s="323">
        <f t="shared" si="94"/>
        <v>2</v>
      </c>
      <c r="X283" s="385" t="str">
        <f>IF(coder1_YH!N283 = "",X282,coder1_YH!N283)</f>
        <v>NG</v>
      </c>
      <c r="Y283" s="385" t="str">
        <f>IF(coder1_YH!O283 = "",Y282,coder1_YH!O283)</f>
        <v xml:space="preserve">m </v>
      </c>
      <c r="Z283" s="385" t="str">
        <f t="shared" si="83"/>
        <v>M</v>
      </c>
      <c r="AA283" s="385" t="str">
        <f t="shared" si="84"/>
        <v>R</v>
      </c>
      <c r="AB283" s="385" t="str">
        <f t="shared" si="95"/>
        <v>MR</v>
      </c>
      <c r="AC283" s="323" t="str">
        <f t="shared" si="96"/>
        <v xml:space="preserve">NGm </v>
      </c>
      <c r="AD283" s="323" t="str">
        <f t="shared" si="97"/>
        <v>NG_R</v>
      </c>
      <c r="AF283" s="369" t="str">
        <f t="shared" si="98"/>
        <v xml:space="preserve">149-NGm </v>
      </c>
      <c r="AG283" s="369" t="str">
        <f t="shared" si="99"/>
        <v>149-NG_R</v>
      </c>
      <c r="AH283" s="344">
        <f>IF(coder1_YH!R283="",AH282,coder1_YH!R283)</f>
        <v>5</v>
      </c>
      <c r="AI283" s="344">
        <f t="shared" si="85"/>
        <v>5</v>
      </c>
      <c r="AJ283" s="345">
        <f t="shared" si="100"/>
        <v>0</v>
      </c>
      <c r="AK283" s="408">
        <f>IF(coder1_YH!S283="",AK282,coder1_YH!S283)</f>
        <v>10.758333333333333</v>
      </c>
      <c r="AL283" s="345">
        <f>IF(coder1_YH!T283="",AL282,IF(coder1_YH!T283="mixed",0.25,coder1_YH!T283))</f>
        <v>1</v>
      </c>
      <c r="AM283" s="345">
        <f>IF(coder1_YH!U283 = "", AM282, IF(coder1_YH!U283="mixed","NA",coder1_YH!U283))</f>
        <v>0.1875</v>
      </c>
      <c r="AN283" s="345">
        <f>IF(coder1_YH!V283="",AN282,coder1_YH!V283)</f>
        <v>0.75</v>
      </c>
      <c r="AO283" s="345" t="str">
        <f>IF(coder1_YH!W283="",AO282,coder1_YH!W283)</f>
        <v>NA</v>
      </c>
      <c r="AP283" s="345">
        <f>IF(coder1_YH!X283="",AP282,coder1_YH!X283)</f>
        <v>0.5</v>
      </c>
      <c r="AQ283" s="345">
        <f>IF(coder1_YH!Y283="",AQ282,coder1_YH!Y283)</f>
        <v>0.875</v>
      </c>
      <c r="AR283">
        <f>coder1_YH!AB283</f>
        <v>0</v>
      </c>
      <c r="AS283" s="345" t="str">
        <f>IF(coder1_YH!AC283 = "", AS282,IF(coder1_YH!AC283="BAU","BAU",LEFT(coder1_YH!AC283)))</f>
        <v>0</v>
      </c>
      <c r="AT283" s="345" t="str">
        <f>IF(coder1_YH!AD283 = "", AT282,IF(coder1_YH!AD283="BAU","BAU",LEFT(coder1_YH!AD283)))</f>
        <v>1</v>
      </c>
      <c r="AU283" s="345" t="str">
        <f>IF(coder1_YH!AE283 = "", AU282,IF(coder1_YH!AE283="BAU","BAU",LEFT(coder1_YH!AE283)))</f>
        <v>0</v>
      </c>
      <c r="AV283" s="345">
        <f>IF(coder1_YH!AF283="",AV282,coder1_YH!AF283)</f>
        <v>260</v>
      </c>
      <c r="AW283" s="345">
        <f t="shared" si="101"/>
        <v>4.333333333333333</v>
      </c>
      <c r="AX283" s="345">
        <f>IF(coder1_YH!AG283="",AX282,coder1_YH!AG283)</f>
        <v>13</v>
      </c>
      <c r="AY283" s="345">
        <f>IF(coder1_YH!AH283="",AY282,coder1_YH!AH283)</f>
        <v>20</v>
      </c>
      <c r="AZ283" s="345" t="str">
        <f>IF(coder1_YH!AI283 = "", AZ282, IF(coder1_YH!AI283="BAU","BAU",LEFT(coder1_YH!AI283)))</f>
        <v>1</v>
      </c>
      <c r="BA283" s="384">
        <f>clean_data!Y283</f>
        <v>16</v>
      </c>
    </row>
    <row r="284" spans="1:53" x14ac:dyDescent="0.2">
      <c r="A284">
        <f>coder1_YH!B284</f>
        <v>0</v>
      </c>
      <c r="B284">
        <f>coder1_YH!C284</f>
        <v>284</v>
      </c>
      <c r="C284">
        <f>coder1_YH!D284</f>
        <v>0</v>
      </c>
      <c r="D284" t="str">
        <f>coder1_YH!E284</f>
        <v/>
      </c>
      <c r="E284" t="str">
        <f>coder1_YH!F284</f>
        <v/>
      </c>
      <c r="F284" s="321" t="str">
        <f>IF(coder1_YH!G284="", clean_mod!F283, coder1_YH!G284)</f>
        <v>Mason, 2004</v>
      </c>
      <c r="G284" s="321" t="str">
        <f t="shared" si="86"/>
        <v>149</v>
      </c>
      <c r="H284" s="321">
        <f>IF(coder1_YH!H284="", clean_mod!H283, coder1_YH!H284)</f>
        <v>149</v>
      </c>
      <c r="I284" s="404" t="str">
        <f t="shared" si="87"/>
        <v>2004</v>
      </c>
      <c r="J284" s="344" t="str">
        <f>IF(coder1_YH!I284="",J283,coder1_YH!I284)</f>
        <v>USA</v>
      </c>
      <c r="K284" s="345">
        <f t="shared" si="88"/>
        <v>0</v>
      </c>
      <c r="L284" s="344" t="str">
        <f>IF(coder1_YH!J284 = "",L283, coder1_YH!J284)</f>
        <v>English</v>
      </c>
      <c r="M284" s="345">
        <f t="shared" si="89"/>
        <v>0</v>
      </c>
      <c r="N284" s="345" t="str">
        <f>IF(coder1_YH!K284 = "", N283, LEFT(coder1_YH!K284,1))</f>
        <v>0</v>
      </c>
      <c r="O284" s="345" t="str">
        <f>IF(coder1_YH!L284 = "", O283, LEFT(coder1_YH!L284,1))</f>
        <v>0</v>
      </c>
      <c r="P284" s="345" t="str">
        <f>IF(coder1_YH!M284 = "", P283, LEFT(coder1_YH!M284,1))</f>
        <v>0</v>
      </c>
      <c r="Q284" s="321">
        <f>coder1_YH!P284</f>
        <v>0</v>
      </c>
      <c r="R284" s="321">
        <f>coder1_YH!Q284</f>
        <v>0</v>
      </c>
      <c r="S284" s="323" t="str">
        <f t="shared" si="90"/>
        <v>N</v>
      </c>
      <c r="T284" s="323" t="str">
        <f t="shared" si="91"/>
        <v/>
      </c>
      <c r="U284" s="323" t="str">
        <f t="shared" si="92"/>
        <v>G</v>
      </c>
      <c r="V284" s="323" t="str">
        <f t="shared" si="93"/>
        <v/>
      </c>
      <c r="W284" s="323">
        <f t="shared" si="94"/>
        <v>2</v>
      </c>
      <c r="X284" s="385" t="str">
        <f>IF(coder1_YH!N284 = "",X283,coder1_YH!N284)</f>
        <v>NG</v>
      </c>
      <c r="Y284" s="385" t="str">
        <f>IF(coder1_YH!O284 = "",Y283,coder1_YH!O284)</f>
        <v xml:space="preserve">m </v>
      </c>
      <c r="Z284" s="385" t="str">
        <f t="shared" si="83"/>
        <v>M</v>
      </c>
      <c r="AA284" s="385" t="str">
        <f t="shared" si="84"/>
        <v>R</v>
      </c>
      <c r="AB284" s="385" t="str">
        <f t="shared" si="95"/>
        <v>MR</v>
      </c>
      <c r="AC284" s="323" t="str">
        <f t="shared" si="96"/>
        <v xml:space="preserve">NGm </v>
      </c>
      <c r="AD284" s="323" t="str">
        <f t="shared" si="97"/>
        <v>NG_R</v>
      </c>
      <c r="AF284" s="369" t="str">
        <f t="shared" si="98"/>
        <v xml:space="preserve">149-NGm </v>
      </c>
      <c r="AG284" s="369" t="str">
        <f t="shared" si="99"/>
        <v>149-NG_R</v>
      </c>
      <c r="AH284" s="344">
        <f>IF(coder1_YH!R284="",AH283,coder1_YH!R284)</f>
        <v>5</v>
      </c>
      <c r="AI284" s="344">
        <f t="shared" si="85"/>
        <v>5</v>
      </c>
      <c r="AJ284" s="345">
        <f t="shared" si="100"/>
        <v>0</v>
      </c>
      <c r="AK284" s="408">
        <f>IF(coder1_YH!S284="",AK283,coder1_YH!S284)</f>
        <v>10.758333333333333</v>
      </c>
      <c r="AL284" s="345">
        <f>IF(coder1_YH!T284="",AL283,IF(coder1_YH!T284="mixed",0.25,coder1_YH!T284))</f>
        <v>1</v>
      </c>
      <c r="AM284" s="345">
        <f>IF(coder1_YH!U284 = "", AM283, IF(coder1_YH!U284="mixed","NA",coder1_YH!U284))</f>
        <v>0.1875</v>
      </c>
      <c r="AN284" s="345">
        <f>IF(coder1_YH!V284="",AN283,coder1_YH!V284)</f>
        <v>0.75</v>
      </c>
      <c r="AO284" s="345" t="str">
        <f>IF(coder1_YH!W284="",AO283,coder1_YH!W284)</f>
        <v>NA</v>
      </c>
      <c r="AP284" s="345">
        <f>IF(coder1_YH!X284="",AP283,coder1_YH!X284)</f>
        <v>0.5</v>
      </c>
      <c r="AQ284" s="345">
        <f>IF(coder1_YH!Y284="",AQ283,coder1_YH!Y284)</f>
        <v>0.875</v>
      </c>
      <c r="AR284">
        <f>coder1_YH!AB284</f>
        <v>0</v>
      </c>
      <c r="AS284" s="345" t="str">
        <f>IF(coder1_YH!AC284 = "", AS283,IF(coder1_YH!AC284="BAU","BAU",LEFT(coder1_YH!AC284)))</f>
        <v>0</v>
      </c>
      <c r="AT284" s="345" t="str">
        <f>IF(coder1_YH!AD284 = "", AT283,IF(coder1_YH!AD284="BAU","BAU",LEFT(coder1_YH!AD284)))</f>
        <v>1</v>
      </c>
      <c r="AU284" s="345" t="str">
        <f>IF(coder1_YH!AE284 = "", AU283,IF(coder1_YH!AE284="BAU","BAU",LEFT(coder1_YH!AE284)))</f>
        <v>0</v>
      </c>
      <c r="AV284" s="345">
        <f>IF(coder1_YH!AF284="",AV283,coder1_YH!AF284)</f>
        <v>260</v>
      </c>
      <c r="AW284" s="345">
        <f t="shared" si="101"/>
        <v>4.333333333333333</v>
      </c>
      <c r="AX284" s="345">
        <f>IF(coder1_YH!AG284="",AX283,coder1_YH!AG284)</f>
        <v>13</v>
      </c>
      <c r="AY284" s="345">
        <f>IF(coder1_YH!AH284="",AY283,coder1_YH!AH284)</f>
        <v>20</v>
      </c>
      <c r="AZ284" s="345" t="str">
        <f>IF(coder1_YH!AI284 = "", AZ283, IF(coder1_YH!AI284="BAU","BAU",LEFT(coder1_YH!AI284)))</f>
        <v>1</v>
      </c>
      <c r="BA284" s="384">
        <f>clean_data!Y284</f>
        <v>16</v>
      </c>
    </row>
    <row r="285" spans="1:53" x14ac:dyDescent="0.2">
      <c r="A285">
        <f>coder1_YH!B285</f>
        <v>0</v>
      </c>
      <c r="B285">
        <f>coder1_YH!C285</f>
        <v>285</v>
      </c>
      <c r="C285">
        <f>coder1_YH!D285</f>
        <v>0</v>
      </c>
      <c r="D285" t="str">
        <f>coder1_YH!E285</f>
        <v/>
      </c>
      <c r="E285" t="str">
        <f>coder1_YH!F285</f>
        <v/>
      </c>
      <c r="F285" s="321" t="str">
        <f>IF(coder1_YH!G285="", clean_mod!F284, coder1_YH!G285)</f>
        <v>Mason, 2004</v>
      </c>
      <c r="G285" s="321" t="str">
        <f t="shared" si="86"/>
        <v>149</v>
      </c>
      <c r="H285" s="321">
        <f>IF(coder1_YH!H285="", clean_mod!H284, coder1_YH!H285)</f>
        <v>149</v>
      </c>
      <c r="I285" s="404" t="str">
        <f t="shared" si="87"/>
        <v>2004</v>
      </c>
      <c r="J285" s="344" t="str">
        <f>IF(coder1_YH!I285="",J284,coder1_YH!I285)</f>
        <v>USA</v>
      </c>
      <c r="K285" s="345">
        <f t="shared" si="88"/>
        <v>0</v>
      </c>
      <c r="L285" s="344" t="str">
        <f>IF(coder1_YH!J285 = "",L284, coder1_YH!J285)</f>
        <v>English</v>
      </c>
      <c r="M285" s="345">
        <f t="shared" si="89"/>
        <v>0</v>
      </c>
      <c r="N285" s="345" t="str">
        <f>IF(coder1_YH!K285 = "", N284, LEFT(coder1_YH!K285,1))</f>
        <v>0</v>
      </c>
      <c r="O285" s="345" t="str">
        <f>IF(coder1_YH!L285 = "", O284, LEFT(coder1_YH!L285,1))</f>
        <v>0</v>
      </c>
      <c r="P285" s="345" t="str">
        <f>IF(coder1_YH!M285 = "", P284, LEFT(coder1_YH!M285,1))</f>
        <v>0</v>
      </c>
      <c r="Q285" s="321">
        <f>coder1_YH!P285</f>
        <v>0</v>
      </c>
      <c r="R285" s="321">
        <f>coder1_YH!Q285</f>
        <v>0</v>
      </c>
      <c r="S285" s="323" t="str">
        <f t="shared" si="90"/>
        <v>N</v>
      </c>
      <c r="T285" s="323" t="str">
        <f t="shared" si="91"/>
        <v/>
      </c>
      <c r="U285" s="323" t="str">
        <f t="shared" si="92"/>
        <v>G</v>
      </c>
      <c r="V285" s="323" t="str">
        <f t="shared" si="93"/>
        <v/>
      </c>
      <c r="W285" s="323">
        <f t="shared" si="94"/>
        <v>2</v>
      </c>
      <c r="X285" s="385" t="str">
        <f>IF(coder1_YH!N285 = "",X284,coder1_YH!N285)</f>
        <v>NG</v>
      </c>
      <c r="Y285" s="385" t="str">
        <f>IF(coder1_YH!O285 = "",Y284,coder1_YH!O285)</f>
        <v xml:space="preserve">m </v>
      </c>
      <c r="Z285" s="385" t="str">
        <f t="shared" si="83"/>
        <v>M</v>
      </c>
      <c r="AA285" s="385" t="str">
        <f t="shared" si="84"/>
        <v>R</v>
      </c>
      <c r="AB285" s="385" t="str">
        <f t="shared" si="95"/>
        <v>MR</v>
      </c>
      <c r="AC285" s="323" t="str">
        <f t="shared" si="96"/>
        <v xml:space="preserve">NGm </v>
      </c>
      <c r="AD285" s="323" t="str">
        <f t="shared" si="97"/>
        <v>NG_R</v>
      </c>
      <c r="AF285" s="369" t="str">
        <f t="shared" si="98"/>
        <v xml:space="preserve">149-NGm </v>
      </c>
      <c r="AG285" s="369" t="str">
        <f t="shared" si="99"/>
        <v>149-NG_R</v>
      </c>
      <c r="AH285" s="344">
        <f>IF(coder1_YH!R285="",AH284,coder1_YH!R285)</f>
        <v>5</v>
      </c>
      <c r="AI285" s="344">
        <f t="shared" si="85"/>
        <v>5</v>
      </c>
      <c r="AJ285" s="345">
        <f t="shared" si="100"/>
        <v>0</v>
      </c>
      <c r="AK285" s="408">
        <f>IF(coder1_YH!S285="",AK284,coder1_YH!S285)</f>
        <v>10.758333333333333</v>
      </c>
      <c r="AL285" s="345">
        <f>IF(coder1_YH!T285="",AL284,IF(coder1_YH!T285="mixed",0.25,coder1_YH!T285))</f>
        <v>1</v>
      </c>
      <c r="AM285" s="345">
        <f>IF(coder1_YH!U285 = "", AM284, IF(coder1_YH!U285="mixed","NA",coder1_YH!U285))</f>
        <v>0.1875</v>
      </c>
      <c r="AN285" s="345">
        <f>IF(coder1_YH!V285="",AN284,coder1_YH!V285)</f>
        <v>0.75</v>
      </c>
      <c r="AO285" s="345" t="str">
        <f>IF(coder1_YH!W285="",AO284,coder1_YH!W285)</f>
        <v>NA</v>
      </c>
      <c r="AP285" s="345">
        <f>IF(coder1_YH!X285="",AP284,coder1_YH!X285)</f>
        <v>0.5</v>
      </c>
      <c r="AQ285" s="345">
        <f>IF(coder1_YH!Y285="",AQ284,coder1_YH!Y285)</f>
        <v>0.875</v>
      </c>
      <c r="AR285">
        <f>coder1_YH!AB285</f>
        <v>0</v>
      </c>
      <c r="AS285" s="345" t="str">
        <f>IF(coder1_YH!AC285 = "", AS284,IF(coder1_YH!AC285="BAU","BAU",LEFT(coder1_YH!AC285)))</f>
        <v>0</v>
      </c>
      <c r="AT285" s="345" t="str">
        <f>IF(coder1_YH!AD285 = "", AT284,IF(coder1_YH!AD285="BAU","BAU",LEFT(coder1_YH!AD285)))</f>
        <v>1</v>
      </c>
      <c r="AU285" s="345" t="str">
        <f>IF(coder1_YH!AE285 = "", AU284,IF(coder1_YH!AE285="BAU","BAU",LEFT(coder1_YH!AE285)))</f>
        <v>0</v>
      </c>
      <c r="AV285" s="345">
        <f>IF(coder1_YH!AF285="",AV284,coder1_YH!AF285)</f>
        <v>260</v>
      </c>
      <c r="AW285" s="345">
        <f t="shared" si="101"/>
        <v>4.333333333333333</v>
      </c>
      <c r="AX285" s="345">
        <f>IF(coder1_YH!AG285="",AX284,coder1_YH!AG285)</f>
        <v>13</v>
      </c>
      <c r="AY285" s="345">
        <f>IF(coder1_YH!AH285="",AY284,coder1_YH!AH285)</f>
        <v>20</v>
      </c>
      <c r="AZ285" s="345" t="str">
        <f>IF(coder1_YH!AI285 = "", AZ284, IF(coder1_YH!AI285="BAU","BAU",LEFT(coder1_YH!AI285)))</f>
        <v>1</v>
      </c>
      <c r="BA285" s="384">
        <f>clean_data!Y285</f>
        <v>16</v>
      </c>
    </row>
    <row r="286" spans="1:53" x14ac:dyDescent="0.2">
      <c r="A286">
        <f>coder1_YH!B286</f>
        <v>0</v>
      </c>
      <c r="B286">
        <f>coder1_YH!C286</f>
        <v>286</v>
      </c>
      <c r="C286">
        <f>coder1_YH!D286</f>
        <v>0</v>
      </c>
      <c r="D286" t="str">
        <f>coder1_YH!E286</f>
        <v/>
      </c>
      <c r="E286" t="b">
        <f>coder1_YH!F286</f>
        <v>1</v>
      </c>
      <c r="F286" s="321" t="str">
        <f>IF(coder1_YH!G286="", clean_mod!F285, coder1_YH!G286)</f>
        <v>Mason, 2004</v>
      </c>
      <c r="G286" s="321" t="str">
        <f t="shared" si="86"/>
        <v>149</v>
      </c>
      <c r="H286" s="321">
        <f>IF(coder1_YH!H286="", clean_mod!H285, coder1_YH!H286)</f>
        <v>149</v>
      </c>
      <c r="I286" s="404" t="str">
        <f t="shared" si="87"/>
        <v>2004</v>
      </c>
      <c r="J286" s="344" t="str">
        <f>IF(coder1_YH!I286="",J285,coder1_YH!I286)</f>
        <v>USA</v>
      </c>
      <c r="K286" s="345">
        <f t="shared" si="88"/>
        <v>0</v>
      </c>
      <c r="L286" s="344" t="str">
        <f>IF(coder1_YH!J286 = "",L285, coder1_YH!J286)</f>
        <v>English</v>
      </c>
      <c r="M286" s="345">
        <f t="shared" si="89"/>
        <v>0</v>
      </c>
      <c r="N286" s="345" t="str">
        <f>IF(coder1_YH!K286 = "", N285, LEFT(coder1_YH!K286,1))</f>
        <v>0</v>
      </c>
      <c r="O286" s="345" t="str">
        <f>IF(coder1_YH!L286 = "", O285, LEFT(coder1_YH!L286,1))</f>
        <v>0</v>
      </c>
      <c r="P286" s="345" t="str">
        <f>IF(coder1_YH!M286 = "", P285, LEFT(coder1_YH!M286,1))</f>
        <v>0</v>
      </c>
      <c r="Q286" s="321" t="str">
        <f>coder1_YH!P286</f>
        <v>ctl</v>
      </c>
      <c r="R286" s="321" t="str">
        <f>coder1_YH!Q286</f>
        <v>RQ (reciprocal)</v>
      </c>
      <c r="S286" s="323" t="str">
        <f t="shared" si="90"/>
        <v>N</v>
      </c>
      <c r="T286" s="323" t="str">
        <f t="shared" si="91"/>
        <v/>
      </c>
      <c r="U286" s="323" t="str">
        <f t="shared" si="92"/>
        <v/>
      </c>
      <c r="V286" s="323" t="str">
        <f t="shared" si="93"/>
        <v/>
      </c>
      <c r="W286" s="323">
        <f t="shared" si="94"/>
        <v>1</v>
      </c>
      <c r="X286" s="385" t="str">
        <f>IF(coder1_YH!N286 = "",X285,coder1_YH!N286)</f>
        <v>N</v>
      </c>
      <c r="Y286" s="385" t="str">
        <f>IF(coder1_YH!O286 = "",Y285,coder1_YH!O286)</f>
        <v xml:space="preserve">m </v>
      </c>
      <c r="Z286" s="385" t="str">
        <f t="shared" si="83"/>
        <v>M</v>
      </c>
      <c r="AA286" s="385" t="str">
        <f t="shared" si="84"/>
        <v>R</v>
      </c>
      <c r="AB286" s="385" t="str">
        <f t="shared" si="95"/>
        <v>MR</v>
      </c>
      <c r="AC286" s="323" t="str">
        <f t="shared" si="96"/>
        <v xml:space="preserve">Nm </v>
      </c>
      <c r="AD286" s="323" t="str">
        <f t="shared" si="97"/>
        <v>N_R</v>
      </c>
      <c r="AF286" s="369" t="str">
        <f t="shared" si="98"/>
        <v xml:space="preserve">149-Nm </v>
      </c>
      <c r="AG286" s="369" t="str">
        <f t="shared" si="99"/>
        <v>149-N_R</v>
      </c>
      <c r="AH286" s="344">
        <f>IF(coder1_YH!R286="",AH285,coder1_YH!R286)</f>
        <v>5</v>
      </c>
      <c r="AI286" s="344">
        <f t="shared" si="85"/>
        <v>5</v>
      </c>
      <c r="AJ286" s="345">
        <f t="shared" si="100"/>
        <v>0</v>
      </c>
      <c r="AK286" s="408">
        <f>IF(coder1_YH!S286="",AK285,coder1_YH!S286)</f>
        <v>10.484999999999999</v>
      </c>
      <c r="AL286" s="345">
        <f>IF(coder1_YH!T286="",AL285,IF(coder1_YH!T286="mixed",0.25,coder1_YH!T286))</f>
        <v>1</v>
      </c>
      <c r="AM286" s="345">
        <f>IF(coder1_YH!U286 = "", AM285, IF(coder1_YH!U286="mixed","NA",coder1_YH!U286))</f>
        <v>0.125</v>
      </c>
      <c r="AN286" s="345">
        <f>IF(coder1_YH!V286="",AN285,coder1_YH!V286)</f>
        <v>0.75</v>
      </c>
      <c r="AO286" s="345" t="str">
        <f>IF(coder1_YH!W286="",AO285,coder1_YH!W286)</f>
        <v>NA</v>
      </c>
      <c r="AP286" s="345">
        <f>IF(coder1_YH!X286="",AP285,coder1_YH!X286)</f>
        <v>0.4375</v>
      </c>
      <c r="AQ286" s="345">
        <f>IF(coder1_YH!Y286="",AQ285,coder1_YH!Y286)</f>
        <v>0.9375</v>
      </c>
      <c r="AR286" t="str">
        <f>coder1_YH!AB286</f>
        <v>0 = Researcher-developed/adapted curriculum</v>
      </c>
      <c r="AS286" s="345" t="str">
        <f>IF(coder1_YH!AC286 = "", AS285,IF(coder1_YH!AC286="BAU","BAU",LEFT(coder1_YH!AC286)))</f>
        <v>0</v>
      </c>
      <c r="AT286" s="345" t="str">
        <f>IF(coder1_YH!AD286 = "", AT285,IF(coder1_YH!AD286="BAU","BAU",LEFT(coder1_YH!AD286)))</f>
        <v>1</v>
      </c>
      <c r="AU286" s="345" t="str">
        <f>IF(coder1_YH!AE286 = "", AU285,IF(coder1_YH!AE286="BAU","BAU",LEFT(coder1_YH!AE286)))</f>
        <v>0</v>
      </c>
      <c r="AV286" s="345">
        <f>IF(coder1_YH!AF286="",AV285,coder1_YH!AF286)</f>
        <v>260</v>
      </c>
      <c r="AW286" s="345">
        <f t="shared" si="101"/>
        <v>4.333333333333333</v>
      </c>
      <c r="AX286" s="345">
        <f>IF(coder1_YH!AG286="",AX285,coder1_YH!AG286)</f>
        <v>13</v>
      </c>
      <c r="AY286" s="345">
        <f>IF(coder1_YH!AH286="",AY285,coder1_YH!AH286)</f>
        <v>20</v>
      </c>
      <c r="AZ286" s="345" t="str">
        <f>IF(coder1_YH!AI286 = "", AZ285, IF(coder1_YH!AI286="BAU","BAU",LEFT(coder1_YH!AI286)))</f>
        <v>1</v>
      </c>
      <c r="BA286" s="384">
        <f>clean_data!Y286</f>
        <v>16</v>
      </c>
    </row>
    <row r="287" spans="1:53" x14ac:dyDescent="0.2">
      <c r="A287">
        <f>coder1_YH!B287</f>
        <v>0</v>
      </c>
      <c r="B287">
        <f>coder1_YH!C287</f>
        <v>287</v>
      </c>
      <c r="C287">
        <f>coder1_YH!D287</f>
        <v>0</v>
      </c>
      <c r="D287" t="str">
        <f>coder1_YH!E287</f>
        <v/>
      </c>
      <c r="E287" t="str">
        <f>coder1_YH!F287</f>
        <v/>
      </c>
      <c r="F287" s="321" t="str">
        <f>IF(coder1_YH!G287="", clean_mod!F286, coder1_YH!G287)</f>
        <v>Mason, 2004</v>
      </c>
      <c r="G287" s="321" t="str">
        <f t="shared" si="86"/>
        <v>149</v>
      </c>
      <c r="H287" s="321">
        <f>IF(coder1_YH!H287="", clean_mod!H286, coder1_YH!H287)</f>
        <v>149</v>
      </c>
      <c r="I287" s="404" t="str">
        <f t="shared" si="87"/>
        <v>2004</v>
      </c>
      <c r="J287" s="344" t="str">
        <f>IF(coder1_YH!I287="",J286,coder1_YH!I287)</f>
        <v>USA</v>
      </c>
      <c r="K287" s="345">
        <f t="shared" si="88"/>
        <v>0</v>
      </c>
      <c r="L287" s="344" t="str">
        <f>IF(coder1_YH!J287 = "",L286, coder1_YH!J287)</f>
        <v>English</v>
      </c>
      <c r="M287" s="345">
        <f t="shared" si="89"/>
        <v>0</v>
      </c>
      <c r="N287" s="345" t="str">
        <f>IF(coder1_YH!K287 = "", N286, LEFT(coder1_YH!K287,1))</f>
        <v>0</v>
      </c>
      <c r="O287" s="345" t="str">
        <f>IF(coder1_YH!L287 = "", O286, LEFT(coder1_YH!L287,1))</f>
        <v>0</v>
      </c>
      <c r="P287" s="345" t="str">
        <f>IF(coder1_YH!M287 = "", P286, LEFT(coder1_YH!M287,1))</f>
        <v>0</v>
      </c>
      <c r="Q287" s="321">
        <f>coder1_YH!P287</f>
        <v>0</v>
      </c>
      <c r="R287" s="321">
        <f>coder1_YH!Q287</f>
        <v>0</v>
      </c>
      <c r="S287" s="323" t="str">
        <f t="shared" si="90"/>
        <v>N</v>
      </c>
      <c r="T287" s="323" t="str">
        <f t="shared" si="91"/>
        <v/>
      </c>
      <c r="U287" s="323" t="str">
        <f t="shared" si="92"/>
        <v/>
      </c>
      <c r="V287" s="323" t="str">
        <f t="shared" si="93"/>
        <v/>
      </c>
      <c r="W287" s="323">
        <f t="shared" si="94"/>
        <v>1</v>
      </c>
      <c r="X287" s="385" t="str">
        <f>IF(coder1_YH!N287 = "",X286,coder1_YH!N287)</f>
        <v>N</v>
      </c>
      <c r="Y287" s="385" t="str">
        <f>IF(coder1_YH!O287 = "",Y286,coder1_YH!O287)</f>
        <v xml:space="preserve">m </v>
      </c>
      <c r="Z287" s="385" t="str">
        <f t="shared" si="83"/>
        <v>M</v>
      </c>
      <c r="AA287" s="385" t="str">
        <f t="shared" si="84"/>
        <v>R</v>
      </c>
      <c r="AB287" s="385" t="str">
        <f t="shared" si="95"/>
        <v>MR</v>
      </c>
      <c r="AC287" s="323" t="str">
        <f t="shared" si="96"/>
        <v xml:space="preserve">Nm </v>
      </c>
      <c r="AD287" s="323" t="str">
        <f t="shared" si="97"/>
        <v>N_R</v>
      </c>
      <c r="AF287" s="369" t="str">
        <f t="shared" si="98"/>
        <v xml:space="preserve">149-Nm </v>
      </c>
      <c r="AG287" s="369" t="str">
        <f t="shared" si="99"/>
        <v>149-N_R</v>
      </c>
      <c r="AH287" s="344">
        <f>IF(coder1_YH!R287="",AH286,coder1_YH!R287)</f>
        <v>5</v>
      </c>
      <c r="AI287" s="344">
        <f t="shared" si="85"/>
        <v>5</v>
      </c>
      <c r="AJ287" s="345">
        <f t="shared" si="100"/>
        <v>0</v>
      </c>
      <c r="AK287" s="408">
        <f>IF(coder1_YH!S287="",AK286,coder1_YH!S287)</f>
        <v>10.484999999999999</v>
      </c>
      <c r="AL287" s="345">
        <f>IF(coder1_YH!T287="",AL286,IF(coder1_YH!T287="mixed",0.25,coder1_YH!T287))</f>
        <v>1</v>
      </c>
      <c r="AM287" s="345">
        <f>IF(coder1_YH!U287 = "", AM286, IF(coder1_YH!U287="mixed","NA",coder1_YH!U287))</f>
        <v>0.125</v>
      </c>
      <c r="AN287" s="345">
        <f>IF(coder1_YH!V287="",AN286,coder1_YH!V287)</f>
        <v>0.75</v>
      </c>
      <c r="AO287" s="345" t="str">
        <f>IF(coder1_YH!W287="",AO286,coder1_YH!W287)</f>
        <v>NA</v>
      </c>
      <c r="AP287" s="345">
        <f>IF(coder1_YH!X287="",AP286,coder1_YH!X287)</f>
        <v>0.4375</v>
      </c>
      <c r="AQ287" s="345">
        <f>IF(coder1_YH!Y287="",AQ286,coder1_YH!Y287)</f>
        <v>0.9375</v>
      </c>
      <c r="AR287">
        <f>coder1_YH!AB287</f>
        <v>0</v>
      </c>
      <c r="AS287" s="345" t="str">
        <f>IF(coder1_YH!AC287 = "", AS286,IF(coder1_YH!AC287="BAU","BAU",LEFT(coder1_YH!AC287)))</f>
        <v>0</v>
      </c>
      <c r="AT287" s="345" t="str">
        <f>IF(coder1_YH!AD287 = "", AT286,IF(coder1_YH!AD287="BAU","BAU",LEFT(coder1_YH!AD287)))</f>
        <v>1</v>
      </c>
      <c r="AU287" s="345" t="str">
        <f>IF(coder1_YH!AE287 = "", AU286,IF(coder1_YH!AE287="BAU","BAU",LEFT(coder1_YH!AE287)))</f>
        <v>0</v>
      </c>
      <c r="AV287" s="345">
        <f>IF(coder1_YH!AF287="",AV286,coder1_YH!AF287)</f>
        <v>260</v>
      </c>
      <c r="AW287" s="345">
        <f t="shared" si="101"/>
        <v>4.333333333333333</v>
      </c>
      <c r="AX287" s="345">
        <f>IF(coder1_YH!AG287="",AX286,coder1_YH!AG287)</f>
        <v>13</v>
      </c>
      <c r="AY287" s="345">
        <f>IF(coder1_YH!AH287="",AY286,coder1_YH!AH287)</f>
        <v>20</v>
      </c>
      <c r="AZ287" s="345" t="str">
        <f>IF(coder1_YH!AI287 = "", AZ286, IF(coder1_YH!AI287="BAU","BAU",LEFT(coder1_YH!AI287)))</f>
        <v>1</v>
      </c>
      <c r="BA287" s="384">
        <f>clean_data!Y287</f>
        <v>16</v>
      </c>
    </row>
    <row r="288" spans="1:53" x14ac:dyDescent="0.2">
      <c r="A288">
        <f>coder1_YH!B288</f>
        <v>0</v>
      </c>
      <c r="B288">
        <f>coder1_YH!C288</f>
        <v>288</v>
      </c>
      <c r="C288">
        <f>coder1_YH!D288</f>
        <v>0</v>
      </c>
      <c r="D288" t="str">
        <f>coder1_YH!E288</f>
        <v/>
      </c>
      <c r="E288" t="str">
        <f>coder1_YH!F288</f>
        <v/>
      </c>
      <c r="F288" s="321" t="str">
        <f>IF(coder1_YH!G288="", clean_mod!F287, coder1_YH!G288)</f>
        <v>Mason, 2004</v>
      </c>
      <c r="G288" s="321" t="str">
        <f t="shared" si="86"/>
        <v>149</v>
      </c>
      <c r="H288" s="321">
        <f>IF(coder1_YH!H288="", clean_mod!H287, coder1_YH!H288)</f>
        <v>149</v>
      </c>
      <c r="I288" s="404" t="str">
        <f t="shared" si="87"/>
        <v>2004</v>
      </c>
      <c r="J288" s="344" t="str">
        <f>IF(coder1_YH!I288="",J287,coder1_YH!I288)</f>
        <v>USA</v>
      </c>
      <c r="K288" s="345">
        <f t="shared" si="88"/>
        <v>0</v>
      </c>
      <c r="L288" s="344" t="str">
        <f>IF(coder1_YH!J288 = "",L287, coder1_YH!J288)</f>
        <v>English</v>
      </c>
      <c r="M288" s="345">
        <f t="shared" si="89"/>
        <v>0</v>
      </c>
      <c r="N288" s="345" t="str">
        <f>IF(coder1_YH!K288 = "", N287, LEFT(coder1_YH!K288,1))</f>
        <v>0</v>
      </c>
      <c r="O288" s="345" t="str">
        <f>IF(coder1_YH!L288 = "", O287, LEFT(coder1_YH!L288,1))</f>
        <v>0</v>
      </c>
      <c r="P288" s="345" t="str">
        <f>IF(coder1_YH!M288 = "", P287, LEFT(coder1_YH!M288,1))</f>
        <v>0</v>
      </c>
      <c r="Q288" s="321">
        <f>coder1_YH!P288</f>
        <v>0</v>
      </c>
      <c r="R288" s="321">
        <f>coder1_YH!Q288</f>
        <v>0</v>
      </c>
      <c r="S288" s="323" t="str">
        <f t="shared" si="90"/>
        <v>N</v>
      </c>
      <c r="T288" s="323" t="str">
        <f t="shared" si="91"/>
        <v/>
      </c>
      <c r="U288" s="323" t="str">
        <f t="shared" si="92"/>
        <v/>
      </c>
      <c r="V288" s="323" t="str">
        <f t="shared" si="93"/>
        <v/>
      </c>
      <c r="W288" s="323">
        <f t="shared" si="94"/>
        <v>1</v>
      </c>
      <c r="X288" s="385" t="str">
        <f>IF(coder1_YH!N288 = "",X287,coder1_YH!N288)</f>
        <v>N</v>
      </c>
      <c r="Y288" s="385" t="str">
        <f>IF(coder1_YH!O288 = "",Y287,coder1_YH!O288)</f>
        <v xml:space="preserve">m </v>
      </c>
      <c r="Z288" s="385" t="str">
        <f t="shared" si="83"/>
        <v>M</v>
      </c>
      <c r="AA288" s="385" t="str">
        <f t="shared" si="84"/>
        <v>R</v>
      </c>
      <c r="AB288" s="385" t="str">
        <f t="shared" si="95"/>
        <v>MR</v>
      </c>
      <c r="AC288" s="323" t="str">
        <f t="shared" si="96"/>
        <v xml:space="preserve">Nm </v>
      </c>
      <c r="AD288" s="323" t="str">
        <f t="shared" si="97"/>
        <v>N_R</v>
      </c>
      <c r="AF288" s="369" t="str">
        <f t="shared" si="98"/>
        <v xml:space="preserve">149-Nm </v>
      </c>
      <c r="AG288" s="369" t="str">
        <f t="shared" si="99"/>
        <v>149-N_R</v>
      </c>
      <c r="AH288" s="344">
        <f>IF(coder1_YH!R288="",AH287,coder1_YH!R288)</f>
        <v>5</v>
      </c>
      <c r="AI288" s="344">
        <f t="shared" si="85"/>
        <v>5</v>
      </c>
      <c r="AJ288" s="345">
        <f t="shared" si="100"/>
        <v>0</v>
      </c>
      <c r="AK288" s="408">
        <f>IF(coder1_YH!S288="",AK287,coder1_YH!S288)</f>
        <v>10.484999999999999</v>
      </c>
      <c r="AL288" s="345">
        <f>IF(coder1_YH!T288="",AL287,IF(coder1_YH!T288="mixed",0.25,coder1_YH!T288))</f>
        <v>1</v>
      </c>
      <c r="AM288" s="345">
        <f>IF(coder1_YH!U288 = "", AM287, IF(coder1_YH!U288="mixed","NA",coder1_YH!U288))</f>
        <v>0.125</v>
      </c>
      <c r="AN288" s="345">
        <f>IF(coder1_YH!V288="",AN287,coder1_YH!V288)</f>
        <v>0.75</v>
      </c>
      <c r="AO288" s="345" t="str">
        <f>IF(coder1_YH!W288="",AO287,coder1_YH!W288)</f>
        <v>NA</v>
      </c>
      <c r="AP288" s="345">
        <f>IF(coder1_YH!X288="",AP287,coder1_YH!X288)</f>
        <v>0.4375</v>
      </c>
      <c r="AQ288" s="345">
        <f>IF(coder1_YH!Y288="",AQ287,coder1_YH!Y288)</f>
        <v>0.9375</v>
      </c>
      <c r="AR288">
        <f>coder1_YH!AB288</f>
        <v>0</v>
      </c>
      <c r="AS288" s="345" t="str">
        <f>IF(coder1_YH!AC288 = "", AS287,IF(coder1_YH!AC288="BAU","BAU",LEFT(coder1_YH!AC288)))</f>
        <v>0</v>
      </c>
      <c r="AT288" s="345" t="str">
        <f>IF(coder1_YH!AD288 = "", AT287,IF(coder1_YH!AD288="BAU","BAU",LEFT(coder1_YH!AD288)))</f>
        <v>1</v>
      </c>
      <c r="AU288" s="345" t="str">
        <f>IF(coder1_YH!AE288 = "", AU287,IF(coder1_YH!AE288="BAU","BAU",LEFT(coder1_YH!AE288)))</f>
        <v>0</v>
      </c>
      <c r="AV288" s="345">
        <f>IF(coder1_YH!AF288="",AV287,coder1_YH!AF288)</f>
        <v>260</v>
      </c>
      <c r="AW288" s="345">
        <f t="shared" si="101"/>
        <v>4.333333333333333</v>
      </c>
      <c r="AX288" s="345">
        <f>IF(coder1_YH!AG288="",AX287,coder1_YH!AG288)</f>
        <v>13</v>
      </c>
      <c r="AY288" s="345">
        <f>IF(coder1_YH!AH288="",AY287,coder1_YH!AH288)</f>
        <v>20</v>
      </c>
      <c r="AZ288" s="345" t="str">
        <f>IF(coder1_YH!AI288 = "", AZ287, IF(coder1_YH!AI288="BAU","BAU",LEFT(coder1_YH!AI288)))</f>
        <v>1</v>
      </c>
      <c r="BA288" s="384">
        <f>clean_data!Y288</f>
        <v>16</v>
      </c>
    </row>
    <row r="289" spans="1:53" x14ac:dyDescent="0.2">
      <c r="A289">
        <f>coder1_YH!B289</f>
        <v>0</v>
      </c>
      <c r="B289">
        <f>coder1_YH!C289</f>
        <v>289</v>
      </c>
      <c r="C289">
        <f>coder1_YH!D289</f>
        <v>0</v>
      </c>
      <c r="D289" t="str">
        <f>coder1_YH!E289</f>
        <v/>
      </c>
      <c r="E289" t="str">
        <f>coder1_YH!F289</f>
        <v/>
      </c>
      <c r="F289" s="321" t="str">
        <f>IF(coder1_YH!G289="", clean_mod!F288, coder1_YH!G289)</f>
        <v>Mason, 2004</v>
      </c>
      <c r="G289" s="321" t="str">
        <f t="shared" si="86"/>
        <v>149</v>
      </c>
      <c r="H289" s="321">
        <f>IF(coder1_YH!H289="", clean_mod!H288, coder1_YH!H289)</f>
        <v>149</v>
      </c>
      <c r="I289" s="404" t="str">
        <f t="shared" si="87"/>
        <v>2004</v>
      </c>
      <c r="J289" s="344" t="str">
        <f>IF(coder1_YH!I289="",J288,coder1_YH!I289)</f>
        <v>USA</v>
      </c>
      <c r="K289" s="345">
        <f t="shared" si="88"/>
        <v>0</v>
      </c>
      <c r="L289" s="344" t="str">
        <f>IF(coder1_YH!J289 = "",L288, coder1_YH!J289)</f>
        <v>English</v>
      </c>
      <c r="M289" s="345">
        <f t="shared" si="89"/>
        <v>0</v>
      </c>
      <c r="N289" s="345" t="str">
        <f>IF(coder1_YH!K289 = "", N288, LEFT(coder1_YH!K289,1))</f>
        <v>0</v>
      </c>
      <c r="O289" s="345" t="str">
        <f>IF(coder1_YH!L289 = "", O288, LEFT(coder1_YH!L289,1))</f>
        <v>0</v>
      </c>
      <c r="P289" s="345" t="str">
        <f>IF(coder1_YH!M289 = "", P288, LEFT(coder1_YH!M289,1))</f>
        <v>0</v>
      </c>
      <c r="Q289" s="321">
        <f>coder1_YH!P289</f>
        <v>0</v>
      </c>
      <c r="R289" s="321">
        <f>coder1_YH!Q289</f>
        <v>0</v>
      </c>
      <c r="S289" s="323" t="str">
        <f t="shared" si="90"/>
        <v>N</v>
      </c>
      <c r="T289" s="323" t="str">
        <f t="shared" si="91"/>
        <v/>
      </c>
      <c r="U289" s="323" t="str">
        <f t="shared" si="92"/>
        <v/>
      </c>
      <c r="V289" s="323" t="str">
        <f t="shared" si="93"/>
        <v/>
      </c>
      <c r="W289" s="323">
        <f t="shared" si="94"/>
        <v>1</v>
      </c>
      <c r="X289" s="385" t="str">
        <f>IF(coder1_YH!N289 = "",X288,coder1_YH!N289)</f>
        <v>N</v>
      </c>
      <c r="Y289" s="385" t="str">
        <f>IF(coder1_YH!O289 = "",Y288,coder1_YH!O289)</f>
        <v xml:space="preserve">m </v>
      </c>
      <c r="Z289" s="385" t="str">
        <f t="shared" si="83"/>
        <v>M</v>
      </c>
      <c r="AA289" s="385" t="str">
        <f t="shared" si="84"/>
        <v>R</v>
      </c>
      <c r="AB289" s="385" t="str">
        <f t="shared" si="95"/>
        <v>MR</v>
      </c>
      <c r="AC289" s="323" t="str">
        <f t="shared" si="96"/>
        <v xml:space="preserve">Nm </v>
      </c>
      <c r="AD289" s="323" t="str">
        <f t="shared" si="97"/>
        <v>N_R</v>
      </c>
      <c r="AF289" s="369" t="str">
        <f t="shared" si="98"/>
        <v xml:space="preserve">149-Nm </v>
      </c>
      <c r="AG289" s="369" t="str">
        <f t="shared" si="99"/>
        <v>149-N_R</v>
      </c>
      <c r="AH289" s="344">
        <f>IF(coder1_YH!R289="",AH288,coder1_YH!R289)</f>
        <v>5</v>
      </c>
      <c r="AI289" s="344">
        <f t="shared" si="85"/>
        <v>5</v>
      </c>
      <c r="AJ289" s="345">
        <f t="shared" si="100"/>
        <v>0</v>
      </c>
      <c r="AK289" s="408">
        <f>IF(coder1_YH!S289="",AK288,coder1_YH!S289)</f>
        <v>10.484999999999999</v>
      </c>
      <c r="AL289" s="345">
        <f>IF(coder1_YH!T289="",AL288,IF(coder1_YH!T289="mixed",0.25,coder1_YH!T289))</f>
        <v>1</v>
      </c>
      <c r="AM289" s="345">
        <f>IF(coder1_YH!U289 = "", AM288, IF(coder1_YH!U289="mixed","NA",coder1_YH!U289))</f>
        <v>0.125</v>
      </c>
      <c r="AN289" s="345">
        <f>IF(coder1_YH!V289="",AN288,coder1_YH!V289)</f>
        <v>0.75</v>
      </c>
      <c r="AO289" s="345" t="str">
        <f>IF(coder1_YH!W289="",AO288,coder1_YH!W289)</f>
        <v>NA</v>
      </c>
      <c r="AP289" s="345">
        <f>IF(coder1_YH!X289="",AP288,coder1_YH!X289)</f>
        <v>0.4375</v>
      </c>
      <c r="AQ289" s="345">
        <f>IF(coder1_YH!Y289="",AQ288,coder1_YH!Y289)</f>
        <v>0.9375</v>
      </c>
      <c r="AR289">
        <f>coder1_YH!AB289</f>
        <v>0</v>
      </c>
      <c r="AS289" s="345" t="str">
        <f>IF(coder1_YH!AC289 = "", AS288,IF(coder1_YH!AC289="BAU","BAU",LEFT(coder1_YH!AC289)))</f>
        <v>0</v>
      </c>
      <c r="AT289" s="345" t="str">
        <f>IF(coder1_YH!AD289 = "", AT288,IF(coder1_YH!AD289="BAU","BAU",LEFT(coder1_YH!AD289)))</f>
        <v>1</v>
      </c>
      <c r="AU289" s="345" t="str">
        <f>IF(coder1_YH!AE289 = "", AU288,IF(coder1_YH!AE289="BAU","BAU",LEFT(coder1_YH!AE289)))</f>
        <v>0</v>
      </c>
      <c r="AV289" s="345">
        <f>IF(coder1_YH!AF289="",AV288,coder1_YH!AF289)</f>
        <v>260</v>
      </c>
      <c r="AW289" s="345">
        <f t="shared" si="101"/>
        <v>4.333333333333333</v>
      </c>
      <c r="AX289" s="345">
        <f>IF(coder1_YH!AG289="",AX288,coder1_YH!AG289)</f>
        <v>13</v>
      </c>
      <c r="AY289" s="345">
        <f>IF(coder1_YH!AH289="",AY288,coder1_YH!AH289)</f>
        <v>20</v>
      </c>
      <c r="AZ289" s="345" t="str">
        <f>IF(coder1_YH!AI289 = "", AZ288, IF(coder1_YH!AI289="BAU","BAU",LEFT(coder1_YH!AI289)))</f>
        <v>1</v>
      </c>
      <c r="BA289" s="384">
        <f>clean_data!Y289</f>
        <v>16</v>
      </c>
    </row>
    <row r="290" spans="1:53" x14ac:dyDescent="0.2">
      <c r="A290">
        <f>coder1_YH!B290</f>
        <v>0</v>
      </c>
      <c r="B290">
        <f>coder1_YH!C290</f>
        <v>290</v>
      </c>
      <c r="C290">
        <f>coder1_YH!D290</f>
        <v>0</v>
      </c>
      <c r="D290" t="str">
        <f>coder1_YH!E290</f>
        <v/>
      </c>
      <c r="E290" t="str">
        <f>coder1_YH!F290</f>
        <v/>
      </c>
      <c r="F290" s="321" t="str">
        <f>IF(coder1_YH!G290="", clean_mod!F289, coder1_YH!G290)</f>
        <v>Mason, 2004</v>
      </c>
      <c r="G290" s="321" t="str">
        <f t="shared" si="86"/>
        <v>149</v>
      </c>
      <c r="H290" s="321">
        <f>IF(coder1_YH!H290="", clean_mod!H289, coder1_YH!H290)</f>
        <v>149</v>
      </c>
      <c r="I290" s="404" t="str">
        <f t="shared" si="87"/>
        <v>2004</v>
      </c>
      <c r="J290" s="344" t="str">
        <f>IF(coder1_YH!I290="",J289,coder1_YH!I290)</f>
        <v>USA</v>
      </c>
      <c r="K290" s="345">
        <f t="shared" si="88"/>
        <v>0</v>
      </c>
      <c r="L290" s="344" t="str">
        <f>IF(coder1_YH!J290 = "",L289, coder1_YH!J290)</f>
        <v>English</v>
      </c>
      <c r="M290" s="345">
        <f t="shared" si="89"/>
        <v>0</v>
      </c>
      <c r="N290" s="345" t="str">
        <f>IF(coder1_YH!K290 = "", N289, LEFT(coder1_YH!K290,1))</f>
        <v>0</v>
      </c>
      <c r="O290" s="345" t="str">
        <f>IF(coder1_YH!L290 = "", O289, LEFT(coder1_YH!L290,1))</f>
        <v>0</v>
      </c>
      <c r="P290" s="345" t="str">
        <f>IF(coder1_YH!M290 = "", P289, LEFT(coder1_YH!M290,1))</f>
        <v>0</v>
      </c>
      <c r="Q290" s="321">
        <f>coder1_YH!P290</f>
        <v>0</v>
      </c>
      <c r="R290" s="321">
        <f>coder1_YH!Q290</f>
        <v>0</v>
      </c>
      <c r="S290" s="323" t="str">
        <f t="shared" si="90"/>
        <v>N</v>
      </c>
      <c r="T290" s="323" t="str">
        <f t="shared" si="91"/>
        <v/>
      </c>
      <c r="U290" s="323" t="str">
        <f t="shared" si="92"/>
        <v/>
      </c>
      <c r="V290" s="323" t="str">
        <f t="shared" si="93"/>
        <v/>
      </c>
      <c r="W290" s="323">
        <f t="shared" si="94"/>
        <v>1</v>
      </c>
      <c r="X290" s="385" t="str">
        <f>IF(coder1_YH!N290 = "",X289,coder1_YH!N290)</f>
        <v>N</v>
      </c>
      <c r="Y290" s="385" t="str">
        <f>IF(coder1_YH!O290 = "",Y289,coder1_YH!O290)</f>
        <v xml:space="preserve">m </v>
      </c>
      <c r="Z290" s="385" t="str">
        <f t="shared" si="83"/>
        <v>M</v>
      </c>
      <c r="AA290" s="385" t="str">
        <f t="shared" si="84"/>
        <v>R</v>
      </c>
      <c r="AB290" s="385" t="str">
        <f t="shared" si="95"/>
        <v>MR</v>
      </c>
      <c r="AC290" s="323" t="str">
        <f t="shared" si="96"/>
        <v xml:space="preserve">Nm </v>
      </c>
      <c r="AD290" s="323" t="str">
        <f t="shared" si="97"/>
        <v>N_R</v>
      </c>
      <c r="AF290" s="369" t="str">
        <f t="shared" si="98"/>
        <v xml:space="preserve">149-Nm </v>
      </c>
      <c r="AG290" s="369" t="str">
        <f t="shared" si="99"/>
        <v>149-N_R</v>
      </c>
      <c r="AH290" s="344">
        <f>IF(coder1_YH!R290="",AH289,coder1_YH!R290)</f>
        <v>5</v>
      </c>
      <c r="AI290" s="344">
        <f t="shared" si="85"/>
        <v>5</v>
      </c>
      <c r="AJ290" s="345">
        <f t="shared" si="100"/>
        <v>0</v>
      </c>
      <c r="AK290" s="408">
        <f>IF(coder1_YH!S290="",AK289,coder1_YH!S290)</f>
        <v>10.484999999999999</v>
      </c>
      <c r="AL290" s="345">
        <f>IF(coder1_YH!T290="",AL289,IF(coder1_YH!T290="mixed",0.25,coder1_YH!T290))</f>
        <v>1</v>
      </c>
      <c r="AM290" s="345">
        <f>IF(coder1_YH!U290 = "", AM289, IF(coder1_YH!U290="mixed","NA",coder1_YH!U290))</f>
        <v>0.125</v>
      </c>
      <c r="AN290" s="345">
        <f>IF(coder1_YH!V290="",AN289,coder1_YH!V290)</f>
        <v>0.75</v>
      </c>
      <c r="AO290" s="345" t="str">
        <f>IF(coder1_YH!W290="",AO289,coder1_YH!W290)</f>
        <v>NA</v>
      </c>
      <c r="AP290" s="345">
        <f>IF(coder1_YH!X290="",AP289,coder1_YH!X290)</f>
        <v>0.4375</v>
      </c>
      <c r="AQ290" s="345">
        <f>IF(coder1_YH!Y290="",AQ289,coder1_YH!Y290)</f>
        <v>0.9375</v>
      </c>
      <c r="AR290">
        <f>coder1_YH!AB290</f>
        <v>0</v>
      </c>
      <c r="AS290" s="345" t="str">
        <f>IF(coder1_YH!AC290 = "", AS289,IF(coder1_YH!AC290="BAU","BAU",LEFT(coder1_YH!AC290)))</f>
        <v>0</v>
      </c>
      <c r="AT290" s="345" t="str">
        <f>IF(coder1_YH!AD290 = "", AT289,IF(coder1_YH!AD290="BAU","BAU",LEFT(coder1_YH!AD290)))</f>
        <v>1</v>
      </c>
      <c r="AU290" s="345" t="str">
        <f>IF(coder1_YH!AE290 = "", AU289,IF(coder1_YH!AE290="BAU","BAU",LEFT(coder1_YH!AE290)))</f>
        <v>0</v>
      </c>
      <c r="AV290" s="345">
        <f>IF(coder1_YH!AF290="",AV289,coder1_YH!AF290)</f>
        <v>260</v>
      </c>
      <c r="AW290" s="345">
        <f t="shared" si="101"/>
        <v>4.333333333333333</v>
      </c>
      <c r="AX290" s="345">
        <f>IF(coder1_YH!AG290="",AX289,coder1_YH!AG290)</f>
        <v>13</v>
      </c>
      <c r="AY290" s="345">
        <f>IF(coder1_YH!AH290="",AY289,coder1_YH!AH290)</f>
        <v>20</v>
      </c>
      <c r="AZ290" s="345" t="str">
        <f>IF(coder1_YH!AI290 = "", AZ289, IF(coder1_YH!AI290="BAU","BAU",LEFT(coder1_YH!AI290)))</f>
        <v>1</v>
      </c>
      <c r="BA290" s="384">
        <f>clean_data!Y290</f>
        <v>16</v>
      </c>
    </row>
    <row r="291" spans="1:53" x14ac:dyDescent="0.2">
      <c r="A291">
        <f>coder1_YH!B291</f>
        <v>0</v>
      </c>
      <c r="B291">
        <f>coder1_YH!C291</f>
        <v>291</v>
      </c>
      <c r="C291">
        <f>coder1_YH!D291</f>
        <v>0</v>
      </c>
      <c r="D291" t="str">
        <f>coder1_YH!E291</f>
        <v/>
      </c>
      <c r="E291" t="str">
        <f>coder1_YH!F291</f>
        <v/>
      </c>
      <c r="F291" s="321" t="str">
        <f>IF(coder1_YH!G291="", clean_mod!F290, coder1_YH!G291)</f>
        <v>Mason, 2004</v>
      </c>
      <c r="G291" s="321" t="str">
        <f t="shared" si="86"/>
        <v>149</v>
      </c>
      <c r="H291" s="321">
        <f>IF(coder1_YH!H291="", clean_mod!H290, coder1_YH!H291)</f>
        <v>149</v>
      </c>
      <c r="I291" s="404" t="str">
        <f t="shared" si="87"/>
        <v>2004</v>
      </c>
      <c r="J291" s="344" t="str">
        <f>IF(coder1_YH!I291="",J290,coder1_YH!I291)</f>
        <v>USA</v>
      </c>
      <c r="K291" s="345">
        <f t="shared" si="88"/>
        <v>0</v>
      </c>
      <c r="L291" s="344" t="str">
        <f>IF(coder1_YH!J291 = "",L290, coder1_YH!J291)</f>
        <v>English</v>
      </c>
      <c r="M291" s="345">
        <f t="shared" si="89"/>
        <v>0</v>
      </c>
      <c r="N291" s="345" t="str">
        <f>IF(coder1_YH!K291 = "", N290, LEFT(coder1_YH!K291,1))</f>
        <v>0</v>
      </c>
      <c r="O291" s="345" t="str">
        <f>IF(coder1_YH!L291 = "", O290, LEFT(coder1_YH!L291,1))</f>
        <v>0</v>
      </c>
      <c r="P291" s="345" t="str">
        <f>IF(coder1_YH!M291 = "", P290, LEFT(coder1_YH!M291,1))</f>
        <v>0</v>
      </c>
      <c r="Q291" s="321">
        <f>coder1_YH!P291</f>
        <v>0</v>
      </c>
      <c r="R291" s="321">
        <f>coder1_YH!Q291</f>
        <v>0</v>
      </c>
      <c r="S291" s="323" t="str">
        <f t="shared" si="90"/>
        <v>N</v>
      </c>
      <c r="T291" s="323" t="str">
        <f t="shared" si="91"/>
        <v/>
      </c>
      <c r="U291" s="323" t="str">
        <f t="shared" si="92"/>
        <v/>
      </c>
      <c r="V291" s="323" t="str">
        <f t="shared" si="93"/>
        <v/>
      </c>
      <c r="W291" s="323">
        <f t="shared" si="94"/>
        <v>1</v>
      </c>
      <c r="X291" s="385" t="str">
        <f>IF(coder1_YH!N291 = "",X290,coder1_YH!N291)</f>
        <v>N</v>
      </c>
      <c r="Y291" s="385" t="str">
        <f>IF(coder1_YH!O291 = "",Y290,coder1_YH!O291)</f>
        <v xml:space="preserve">m </v>
      </c>
      <c r="Z291" s="385" t="str">
        <f t="shared" si="83"/>
        <v>M</v>
      </c>
      <c r="AA291" s="385" t="str">
        <f t="shared" si="84"/>
        <v>R</v>
      </c>
      <c r="AB291" s="385" t="str">
        <f t="shared" si="95"/>
        <v>MR</v>
      </c>
      <c r="AC291" s="323" t="str">
        <f t="shared" si="96"/>
        <v xml:space="preserve">Nm </v>
      </c>
      <c r="AD291" s="323" t="str">
        <f t="shared" si="97"/>
        <v>N_R</v>
      </c>
      <c r="AF291" s="369" t="str">
        <f t="shared" si="98"/>
        <v xml:space="preserve">149-Nm </v>
      </c>
      <c r="AG291" s="369" t="str">
        <f t="shared" si="99"/>
        <v>149-N_R</v>
      </c>
      <c r="AH291" s="344">
        <f>IF(coder1_YH!R291="",AH290,coder1_YH!R291)</f>
        <v>5</v>
      </c>
      <c r="AI291" s="344">
        <f t="shared" si="85"/>
        <v>5</v>
      </c>
      <c r="AJ291" s="345">
        <f t="shared" si="100"/>
        <v>0</v>
      </c>
      <c r="AK291" s="408">
        <f>IF(coder1_YH!S291="",AK290,coder1_YH!S291)</f>
        <v>10.484999999999999</v>
      </c>
      <c r="AL291" s="345">
        <f>IF(coder1_YH!T291="",AL290,IF(coder1_YH!T291="mixed",0.25,coder1_YH!T291))</f>
        <v>1</v>
      </c>
      <c r="AM291" s="345">
        <f>IF(coder1_YH!U291 = "", AM290, IF(coder1_YH!U291="mixed","NA",coder1_YH!U291))</f>
        <v>0.125</v>
      </c>
      <c r="AN291" s="345">
        <f>IF(coder1_YH!V291="",AN290,coder1_YH!V291)</f>
        <v>0.75</v>
      </c>
      <c r="AO291" s="345" t="str">
        <f>IF(coder1_YH!W291="",AO290,coder1_YH!W291)</f>
        <v>NA</v>
      </c>
      <c r="AP291" s="345">
        <f>IF(coder1_YH!X291="",AP290,coder1_YH!X291)</f>
        <v>0.4375</v>
      </c>
      <c r="AQ291" s="345">
        <f>IF(coder1_YH!Y291="",AQ290,coder1_YH!Y291)</f>
        <v>0.9375</v>
      </c>
      <c r="AR291">
        <f>coder1_YH!AB291</f>
        <v>0</v>
      </c>
      <c r="AS291" s="345" t="str">
        <f>IF(coder1_YH!AC291 = "", AS290,IF(coder1_YH!AC291="BAU","BAU",LEFT(coder1_YH!AC291)))</f>
        <v>0</v>
      </c>
      <c r="AT291" s="345" t="str">
        <f>IF(coder1_YH!AD291 = "", AT290,IF(coder1_YH!AD291="BAU","BAU",LEFT(coder1_YH!AD291)))</f>
        <v>1</v>
      </c>
      <c r="AU291" s="345" t="str">
        <f>IF(coder1_YH!AE291 = "", AU290,IF(coder1_YH!AE291="BAU","BAU",LEFT(coder1_YH!AE291)))</f>
        <v>0</v>
      </c>
      <c r="AV291" s="345">
        <f>IF(coder1_YH!AF291="",AV290,coder1_YH!AF291)</f>
        <v>260</v>
      </c>
      <c r="AW291" s="345">
        <f t="shared" si="101"/>
        <v>4.333333333333333</v>
      </c>
      <c r="AX291" s="345">
        <f>IF(coder1_YH!AG291="",AX290,coder1_YH!AG291)</f>
        <v>13</v>
      </c>
      <c r="AY291" s="345">
        <f>IF(coder1_YH!AH291="",AY290,coder1_YH!AH291)</f>
        <v>20</v>
      </c>
      <c r="AZ291" s="345" t="str">
        <f>IF(coder1_YH!AI291 = "", AZ290, IF(coder1_YH!AI291="BAU","BAU",LEFT(coder1_YH!AI291)))</f>
        <v>1</v>
      </c>
      <c r="BA291" s="384">
        <f>clean_data!Y291</f>
        <v>16</v>
      </c>
    </row>
    <row r="292" spans="1:53" x14ac:dyDescent="0.2">
      <c r="A292">
        <f>coder1_YH!B292</f>
        <v>0</v>
      </c>
      <c r="B292">
        <f>coder1_YH!C292</f>
        <v>292</v>
      </c>
      <c r="C292">
        <f>coder1_YH!D292</f>
        <v>0</v>
      </c>
      <c r="D292" t="str">
        <f>coder1_YH!E292</f>
        <v/>
      </c>
      <c r="E292" t="str">
        <f>coder1_YH!F292</f>
        <v/>
      </c>
      <c r="F292" s="321" t="str">
        <f>IF(coder1_YH!G292="", clean_mod!F291, coder1_YH!G292)</f>
        <v>Mason, 2004</v>
      </c>
      <c r="G292" s="321" t="str">
        <f t="shared" si="86"/>
        <v>149</v>
      </c>
      <c r="H292" s="321">
        <f>IF(coder1_YH!H292="", clean_mod!H291, coder1_YH!H292)</f>
        <v>149</v>
      </c>
      <c r="I292" s="404" t="str">
        <f t="shared" si="87"/>
        <v>2004</v>
      </c>
      <c r="J292" s="344" t="str">
        <f>IF(coder1_YH!I292="",J291,coder1_YH!I292)</f>
        <v>USA</v>
      </c>
      <c r="K292" s="345">
        <f t="shared" si="88"/>
        <v>0</v>
      </c>
      <c r="L292" s="344" t="str">
        <f>IF(coder1_YH!J292 = "",L291, coder1_YH!J292)</f>
        <v>English</v>
      </c>
      <c r="M292" s="345">
        <f t="shared" si="89"/>
        <v>0</v>
      </c>
      <c r="N292" s="345" t="str">
        <f>IF(coder1_YH!K292 = "", N291, LEFT(coder1_YH!K292,1))</f>
        <v>0</v>
      </c>
      <c r="O292" s="345" t="str">
        <f>IF(coder1_YH!L292 = "", O291, LEFT(coder1_YH!L292,1))</f>
        <v>0</v>
      </c>
      <c r="P292" s="345" t="str">
        <f>IF(coder1_YH!M292 = "", P291, LEFT(coder1_YH!M292,1))</f>
        <v>0</v>
      </c>
      <c r="Q292" s="321">
        <f>coder1_YH!P292</f>
        <v>0</v>
      </c>
      <c r="R292" s="321">
        <f>coder1_YH!Q292</f>
        <v>0</v>
      </c>
      <c r="S292" s="323" t="str">
        <f t="shared" si="90"/>
        <v>N</v>
      </c>
      <c r="T292" s="323" t="str">
        <f t="shared" si="91"/>
        <v/>
      </c>
      <c r="U292" s="323" t="str">
        <f t="shared" si="92"/>
        <v/>
      </c>
      <c r="V292" s="323" t="str">
        <f t="shared" si="93"/>
        <v/>
      </c>
      <c r="W292" s="323">
        <f t="shared" si="94"/>
        <v>1</v>
      </c>
      <c r="X292" s="385" t="str">
        <f>IF(coder1_YH!N292 = "",X291,coder1_YH!N292)</f>
        <v>N</v>
      </c>
      <c r="Y292" s="385" t="str">
        <f>IF(coder1_YH!O292 = "",Y291,coder1_YH!O292)</f>
        <v xml:space="preserve">m </v>
      </c>
      <c r="Z292" s="385" t="str">
        <f t="shared" si="83"/>
        <v>M</v>
      </c>
      <c r="AA292" s="385" t="str">
        <f t="shared" si="84"/>
        <v>R</v>
      </c>
      <c r="AB292" s="385" t="str">
        <f t="shared" si="95"/>
        <v>MR</v>
      </c>
      <c r="AC292" s="323" t="str">
        <f t="shared" si="96"/>
        <v xml:space="preserve">Nm </v>
      </c>
      <c r="AD292" s="323" t="str">
        <f t="shared" si="97"/>
        <v>N_R</v>
      </c>
      <c r="AF292" s="369" t="str">
        <f t="shared" si="98"/>
        <v xml:space="preserve">149-Nm </v>
      </c>
      <c r="AG292" s="369" t="str">
        <f t="shared" si="99"/>
        <v>149-N_R</v>
      </c>
      <c r="AH292" s="344">
        <f>IF(coder1_YH!R292="",AH291,coder1_YH!R292)</f>
        <v>5</v>
      </c>
      <c r="AI292" s="344">
        <f t="shared" si="85"/>
        <v>5</v>
      </c>
      <c r="AJ292" s="345">
        <f t="shared" si="100"/>
        <v>0</v>
      </c>
      <c r="AK292" s="408">
        <f>IF(coder1_YH!S292="",AK291,coder1_YH!S292)</f>
        <v>10.484999999999999</v>
      </c>
      <c r="AL292" s="345">
        <f>IF(coder1_YH!T292="",AL291,IF(coder1_YH!T292="mixed",0.25,coder1_YH!T292))</f>
        <v>1</v>
      </c>
      <c r="AM292" s="345">
        <f>IF(coder1_YH!U292 = "", AM291, IF(coder1_YH!U292="mixed","NA",coder1_YH!U292))</f>
        <v>0.125</v>
      </c>
      <c r="AN292" s="345">
        <f>IF(coder1_YH!V292="",AN291,coder1_YH!V292)</f>
        <v>0.75</v>
      </c>
      <c r="AO292" s="345" t="str">
        <f>IF(coder1_YH!W292="",AO291,coder1_YH!W292)</f>
        <v>NA</v>
      </c>
      <c r="AP292" s="345">
        <f>IF(coder1_YH!X292="",AP291,coder1_YH!X292)</f>
        <v>0.4375</v>
      </c>
      <c r="AQ292" s="345">
        <f>IF(coder1_YH!Y292="",AQ291,coder1_YH!Y292)</f>
        <v>0.9375</v>
      </c>
      <c r="AR292">
        <f>coder1_YH!AB292</f>
        <v>0</v>
      </c>
      <c r="AS292" s="345" t="str">
        <f>IF(coder1_YH!AC292 = "", AS291,IF(coder1_YH!AC292="BAU","BAU",LEFT(coder1_YH!AC292)))</f>
        <v>0</v>
      </c>
      <c r="AT292" s="345" t="str">
        <f>IF(coder1_YH!AD292 = "", AT291,IF(coder1_YH!AD292="BAU","BAU",LEFT(coder1_YH!AD292)))</f>
        <v>1</v>
      </c>
      <c r="AU292" s="345" t="str">
        <f>IF(coder1_YH!AE292 = "", AU291,IF(coder1_YH!AE292="BAU","BAU",LEFT(coder1_YH!AE292)))</f>
        <v>0</v>
      </c>
      <c r="AV292" s="345">
        <f>IF(coder1_YH!AF292="",AV291,coder1_YH!AF292)</f>
        <v>260</v>
      </c>
      <c r="AW292" s="345">
        <f t="shared" si="101"/>
        <v>4.333333333333333</v>
      </c>
      <c r="AX292" s="345">
        <f>IF(coder1_YH!AG292="",AX291,coder1_YH!AG292)</f>
        <v>13</v>
      </c>
      <c r="AY292" s="345">
        <f>IF(coder1_YH!AH292="",AY291,coder1_YH!AH292)</f>
        <v>20</v>
      </c>
      <c r="AZ292" s="345" t="str">
        <f>IF(coder1_YH!AI292 = "", AZ291, IF(coder1_YH!AI292="BAU","BAU",LEFT(coder1_YH!AI292)))</f>
        <v>1</v>
      </c>
      <c r="BA292" s="384">
        <f>clean_data!Y292</f>
        <v>16</v>
      </c>
    </row>
    <row r="293" spans="1:53" x14ac:dyDescent="0.2">
      <c r="A293">
        <f>coder1_YH!B293</f>
        <v>0</v>
      </c>
      <c r="B293">
        <f>coder1_YH!C293</f>
        <v>293</v>
      </c>
      <c r="C293">
        <f>coder1_YH!D293</f>
        <v>0</v>
      </c>
      <c r="D293" t="str">
        <f>coder1_YH!E293</f>
        <v/>
      </c>
      <c r="E293" t="str">
        <f>coder1_YH!F293</f>
        <v/>
      </c>
      <c r="F293" s="321" t="str">
        <f>IF(coder1_YH!G293="", clean_mod!F292, coder1_YH!G293)</f>
        <v>Mason, 2004</v>
      </c>
      <c r="G293" s="321" t="str">
        <f t="shared" si="86"/>
        <v>149</v>
      </c>
      <c r="H293" s="321">
        <f>IF(coder1_YH!H293="", clean_mod!H292, coder1_YH!H293)</f>
        <v>149</v>
      </c>
      <c r="I293" s="404" t="str">
        <f t="shared" si="87"/>
        <v>2004</v>
      </c>
      <c r="J293" s="344" t="str">
        <f>IF(coder1_YH!I293="",J292,coder1_YH!I293)</f>
        <v>USA</v>
      </c>
      <c r="K293" s="345">
        <f t="shared" si="88"/>
        <v>0</v>
      </c>
      <c r="L293" s="344" t="str">
        <f>IF(coder1_YH!J293 = "",L292, coder1_YH!J293)</f>
        <v>English</v>
      </c>
      <c r="M293" s="345">
        <f t="shared" si="89"/>
        <v>0</v>
      </c>
      <c r="N293" s="345" t="str">
        <f>IF(coder1_YH!K293 = "", N292, LEFT(coder1_YH!K293,1))</f>
        <v>0</v>
      </c>
      <c r="O293" s="345" t="str">
        <f>IF(coder1_YH!L293 = "", O292, LEFT(coder1_YH!L293,1))</f>
        <v>0</v>
      </c>
      <c r="P293" s="345" t="str">
        <f>IF(coder1_YH!M293 = "", P292, LEFT(coder1_YH!M293,1))</f>
        <v>0</v>
      </c>
      <c r="Q293" s="321">
        <f>coder1_YH!P293</f>
        <v>0</v>
      </c>
      <c r="R293" s="321">
        <f>coder1_YH!Q293</f>
        <v>0</v>
      </c>
      <c r="S293" s="323" t="str">
        <f t="shared" si="90"/>
        <v>N</v>
      </c>
      <c r="T293" s="323" t="str">
        <f t="shared" si="91"/>
        <v/>
      </c>
      <c r="U293" s="323" t="str">
        <f t="shared" si="92"/>
        <v/>
      </c>
      <c r="V293" s="323" t="str">
        <f t="shared" si="93"/>
        <v/>
      </c>
      <c r="W293" s="323">
        <f t="shared" si="94"/>
        <v>1</v>
      </c>
      <c r="X293" s="385" t="str">
        <f>IF(coder1_YH!N293 = "",X292,coder1_YH!N293)</f>
        <v>N</v>
      </c>
      <c r="Y293" s="385" t="str">
        <f>IF(coder1_YH!O293 = "",Y292,coder1_YH!O293)</f>
        <v xml:space="preserve">m </v>
      </c>
      <c r="Z293" s="385" t="str">
        <f t="shared" si="83"/>
        <v>M</v>
      </c>
      <c r="AA293" s="385" t="str">
        <f t="shared" si="84"/>
        <v>R</v>
      </c>
      <c r="AB293" s="385" t="str">
        <f t="shared" si="95"/>
        <v>MR</v>
      </c>
      <c r="AC293" s="323" t="str">
        <f t="shared" si="96"/>
        <v xml:space="preserve">Nm </v>
      </c>
      <c r="AD293" s="323" t="str">
        <f t="shared" si="97"/>
        <v>N_R</v>
      </c>
      <c r="AF293" s="369" t="str">
        <f t="shared" si="98"/>
        <v xml:space="preserve">149-Nm </v>
      </c>
      <c r="AG293" s="369" t="str">
        <f t="shared" si="99"/>
        <v>149-N_R</v>
      </c>
      <c r="AH293" s="344">
        <f>IF(coder1_YH!R293="",AH292,coder1_YH!R293)</f>
        <v>5</v>
      </c>
      <c r="AI293" s="344">
        <f t="shared" si="85"/>
        <v>5</v>
      </c>
      <c r="AJ293" s="345">
        <f t="shared" si="100"/>
        <v>0</v>
      </c>
      <c r="AK293" s="408">
        <f>IF(coder1_YH!S293="",AK292,coder1_YH!S293)</f>
        <v>10.484999999999999</v>
      </c>
      <c r="AL293" s="345">
        <f>IF(coder1_YH!T293="",AL292,IF(coder1_YH!T293="mixed",0.25,coder1_YH!T293))</f>
        <v>1</v>
      </c>
      <c r="AM293" s="345">
        <f>IF(coder1_YH!U293 = "", AM292, IF(coder1_YH!U293="mixed","NA",coder1_YH!U293))</f>
        <v>0.125</v>
      </c>
      <c r="AN293" s="345">
        <f>IF(coder1_YH!V293="",AN292,coder1_YH!V293)</f>
        <v>0.75</v>
      </c>
      <c r="AO293" s="345" t="str">
        <f>IF(coder1_YH!W293="",AO292,coder1_YH!W293)</f>
        <v>NA</v>
      </c>
      <c r="AP293" s="345">
        <f>IF(coder1_YH!X293="",AP292,coder1_YH!X293)</f>
        <v>0.4375</v>
      </c>
      <c r="AQ293" s="345">
        <f>IF(coder1_YH!Y293="",AQ292,coder1_YH!Y293)</f>
        <v>0.9375</v>
      </c>
      <c r="AR293">
        <f>coder1_YH!AB293</f>
        <v>0</v>
      </c>
      <c r="AS293" s="345" t="str">
        <f>IF(coder1_YH!AC293 = "", AS292,IF(coder1_YH!AC293="BAU","BAU",LEFT(coder1_YH!AC293)))</f>
        <v>0</v>
      </c>
      <c r="AT293" s="345" t="str">
        <f>IF(coder1_YH!AD293 = "", AT292,IF(coder1_YH!AD293="BAU","BAU",LEFT(coder1_YH!AD293)))</f>
        <v>1</v>
      </c>
      <c r="AU293" s="345" t="str">
        <f>IF(coder1_YH!AE293 = "", AU292,IF(coder1_YH!AE293="BAU","BAU",LEFT(coder1_YH!AE293)))</f>
        <v>0</v>
      </c>
      <c r="AV293" s="345">
        <f>IF(coder1_YH!AF293="",AV292,coder1_YH!AF293)</f>
        <v>260</v>
      </c>
      <c r="AW293" s="345">
        <f t="shared" si="101"/>
        <v>4.333333333333333</v>
      </c>
      <c r="AX293" s="345">
        <f>IF(coder1_YH!AG293="",AX292,coder1_YH!AG293)</f>
        <v>13</v>
      </c>
      <c r="AY293" s="345">
        <f>IF(coder1_YH!AH293="",AY292,coder1_YH!AH293)</f>
        <v>20</v>
      </c>
      <c r="AZ293" s="345" t="str">
        <f>IF(coder1_YH!AI293 = "", AZ292, IF(coder1_YH!AI293="BAU","BAU",LEFT(coder1_YH!AI293)))</f>
        <v>1</v>
      </c>
      <c r="BA293" s="384">
        <f>clean_data!Y293</f>
        <v>16</v>
      </c>
    </row>
    <row r="294" spans="1:53" x14ac:dyDescent="0.2">
      <c r="A294">
        <f>coder1_YH!B294</f>
        <v>0</v>
      </c>
      <c r="B294">
        <f>coder1_YH!C294</f>
        <v>294</v>
      </c>
      <c r="C294">
        <f>coder1_YH!D294</f>
        <v>0</v>
      </c>
      <c r="D294" t="str">
        <f>coder1_YH!E294</f>
        <v/>
      </c>
      <c r="E294" t="str">
        <f>coder1_YH!F294</f>
        <v/>
      </c>
      <c r="F294" s="321" t="str">
        <f>IF(coder1_YH!G294="", clean_mod!F293, coder1_YH!G294)</f>
        <v>Mason, 2004</v>
      </c>
      <c r="G294" s="321" t="str">
        <f t="shared" si="86"/>
        <v>149</v>
      </c>
      <c r="H294" s="321">
        <f>IF(coder1_YH!H294="", clean_mod!H293, coder1_YH!H294)</f>
        <v>149</v>
      </c>
      <c r="I294" s="404" t="str">
        <f t="shared" si="87"/>
        <v>2004</v>
      </c>
      <c r="J294" s="344" t="str">
        <f>IF(coder1_YH!I294="",J293,coder1_YH!I294)</f>
        <v>USA</v>
      </c>
      <c r="K294" s="345">
        <f t="shared" si="88"/>
        <v>0</v>
      </c>
      <c r="L294" s="344" t="str">
        <f>IF(coder1_YH!J294 = "",L293, coder1_YH!J294)</f>
        <v>English</v>
      </c>
      <c r="M294" s="345">
        <f t="shared" si="89"/>
        <v>0</v>
      </c>
      <c r="N294" s="345" t="str">
        <f>IF(coder1_YH!K294 = "", N293, LEFT(coder1_YH!K294,1))</f>
        <v>0</v>
      </c>
      <c r="O294" s="345" t="str">
        <f>IF(coder1_YH!L294 = "", O293, LEFT(coder1_YH!L294,1))</f>
        <v>0</v>
      </c>
      <c r="P294" s="345" t="str">
        <f>IF(coder1_YH!M294 = "", P293, LEFT(coder1_YH!M294,1))</f>
        <v>0</v>
      </c>
      <c r="Q294" s="321">
        <f>coder1_YH!P294</f>
        <v>0</v>
      </c>
      <c r="R294" s="321">
        <f>coder1_YH!Q294</f>
        <v>0</v>
      </c>
      <c r="S294" s="323" t="str">
        <f t="shared" si="90"/>
        <v>N</v>
      </c>
      <c r="T294" s="323" t="str">
        <f t="shared" si="91"/>
        <v/>
      </c>
      <c r="U294" s="323" t="str">
        <f t="shared" si="92"/>
        <v/>
      </c>
      <c r="V294" s="323" t="str">
        <f t="shared" si="93"/>
        <v/>
      </c>
      <c r="W294" s="323">
        <f t="shared" si="94"/>
        <v>1</v>
      </c>
      <c r="X294" s="385" t="str">
        <f>IF(coder1_YH!N294 = "",X293,coder1_YH!N294)</f>
        <v>N</v>
      </c>
      <c r="Y294" s="385" t="str">
        <f>IF(coder1_YH!O294 = "",Y293,coder1_YH!O294)</f>
        <v xml:space="preserve">m </v>
      </c>
      <c r="Z294" s="385" t="str">
        <f t="shared" si="83"/>
        <v>M</v>
      </c>
      <c r="AA294" s="385" t="str">
        <f t="shared" si="84"/>
        <v>R</v>
      </c>
      <c r="AB294" s="385" t="str">
        <f t="shared" si="95"/>
        <v>MR</v>
      </c>
      <c r="AC294" s="323" t="str">
        <f t="shared" si="96"/>
        <v xml:space="preserve">Nm </v>
      </c>
      <c r="AD294" s="323" t="str">
        <f t="shared" si="97"/>
        <v>N_R</v>
      </c>
      <c r="AF294" s="369" t="str">
        <f t="shared" si="98"/>
        <v xml:space="preserve">149-Nm </v>
      </c>
      <c r="AG294" s="369" t="str">
        <f t="shared" si="99"/>
        <v>149-N_R</v>
      </c>
      <c r="AH294" s="344">
        <f>IF(coder1_YH!R294="",AH293,coder1_YH!R294)</f>
        <v>5</v>
      </c>
      <c r="AI294" s="344">
        <f t="shared" si="85"/>
        <v>5</v>
      </c>
      <c r="AJ294" s="345">
        <f t="shared" si="100"/>
        <v>0</v>
      </c>
      <c r="AK294" s="408">
        <f>IF(coder1_YH!S294="",AK293,coder1_YH!S294)</f>
        <v>10.484999999999999</v>
      </c>
      <c r="AL294" s="345">
        <f>IF(coder1_YH!T294="",AL293,IF(coder1_YH!T294="mixed",0.25,coder1_YH!T294))</f>
        <v>1</v>
      </c>
      <c r="AM294" s="345">
        <f>IF(coder1_YH!U294 = "", AM293, IF(coder1_YH!U294="mixed","NA",coder1_YH!U294))</f>
        <v>0.125</v>
      </c>
      <c r="AN294" s="345">
        <f>IF(coder1_YH!V294="",AN293,coder1_YH!V294)</f>
        <v>0.75</v>
      </c>
      <c r="AO294" s="345" t="str">
        <f>IF(coder1_YH!W294="",AO293,coder1_YH!W294)</f>
        <v>NA</v>
      </c>
      <c r="AP294" s="345">
        <f>IF(coder1_YH!X294="",AP293,coder1_YH!X294)</f>
        <v>0.4375</v>
      </c>
      <c r="AQ294" s="345">
        <f>IF(coder1_YH!Y294="",AQ293,coder1_YH!Y294)</f>
        <v>0.9375</v>
      </c>
      <c r="AR294">
        <f>coder1_YH!AB294</f>
        <v>0</v>
      </c>
      <c r="AS294" s="345" t="str">
        <f>IF(coder1_YH!AC294 = "", AS293,IF(coder1_YH!AC294="BAU","BAU",LEFT(coder1_YH!AC294)))</f>
        <v>0</v>
      </c>
      <c r="AT294" s="345" t="str">
        <f>IF(coder1_YH!AD294 = "", AT293,IF(coder1_YH!AD294="BAU","BAU",LEFT(coder1_YH!AD294)))</f>
        <v>1</v>
      </c>
      <c r="AU294" s="345" t="str">
        <f>IF(coder1_YH!AE294 = "", AU293,IF(coder1_YH!AE294="BAU","BAU",LEFT(coder1_YH!AE294)))</f>
        <v>0</v>
      </c>
      <c r="AV294" s="345">
        <f>IF(coder1_YH!AF294="",AV293,coder1_YH!AF294)</f>
        <v>260</v>
      </c>
      <c r="AW294" s="345">
        <f t="shared" si="101"/>
        <v>4.333333333333333</v>
      </c>
      <c r="AX294" s="345">
        <f>IF(coder1_YH!AG294="",AX293,coder1_YH!AG294)</f>
        <v>13</v>
      </c>
      <c r="AY294" s="345">
        <f>IF(coder1_YH!AH294="",AY293,coder1_YH!AH294)</f>
        <v>20</v>
      </c>
      <c r="AZ294" s="345" t="str">
        <f>IF(coder1_YH!AI294 = "", AZ293, IF(coder1_YH!AI294="BAU","BAU",LEFT(coder1_YH!AI294)))</f>
        <v>1</v>
      </c>
      <c r="BA294" s="384">
        <f>clean_data!Y294</f>
        <v>16</v>
      </c>
    </row>
    <row r="295" spans="1:53" x14ac:dyDescent="0.2">
      <c r="A295">
        <f>coder1_YH!B295</f>
        <v>0</v>
      </c>
      <c r="B295">
        <f>coder1_YH!C295</f>
        <v>295</v>
      </c>
      <c r="C295">
        <f>coder1_YH!D295</f>
        <v>0</v>
      </c>
      <c r="D295" t="str">
        <f>coder1_YH!E295</f>
        <v/>
      </c>
      <c r="E295" t="str">
        <f>coder1_YH!F295</f>
        <v/>
      </c>
      <c r="F295" s="321" t="str">
        <f>IF(coder1_YH!G295="", clean_mod!F294, coder1_YH!G295)</f>
        <v>Mason, 2004</v>
      </c>
      <c r="G295" s="321" t="str">
        <f t="shared" si="86"/>
        <v>149</v>
      </c>
      <c r="H295" s="321">
        <f>IF(coder1_YH!H295="", clean_mod!H294, coder1_YH!H295)</f>
        <v>149</v>
      </c>
      <c r="I295" s="404" t="str">
        <f t="shared" si="87"/>
        <v>2004</v>
      </c>
      <c r="J295" s="344" t="str">
        <f>IF(coder1_YH!I295="",J294,coder1_YH!I295)</f>
        <v>USA</v>
      </c>
      <c r="K295" s="345">
        <f t="shared" si="88"/>
        <v>0</v>
      </c>
      <c r="L295" s="344" t="str">
        <f>IF(coder1_YH!J295 = "",L294, coder1_YH!J295)</f>
        <v>English</v>
      </c>
      <c r="M295" s="345">
        <f t="shared" si="89"/>
        <v>0</v>
      </c>
      <c r="N295" s="345" t="str">
        <f>IF(coder1_YH!K295 = "", N294, LEFT(coder1_YH!K295,1))</f>
        <v>0</v>
      </c>
      <c r="O295" s="345" t="str">
        <f>IF(coder1_YH!L295 = "", O294, LEFT(coder1_YH!L295,1))</f>
        <v>0</v>
      </c>
      <c r="P295" s="345" t="str">
        <f>IF(coder1_YH!M295 = "", P294, LEFT(coder1_YH!M295,1))</f>
        <v>0</v>
      </c>
      <c r="Q295" s="321">
        <f>coder1_YH!P295</f>
        <v>0</v>
      </c>
      <c r="R295" s="321">
        <f>coder1_YH!Q295</f>
        <v>0</v>
      </c>
      <c r="S295" s="323" t="str">
        <f t="shared" si="90"/>
        <v>N</v>
      </c>
      <c r="T295" s="323" t="str">
        <f t="shared" si="91"/>
        <v/>
      </c>
      <c r="U295" s="323" t="str">
        <f t="shared" si="92"/>
        <v/>
      </c>
      <c r="V295" s="323" t="str">
        <f t="shared" si="93"/>
        <v/>
      </c>
      <c r="W295" s="323">
        <f t="shared" si="94"/>
        <v>1</v>
      </c>
      <c r="X295" s="385" t="str">
        <f>IF(coder1_YH!N295 = "",X294,coder1_YH!N295)</f>
        <v>N</v>
      </c>
      <c r="Y295" s="385" t="str">
        <f>IF(coder1_YH!O295 = "",Y294,coder1_YH!O295)</f>
        <v xml:space="preserve">m </v>
      </c>
      <c r="Z295" s="385" t="str">
        <f t="shared" ref="Z295:Z311" si="103">IF(X295=".","","M")</f>
        <v>M</v>
      </c>
      <c r="AA295" s="385" t="str">
        <f t="shared" ref="AA295:AA311" si="104">IF(Y295=".","BAU","R")</f>
        <v>R</v>
      </c>
      <c r="AB295" s="385" t="str">
        <f t="shared" si="95"/>
        <v>MR</v>
      </c>
      <c r="AC295" s="323" t="str">
        <f t="shared" si="96"/>
        <v xml:space="preserve">Nm </v>
      </c>
      <c r="AD295" s="323" t="str">
        <f t="shared" si="97"/>
        <v>N_R</v>
      </c>
      <c r="AF295" s="369" t="str">
        <f t="shared" si="98"/>
        <v xml:space="preserve">149-Nm </v>
      </c>
      <c r="AG295" s="369" t="str">
        <f t="shared" si="99"/>
        <v>149-N_R</v>
      </c>
      <c r="AH295" s="344">
        <f>IF(coder1_YH!R295="",AH294,coder1_YH!R295)</f>
        <v>5</v>
      </c>
      <c r="AI295" s="344">
        <f t="shared" si="85"/>
        <v>5</v>
      </c>
      <c r="AJ295" s="345">
        <f t="shared" si="100"/>
        <v>0</v>
      </c>
      <c r="AK295" s="408">
        <f>IF(coder1_YH!S295="",AK294,coder1_YH!S295)</f>
        <v>10.484999999999999</v>
      </c>
      <c r="AL295" s="345">
        <f>IF(coder1_YH!T295="",AL294,IF(coder1_YH!T295="mixed",0.25,coder1_YH!T295))</f>
        <v>1</v>
      </c>
      <c r="AM295" s="345">
        <f>IF(coder1_YH!U295 = "", AM294, IF(coder1_YH!U295="mixed","NA",coder1_YH!U295))</f>
        <v>0.125</v>
      </c>
      <c r="AN295" s="345">
        <f>IF(coder1_YH!V295="",AN294,coder1_YH!V295)</f>
        <v>0.75</v>
      </c>
      <c r="AO295" s="345" t="str">
        <f>IF(coder1_YH!W295="",AO294,coder1_YH!W295)</f>
        <v>NA</v>
      </c>
      <c r="AP295" s="345">
        <f>IF(coder1_YH!X295="",AP294,coder1_YH!X295)</f>
        <v>0.4375</v>
      </c>
      <c r="AQ295" s="345">
        <f>IF(coder1_YH!Y295="",AQ294,coder1_YH!Y295)</f>
        <v>0.9375</v>
      </c>
      <c r="AR295">
        <f>coder1_YH!AB295</f>
        <v>0</v>
      </c>
      <c r="AS295" s="345" t="str">
        <f>IF(coder1_YH!AC295 = "", AS294,IF(coder1_YH!AC295="BAU","BAU",LEFT(coder1_YH!AC295)))</f>
        <v>0</v>
      </c>
      <c r="AT295" s="345" t="str">
        <f>IF(coder1_YH!AD295 = "", AT294,IF(coder1_YH!AD295="BAU","BAU",LEFT(coder1_YH!AD295)))</f>
        <v>1</v>
      </c>
      <c r="AU295" s="345" t="str">
        <f>IF(coder1_YH!AE295 = "", AU294,IF(coder1_YH!AE295="BAU","BAU",LEFT(coder1_YH!AE295)))</f>
        <v>0</v>
      </c>
      <c r="AV295" s="345">
        <f>IF(coder1_YH!AF295="",AV294,coder1_YH!AF295)</f>
        <v>260</v>
      </c>
      <c r="AW295" s="345">
        <f t="shared" si="101"/>
        <v>4.333333333333333</v>
      </c>
      <c r="AX295" s="345">
        <f>IF(coder1_YH!AG295="",AX294,coder1_YH!AG295)</f>
        <v>13</v>
      </c>
      <c r="AY295" s="345">
        <f>IF(coder1_YH!AH295="",AY294,coder1_YH!AH295)</f>
        <v>20</v>
      </c>
      <c r="AZ295" s="345" t="str">
        <f>IF(coder1_YH!AI295 = "", AZ294, IF(coder1_YH!AI295="BAU","BAU",LEFT(coder1_YH!AI295)))</f>
        <v>1</v>
      </c>
      <c r="BA295" s="384">
        <f>clean_data!Y295</f>
        <v>16</v>
      </c>
    </row>
    <row r="296" spans="1:53" x14ac:dyDescent="0.2">
      <c r="A296">
        <f>coder1_YH!B296</f>
        <v>0</v>
      </c>
      <c r="B296">
        <f>coder1_YH!C296</f>
        <v>296</v>
      </c>
      <c r="C296">
        <f>coder1_YH!D296</f>
        <v>0</v>
      </c>
      <c r="D296" t="str">
        <f>coder1_YH!E296</f>
        <v/>
      </c>
      <c r="E296" t="str">
        <f>coder1_YH!F296</f>
        <v/>
      </c>
      <c r="F296" s="321" t="str">
        <f>IF(coder1_YH!G296="", clean_mod!F295, coder1_YH!G296)</f>
        <v>Mason, 2004</v>
      </c>
      <c r="G296" s="321" t="str">
        <f t="shared" si="86"/>
        <v>149</v>
      </c>
      <c r="H296" s="321">
        <f>IF(coder1_YH!H296="", clean_mod!H295, coder1_YH!H296)</f>
        <v>149</v>
      </c>
      <c r="I296" s="404" t="str">
        <f t="shared" si="87"/>
        <v>2004</v>
      </c>
      <c r="J296" s="344" t="str">
        <f>IF(coder1_YH!I296="",J295,coder1_YH!I296)</f>
        <v>USA</v>
      </c>
      <c r="K296" s="345">
        <f t="shared" si="88"/>
        <v>0</v>
      </c>
      <c r="L296" s="344" t="str">
        <f>IF(coder1_YH!J296 = "",L295, coder1_YH!J296)</f>
        <v>English</v>
      </c>
      <c r="M296" s="345">
        <f t="shared" si="89"/>
        <v>0</v>
      </c>
      <c r="N296" s="345" t="str">
        <f>IF(coder1_YH!K296 = "", N295, LEFT(coder1_YH!K296,1))</f>
        <v>0</v>
      </c>
      <c r="O296" s="345" t="str">
        <f>IF(coder1_YH!L296 = "", O295, LEFT(coder1_YH!L296,1))</f>
        <v>0</v>
      </c>
      <c r="P296" s="345" t="str">
        <f>IF(coder1_YH!M296 = "", P295, LEFT(coder1_YH!M296,1))</f>
        <v>0</v>
      </c>
      <c r="Q296" s="321">
        <f>coder1_YH!P296</f>
        <v>0</v>
      </c>
      <c r="R296" s="321">
        <f>coder1_YH!Q296</f>
        <v>0</v>
      </c>
      <c r="S296" s="323" t="str">
        <f t="shared" si="90"/>
        <v>N</v>
      </c>
      <c r="T296" s="323" t="str">
        <f t="shared" si="91"/>
        <v/>
      </c>
      <c r="U296" s="323" t="str">
        <f t="shared" si="92"/>
        <v/>
      </c>
      <c r="V296" s="323" t="str">
        <f t="shared" si="93"/>
        <v/>
      </c>
      <c r="W296" s="323">
        <f t="shared" si="94"/>
        <v>1</v>
      </c>
      <c r="X296" s="385" t="str">
        <f>IF(coder1_YH!N296 = "",X295,coder1_YH!N296)</f>
        <v>N</v>
      </c>
      <c r="Y296" s="385" t="str">
        <f>IF(coder1_YH!O296 = "",Y295,coder1_YH!O296)</f>
        <v xml:space="preserve">m </v>
      </c>
      <c r="Z296" s="385" t="str">
        <f t="shared" si="103"/>
        <v>M</v>
      </c>
      <c r="AA296" s="385" t="str">
        <f t="shared" si="104"/>
        <v>R</v>
      </c>
      <c r="AB296" s="385" t="str">
        <f t="shared" si="95"/>
        <v>MR</v>
      </c>
      <c r="AC296" s="323" t="str">
        <f t="shared" si="96"/>
        <v xml:space="preserve">Nm </v>
      </c>
      <c r="AD296" s="323" t="str">
        <f t="shared" si="97"/>
        <v>N_R</v>
      </c>
      <c r="AF296" s="369" t="str">
        <f t="shared" si="98"/>
        <v xml:space="preserve">149-Nm </v>
      </c>
      <c r="AG296" s="369" t="str">
        <f t="shared" si="99"/>
        <v>149-N_R</v>
      </c>
      <c r="AH296" s="344">
        <f>IF(coder1_YH!R296="",AH295,coder1_YH!R296)</f>
        <v>5</v>
      </c>
      <c r="AI296" s="344">
        <f t="shared" si="85"/>
        <v>5</v>
      </c>
      <c r="AJ296" s="345">
        <f t="shared" si="100"/>
        <v>0</v>
      </c>
      <c r="AK296" s="408">
        <f>IF(coder1_YH!S296="",AK295,coder1_YH!S296)</f>
        <v>10.484999999999999</v>
      </c>
      <c r="AL296" s="345">
        <f>IF(coder1_YH!T296="",AL295,IF(coder1_YH!T296="mixed",0.25,coder1_YH!T296))</f>
        <v>1</v>
      </c>
      <c r="AM296" s="345">
        <f>IF(coder1_YH!U296 = "", AM295, IF(coder1_YH!U296="mixed","NA",coder1_YH!U296))</f>
        <v>0.125</v>
      </c>
      <c r="AN296" s="345">
        <f>IF(coder1_YH!V296="",AN295,coder1_YH!V296)</f>
        <v>0.75</v>
      </c>
      <c r="AO296" s="345" t="str">
        <f>IF(coder1_YH!W296="",AO295,coder1_YH!W296)</f>
        <v>NA</v>
      </c>
      <c r="AP296" s="345">
        <f>IF(coder1_YH!X296="",AP295,coder1_YH!X296)</f>
        <v>0.4375</v>
      </c>
      <c r="AQ296" s="345">
        <f>IF(coder1_YH!Y296="",AQ295,coder1_YH!Y296)</f>
        <v>0.9375</v>
      </c>
      <c r="AR296">
        <f>coder1_YH!AB296</f>
        <v>0</v>
      </c>
      <c r="AS296" s="345" t="str">
        <f>IF(coder1_YH!AC296 = "", AS295,IF(coder1_YH!AC296="BAU","BAU",LEFT(coder1_YH!AC296)))</f>
        <v>0</v>
      </c>
      <c r="AT296" s="345" t="str">
        <f>IF(coder1_YH!AD296 = "", AT295,IF(coder1_YH!AD296="BAU","BAU",LEFT(coder1_YH!AD296)))</f>
        <v>1</v>
      </c>
      <c r="AU296" s="345" t="str">
        <f>IF(coder1_YH!AE296 = "", AU295,IF(coder1_YH!AE296="BAU","BAU",LEFT(coder1_YH!AE296)))</f>
        <v>0</v>
      </c>
      <c r="AV296" s="345">
        <f>IF(coder1_YH!AF296="",AV295,coder1_YH!AF296)</f>
        <v>260</v>
      </c>
      <c r="AW296" s="345">
        <f t="shared" si="101"/>
        <v>4.333333333333333</v>
      </c>
      <c r="AX296" s="345">
        <f>IF(coder1_YH!AG296="",AX295,coder1_YH!AG296)</f>
        <v>13</v>
      </c>
      <c r="AY296" s="345">
        <f>IF(coder1_YH!AH296="",AY295,coder1_YH!AH296)</f>
        <v>20</v>
      </c>
      <c r="AZ296" s="345" t="str">
        <f>IF(coder1_YH!AI296 = "", AZ295, IF(coder1_YH!AI296="BAU","BAU",LEFT(coder1_YH!AI296)))</f>
        <v>1</v>
      </c>
      <c r="BA296" s="384">
        <f>clean_data!Y296</f>
        <v>16</v>
      </c>
    </row>
    <row r="297" spans="1:53" x14ac:dyDescent="0.2">
      <c r="A297">
        <f>coder1_YH!B297</f>
        <v>0</v>
      </c>
      <c r="B297">
        <f>coder1_YH!C297</f>
        <v>297</v>
      </c>
      <c r="C297">
        <f>coder1_YH!D297</f>
        <v>0</v>
      </c>
      <c r="D297" t="str">
        <f>coder1_YH!E297</f>
        <v/>
      </c>
      <c r="E297" t="str">
        <f>coder1_YH!F297</f>
        <v/>
      </c>
      <c r="F297" s="321" t="str">
        <f>IF(coder1_YH!G297="", clean_mod!F296, coder1_YH!G297)</f>
        <v>Mason, 2004</v>
      </c>
      <c r="G297" s="321" t="str">
        <f t="shared" si="86"/>
        <v>149</v>
      </c>
      <c r="H297" s="321">
        <f>IF(coder1_YH!H297="", clean_mod!H296, coder1_YH!H297)</f>
        <v>149</v>
      </c>
      <c r="I297" s="404" t="str">
        <f t="shared" si="87"/>
        <v>2004</v>
      </c>
      <c r="J297" s="344" t="str">
        <f>IF(coder1_YH!I297="",J296,coder1_YH!I297)</f>
        <v>USA</v>
      </c>
      <c r="K297" s="345">
        <f t="shared" si="88"/>
        <v>0</v>
      </c>
      <c r="L297" s="344" t="str">
        <f>IF(coder1_YH!J297 = "",L296, coder1_YH!J297)</f>
        <v>English</v>
      </c>
      <c r="M297" s="345">
        <f t="shared" si="89"/>
        <v>0</v>
      </c>
      <c r="N297" s="345" t="str">
        <f>IF(coder1_YH!K297 = "", N296, LEFT(coder1_YH!K297,1))</f>
        <v>0</v>
      </c>
      <c r="O297" s="345" t="str">
        <f>IF(coder1_YH!L297 = "", O296, LEFT(coder1_YH!L297,1))</f>
        <v>0</v>
      </c>
      <c r="P297" s="345" t="str">
        <f>IF(coder1_YH!M297 = "", P296, LEFT(coder1_YH!M297,1))</f>
        <v>0</v>
      </c>
      <c r="Q297" s="321">
        <f>coder1_YH!P297</f>
        <v>0</v>
      </c>
      <c r="R297" s="321">
        <f>coder1_YH!Q297</f>
        <v>0</v>
      </c>
      <c r="S297" s="323" t="str">
        <f t="shared" si="90"/>
        <v>N</v>
      </c>
      <c r="T297" s="323" t="str">
        <f t="shared" si="91"/>
        <v/>
      </c>
      <c r="U297" s="323" t="str">
        <f t="shared" si="92"/>
        <v/>
      </c>
      <c r="V297" s="323" t="str">
        <f t="shared" si="93"/>
        <v/>
      </c>
      <c r="W297" s="323">
        <f t="shared" si="94"/>
        <v>1</v>
      </c>
      <c r="X297" s="385" t="str">
        <f>IF(coder1_YH!N297 = "",X296,coder1_YH!N297)</f>
        <v>N</v>
      </c>
      <c r="Y297" s="385" t="str">
        <f>IF(coder1_YH!O297 = "",Y296,coder1_YH!O297)</f>
        <v xml:space="preserve">m </v>
      </c>
      <c r="Z297" s="385" t="str">
        <f t="shared" si="103"/>
        <v>M</v>
      </c>
      <c r="AA297" s="385" t="str">
        <f t="shared" si="104"/>
        <v>R</v>
      </c>
      <c r="AB297" s="385" t="str">
        <f t="shared" si="95"/>
        <v>MR</v>
      </c>
      <c r="AC297" s="323" t="str">
        <f t="shared" si="96"/>
        <v xml:space="preserve">Nm </v>
      </c>
      <c r="AD297" s="323" t="str">
        <f t="shared" si="97"/>
        <v>N_R</v>
      </c>
      <c r="AF297" s="369" t="str">
        <f t="shared" si="98"/>
        <v xml:space="preserve">149-Nm </v>
      </c>
      <c r="AG297" s="369" t="str">
        <f t="shared" si="99"/>
        <v>149-N_R</v>
      </c>
      <c r="AH297" s="344">
        <f>IF(coder1_YH!R297="",AH296,coder1_YH!R297)</f>
        <v>5</v>
      </c>
      <c r="AI297" s="344">
        <f t="shared" si="85"/>
        <v>5</v>
      </c>
      <c r="AJ297" s="345">
        <f t="shared" si="100"/>
        <v>0</v>
      </c>
      <c r="AK297" s="408">
        <f>IF(coder1_YH!S297="",AK296,coder1_YH!S297)</f>
        <v>10.484999999999999</v>
      </c>
      <c r="AL297" s="345">
        <f>IF(coder1_YH!T297="",AL296,IF(coder1_YH!T297="mixed",0.25,coder1_YH!T297))</f>
        <v>1</v>
      </c>
      <c r="AM297" s="345">
        <f>IF(coder1_YH!U297 = "", AM296, IF(coder1_YH!U297="mixed","NA",coder1_YH!U297))</f>
        <v>0.125</v>
      </c>
      <c r="AN297" s="345">
        <f>IF(coder1_YH!V297="",AN296,coder1_YH!V297)</f>
        <v>0.75</v>
      </c>
      <c r="AO297" s="345" t="str">
        <f>IF(coder1_YH!W297="",AO296,coder1_YH!W297)</f>
        <v>NA</v>
      </c>
      <c r="AP297" s="345">
        <f>IF(coder1_YH!X297="",AP296,coder1_YH!X297)</f>
        <v>0.4375</v>
      </c>
      <c r="AQ297" s="345">
        <f>IF(coder1_YH!Y297="",AQ296,coder1_YH!Y297)</f>
        <v>0.9375</v>
      </c>
      <c r="AR297">
        <f>coder1_YH!AB297</f>
        <v>0</v>
      </c>
      <c r="AS297" s="345" t="str">
        <f>IF(coder1_YH!AC297 = "", AS296,IF(coder1_YH!AC297="BAU","BAU",LEFT(coder1_YH!AC297)))</f>
        <v>0</v>
      </c>
      <c r="AT297" s="345" t="str">
        <f>IF(coder1_YH!AD297 = "", AT296,IF(coder1_YH!AD297="BAU","BAU",LEFT(coder1_YH!AD297)))</f>
        <v>1</v>
      </c>
      <c r="AU297" s="345" t="str">
        <f>IF(coder1_YH!AE297 = "", AU296,IF(coder1_YH!AE297="BAU","BAU",LEFT(coder1_YH!AE297)))</f>
        <v>0</v>
      </c>
      <c r="AV297" s="345">
        <f>IF(coder1_YH!AF297="",AV296,coder1_YH!AF297)</f>
        <v>260</v>
      </c>
      <c r="AW297" s="345">
        <f t="shared" si="101"/>
        <v>4.333333333333333</v>
      </c>
      <c r="AX297" s="345">
        <f>IF(coder1_YH!AG297="",AX296,coder1_YH!AG297)</f>
        <v>13</v>
      </c>
      <c r="AY297" s="345">
        <f>IF(coder1_YH!AH297="",AY296,coder1_YH!AH297)</f>
        <v>20</v>
      </c>
      <c r="AZ297" s="345" t="str">
        <f>IF(coder1_YH!AI297 = "", AZ296, IF(coder1_YH!AI297="BAU","BAU",LEFT(coder1_YH!AI297)))</f>
        <v>1</v>
      </c>
      <c r="BA297" s="384">
        <f>clean_data!Y297</f>
        <v>16</v>
      </c>
    </row>
    <row r="298" spans="1:53" x14ac:dyDescent="0.2">
      <c r="A298">
        <f>coder1_YH!B298</f>
        <v>0</v>
      </c>
      <c r="B298">
        <f>coder1_YH!C298</f>
        <v>298</v>
      </c>
      <c r="C298">
        <f>coder1_YH!D298</f>
        <v>0</v>
      </c>
      <c r="D298" t="str">
        <f>coder1_YH!E298</f>
        <v/>
      </c>
      <c r="E298" t="str">
        <f>coder1_YH!F298</f>
        <v/>
      </c>
      <c r="F298" s="321" t="str">
        <f>IF(coder1_YH!G298="", clean_mod!F297, coder1_YH!G298)</f>
        <v>Mason, 2004</v>
      </c>
      <c r="G298" s="321" t="str">
        <f t="shared" si="86"/>
        <v>149</v>
      </c>
      <c r="H298" s="321">
        <f>IF(coder1_YH!H298="", clean_mod!H297, coder1_YH!H298)</f>
        <v>149</v>
      </c>
      <c r="I298" s="404" t="str">
        <f t="shared" si="87"/>
        <v>2004</v>
      </c>
      <c r="J298" s="344" t="str">
        <f>IF(coder1_YH!I298="",J297,coder1_YH!I298)</f>
        <v>USA</v>
      </c>
      <c r="K298" s="345">
        <f t="shared" si="88"/>
        <v>0</v>
      </c>
      <c r="L298" s="344" t="str">
        <f>IF(coder1_YH!J298 = "",L297, coder1_YH!J298)</f>
        <v>English</v>
      </c>
      <c r="M298" s="345">
        <f t="shared" si="89"/>
        <v>0</v>
      </c>
      <c r="N298" s="345" t="str">
        <f>IF(coder1_YH!K298 = "", N297, LEFT(coder1_YH!K298,1))</f>
        <v>0</v>
      </c>
      <c r="O298" s="345" t="str">
        <f>IF(coder1_YH!L298 = "", O297, LEFT(coder1_YH!L298,1))</f>
        <v>0</v>
      </c>
      <c r="P298" s="345" t="str">
        <f>IF(coder1_YH!M298 = "", P297, LEFT(coder1_YH!M298,1))</f>
        <v>0</v>
      </c>
      <c r="Q298" s="321">
        <f>coder1_YH!P298</f>
        <v>0</v>
      </c>
      <c r="R298" s="321">
        <f>coder1_YH!Q298</f>
        <v>0</v>
      </c>
      <c r="S298" s="323" t="str">
        <f t="shared" si="90"/>
        <v>N</v>
      </c>
      <c r="T298" s="323" t="str">
        <f t="shared" si="91"/>
        <v/>
      </c>
      <c r="U298" s="323" t="str">
        <f t="shared" si="92"/>
        <v/>
      </c>
      <c r="V298" s="323" t="str">
        <f t="shared" si="93"/>
        <v/>
      </c>
      <c r="W298" s="323">
        <f t="shared" si="94"/>
        <v>1</v>
      </c>
      <c r="X298" s="385" t="str">
        <f>IF(coder1_YH!N298 = "",X297,coder1_YH!N298)</f>
        <v>N</v>
      </c>
      <c r="Y298" s="385" t="str">
        <f>IF(coder1_YH!O298 = "",Y297,coder1_YH!O298)</f>
        <v xml:space="preserve">m </v>
      </c>
      <c r="Z298" s="385" t="str">
        <f t="shared" si="103"/>
        <v>M</v>
      </c>
      <c r="AA298" s="385" t="str">
        <f t="shared" si="104"/>
        <v>R</v>
      </c>
      <c r="AB298" s="385" t="str">
        <f t="shared" si="95"/>
        <v>MR</v>
      </c>
      <c r="AC298" s="323" t="str">
        <f t="shared" si="96"/>
        <v xml:space="preserve">Nm </v>
      </c>
      <c r="AD298" s="323" t="str">
        <f t="shared" si="97"/>
        <v>N_R</v>
      </c>
      <c r="AF298" s="369" t="str">
        <f t="shared" si="98"/>
        <v xml:space="preserve">149-Nm </v>
      </c>
      <c r="AG298" s="369" t="str">
        <f t="shared" si="99"/>
        <v>149-N_R</v>
      </c>
      <c r="AH298" s="344">
        <f>IF(coder1_YH!R298="",AH297,coder1_YH!R298)</f>
        <v>5</v>
      </c>
      <c r="AI298" s="344">
        <f t="shared" si="85"/>
        <v>5</v>
      </c>
      <c r="AJ298" s="345">
        <f t="shared" si="100"/>
        <v>0</v>
      </c>
      <c r="AK298" s="408">
        <f>IF(coder1_YH!S298="",AK297,coder1_YH!S298)</f>
        <v>10.484999999999999</v>
      </c>
      <c r="AL298" s="345">
        <f>IF(coder1_YH!T298="",AL297,IF(coder1_YH!T298="mixed",0.25,coder1_YH!T298))</f>
        <v>1</v>
      </c>
      <c r="AM298" s="345">
        <f>IF(coder1_YH!U298 = "", AM297, IF(coder1_YH!U298="mixed","NA",coder1_YH!U298))</f>
        <v>0.125</v>
      </c>
      <c r="AN298" s="345">
        <f>IF(coder1_YH!V298="",AN297,coder1_YH!V298)</f>
        <v>0.75</v>
      </c>
      <c r="AO298" s="345" t="str">
        <f>IF(coder1_YH!W298="",AO297,coder1_YH!W298)</f>
        <v>NA</v>
      </c>
      <c r="AP298" s="345">
        <f>IF(coder1_YH!X298="",AP297,coder1_YH!X298)</f>
        <v>0.4375</v>
      </c>
      <c r="AQ298" s="345">
        <f>IF(coder1_YH!Y298="",AQ297,coder1_YH!Y298)</f>
        <v>0.9375</v>
      </c>
      <c r="AR298">
        <f>coder1_YH!AB298</f>
        <v>0</v>
      </c>
      <c r="AS298" s="345" t="str">
        <f>IF(coder1_YH!AC298 = "", AS297,IF(coder1_YH!AC298="BAU","BAU",LEFT(coder1_YH!AC298)))</f>
        <v>0</v>
      </c>
      <c r="AT298" s="345" t="str">
        <f>IF(coder1_YH!AD298 = "", AT297,IF(coder1_YH!AD298="BAU","BAU",LEFT(coder1_YH!AD298)))</f>
        <v>1</v>
      </c>
      <c r="AU298" s="345" t="str">
        <f>IF(coder1_YH!AE298 = "", AU297,IF(coder1_YH!AE298="BAU","BAU",LEFT(coder1_YH!AE298)))</f>
        <v>0</v>
      </c>
      <c r="AV298" s="345">
        <f>IF(coder1_YH!AF298="",AV297,coder1_YH!AF298)</f>
        <v>260</v>
      </c>
      <c r="AW298" s="345">
        <f t="shared" si="101"/>
        <v>4.333333333333333</v>
      </c>
      <c r="AX298" s="345">
        <f>IF(coder1_YH!AG298="",AX297,coder1_YH!AG298)</f>
        <v>13</v>
      </c>
      <c r="AY298" s="345">
        <f>IF(coder1_YH!AH298="",AY297,coder1_YH!AH298)</f>
        <v>20</v>
      </c>
      <c r="AZ298" s="345" t="str">
        <f>IF(coder1_YH!AI298 = "", AZ297, IF(coder1_YH!AI298="BAU","BAU",LEFT(coder1_YH!AI298)))</f>
        <v>1</v>
      </c>
      <c r="BA298" s="384">
        <f>clean_data!Y298</f>
        <v>16</v>
      </c>
    </row>
    <row r="299" spans="1:53" x14ac:dyDescent="0.2">
      <c r="A299">
        <f>coder1_YH!B299</f>
        <v>0</v>
      </c>
      <c r="B299">
        <f>coder1_YH!C299</f>
        <v>299</v>
      </c>
      <c r="C299">
        <f>coder1_YH!D299</f>
        <v>0</v>
      </c>
      <c r="D299" t="str">
        <f>coder1_YH!E299</f>
        <v/>
      </c>
      <c r="E299" t="str">
        <f>coder1_YH!F299</f>
        <v/>
      </c>
      <c r="F299" s="321" t="str">
        <f>IF(coder1_YH!G299="", clean_mod!F298, coder1_YH!G299)</f>
        <v>Mason, 2004</v>
      </c>
      <c r="G299" s="321" t="str">
        <f t="shared" si="86"/>
        <v>149</v>
      </c>
      <c r="H299" s="321">
        <f>IF(coder1_YH!H299="", clean_mod!H298, coder1_YH!H299)</f>
        <v>149</v>
      </c>
      <c r="I299" s="404" t="str">
        <f t="shared" si="87"/>
        <v>2004</v>
      </c>
      <c r="J299" s="344" t="str">
        <f>IF(coder1_YH!I299="",J298,coder1_YH!I299)</f>
        <v>USA</v>
      </c>
      <c r="K299" s="345">
        <f t="shared" si="88"/>
        <v>0</v>
      </c>
      <c r="L299" s="344" t="str">
        <f>IF(coder1_YH!J299 = "",L298, coder1_YH!J299)</f>
        <v>English</v>
      </c>
      <c r="M299" s="345">
        <f t="shared" si="89"/>
        <v>0</v>
      </c>
      <c r="N299" s="345" t="str">
        <f>IF(coder1_YH!K299 = "", N298, LEFT(coder1_YH!K299,1))</f>
        <v>0</v>
      </c>
      <c r="O299" s="345" t="str">
        <f>IF(coder1_YH!L299 = "", O298, LEFT(coder1_YH!L299,1))</f>
        <v>0</v>
      </c>
      <c r="P299" s="345" t="str">
        <f>IF(coder1_YH!M299 = "", P298, LEFT(coder1_YH!M299,1))</f>
        <v>0</v>
      </c>
      <c r="Q299" s="321">
        <f>coder1_YH!P299</f>
        <v>0</v>
      </c>
      <c r="R299" s="321">
        <f>coder1_YH!Q299</f>
        <v>0</v>
      </c>
      <c r="S299" s="323" t="str">
        <f t="shared" si="90"/>
        <v>N</v>
      </c>
      <c r="T299" s="323" t="str">
        <f t="shared" si="91"/>
        <v/>
      </c>
      <c r="U299" s="323" t="str">
        <f t="shared" si="92"/>
        <v/>
      </c>
      <c r="V299" s="323" t="str">
        <f t="shared" si="93"/>
        <v/>
      </c>
      <c r="W299" s="323">
        <f t="shared" si="94"/>
        <v>1</v>
      </c>
      <c r="X299" s="385" t="str">
        <f>IF(coder1_YH!N299 = "",X298,coder1_YH!N299)</f>
        <v>N</v>
      </c>
      <c r="Y299" s="385" t="str">
        <f>IF(coder1_YH!O299 = "",Y298,coder1_YH!O299)</f>
        <v xml:space="preserve">m </v>
      </c>
      <c r="Z299" s="385" t="str">
        <f t="shared" si="103"/>
        <v>M</v>
      </c>
      <c r="AA299" s="385" t="str">
        <f t="shared" si="104"/>
        <v>R</v>
      </c>
      <c r="AB299" s="385" t="str">
        <f t="shared" si="95"/>
        <v>MR</v>
      </c>
      <c r="AC299" s="323" t="str">
        <f t="shared" si="96"/>
        <v xml:space="preserve">Nm </v>
      </c>
      <c r="AD299" s="323" t="str">
        <f t="shared" si="97"/>
        <v>N_R</v>
      </c>
      <c r="AF299" s="369" t="str">
        <f t="shared" si="98"/>
        <v xml:space="preserve">149-Nm </v>
      </c>
      <c r="AG299" s="369" t="str">
        <f t="shared" si="99"/>
        <v>149-N_R</v>
      </c>
      <c r="AH299" s="344">
        <f>IF(coder1_YH!R299="",AH298,coder1_YH!R299)</f>
        <v>5</v>
      </c>
      <c r="AI299" s="344">
        <f t="shared" si="85"/>
        <v>5</v>
      </c>
      <c r="AJ299" s="345">
        <f t="shared" si="100"/>
        <v>0</v>
      </c>
      <c r="AK299" s="408">
        <f>IF(coder1_YH!S299="",AK298,coder1_YH!S299)</f>
        <v>10.484999999999999</v>
      </c>
      <c r="AL299" s="345">
        <f>IF(coder1_YH!T299="",AL298,IF(coder1_YH!T299="mixed",0.25,coder1_YH!T299))</f>
        <v>1</v>
      </c>
      <c r="AM299" s="345">
        <f>IF(coder1_YH!U299 = "", AM298, IF(coder1_YH!U299="mixed","NA",coder1_YH!U299))</f>
        <v>0.125</v>
      </c>
      <c r="AN299" s="345">
        <f>IF(coder1_YH!V299="",AN298,coder1_YH!V299)</f>
        <v>0.75</v>
      </c>
      <c r="AO299" s="345" t="str">
        <f>IF(coder1_YH!W299="",AO298,coder1_YH!W299)</f>
        <v>NA</v>
      </c>
      <c r="AP299" s="345">
        <f>IF(coder1_YH!X299="",AP298,coder1_YH!X299)</f>
        <v>0.4375</v>
      </c>
      <c r="AQ299" s="345">
        <f>IF(coder1_YH!Y299="",AQ298,coder1_YH!Y299)</f>
        <v>0.9375</v>
      </c>
      <c r="AR299">
        <f>coder1_YH!AB299</f>
        <v>0</v>
      </c>
      <c r="AS299" s="345" t="str">
        <f>IF(coder1_YH!AC299 = "", AS298,IF(coder1_YH!AC299="BAU","BAU",LEFT(coder1_YH!AC299)))</f>
        <v>0</v>
      </c>
      <c r="AT299" s="345" t="str">
        <f>IF(coder1_YH!AD299 = "", AT298,IF(coder1_YH!AD299="BAU","BAU",LEFT(coder1_YH!AD299)))</f>
        <v>1</v>
      </c>
      <c r="AU299" s="345" t="str">
        <f>IF(coder1_YH!AE299 = "", AU298,IF(coder1_YH!AE299="BAU","BAU",LEFT(coder1_YH!AE299)))</f>
        <v>0</v>
      </c>
      <c r="AV299" s="345">
        <f>IF(coder1_YH!AF299="",AV298,coder1_YH!AF299)</f>
        <v>260</v>
      </c>
      <c r="AW299" s="345">
        <f t="shared" si="101"/>
        <v>4.333333333333333</v>
      </c>
      <c r="AX299" s="345">
        <f>IF(coder1_YH!AG299="",AX298,coder1_YH!AG299)</f>
        <v>13</v>
      </c>
      <c r="AY299" s="345">
        <f>IF(coder1_YH!AH299="",AY298,coder1_YH!AH299)</f>
        <v>20</v>
      </c>
      <c r="AZ299" s="345" t="str">
        <f>IF(coder1_YH!AI299 = "", AZ298, IF(coder1_YH!AI299="BAU","BAU",LEFT(coder1_YH!AI299)))</f>
        <v>1</v>
      </c>
      <c r="BA299" s="384">
        <f>clean_data!Y299</f>
        <v>16</v>
      </c>
    </row>
    <row r="300" spans="1:53" x14ac:dyDescent="0.2">
      <c r="A300">
        <f>coder1_YH!B300</f>
        <v>0</v>
      </c>
      <c r="B300">
        <f>coder1_YH!C300</f>
        <v>300</v>
      </c>
      <c r="C300">
        <f>coder1_YH!D300</f>
        <v>0</v>
      </c>
      <c r="D300" t="str">
        <f>coder1_YH!E300</f>
        <v/>
      </c>
      <c r="E300" t="str">
        <f>coder1_YH!F300</f>
        <v/>
      </c>
      <c r="F300" s="321" t="str">
        <f>IF(coder1_YH!G300="", clean_mod!F299, coder1_YH!G300)</f>
        <v>Mason, 2004</v>
      </c>
      <c r="G300" s="321" t="str">
        <f t="shared" si="86"/>
        <v>149</v>
      </c>
      <c r="H300" s="321">
        <f>IF(coder1_YH!H300="", clean_mod!H299, coder1_YH!H300)</f>
        <v>149</v>
      </c>
      <c r="I300" s="404" t="str">
        <f t="shared" si="87"/>
        <v>2004</v>
      </c>
      <c r="J300" s="344" t="str">
        <f>IF(coder1_YH!I300="",J299,coder1_YH!I300)</f>
        <v>USA</v>
      </c>
      <c r="K300" s="345">
        <f t="shared" si="88"/>
        <v>0</v>
      </c>
      <c r="L300" s="344" t="str">
        <f>IF(coder1_YH!J300 = "",L299, coder1_YH!J300)</f>
        <v>English</v>
      </c>
      <c r="M300" s="345">
        <f t="shared" si="89"/>
        <v>0</v>
      </c>
      <c r="N300" s="345" t="str">
        <f>IF(coder1_YH!K300 = "", N299, LEFT(coder1_YH!K300,1))</f>
        <v>0</v>
      </c>
      <c r="O300" s="345" t="str">
        <f>IF(coder1_YH!L300 = "", O299, LEFT(coder1_YH!L300,1))</f>
        <v>0</v>
      </c>
      <c r="P300" s="345" t="str">
        <f>IF(coder1_YH!M300 = "", P299, LEFT(coder1_YH!M300,1))</f>
        <v>0</v>
      </c>
      <c r="Q300" s="321">
        <f>coder1_YH!P300</f>
        <v>0</v>
      </c>
      <c r="R300" s="321">
        <f>coder1_YH!Q300</f>
        <v>0</v>
      </c>
      <c r="S300" s="323" t="str">
        <f t="shared" si="90"/>
        <v>N</v>
      </c>
      <c r="T300" s="323" t="str">
        <f t="shared" si="91"/>
        <v/>
      </c>
      <c r="U300" s="323" t="str">
        <f t="shared" si="92"/>
        <v/>
      </c>
      <c r="V300" s="323" t="str">
        <f t="shared" si="93"/>
        <v/>
      </c>
      <c r="W300" s="323">
        <f t="shared" si="94"/>
        <v>1</v>
      </c>
      <c r="X300" s="385" t="str">
        <f>IF(coder1_YH!N300 = "",X299,coder1_YH!N300)</f>
        <v>N</v>
      </c>
      <c r="Y300" s="385" t="str">
        <f>IF(coder1_YH!O300 = "",Y299,coder1_YH!O300)</f>
        <v xml:space="preserve">m </v>
      </c>
      <c r="Z300" s="385" t="str">
        <f t="shared" si="103"/>
        <v>M</v>
      </c>
      <c r="AA300" s="385" t="str">
        <f t="shared" si="104"/>
        <v>R</v>
      </c>
      <c r="AB300" s="385" t="str">
        <f t="shared" si="95"/>
        <v>MR</v>
      </c>
      <c r="AC300" s="323" t="str">
        <f t="shared" si="96"/>
        <v xml:space="preserve">Nm </v>
      </c>
      <c r="AD300" s="323" t="str">
        <f t="shared" si="97"/>
        <v>N_R</v>
      </c>
      <c r="AF300" s="369" t="str">
        <f t="shared" si="98"/>
        <v xml:space="preserve">149-Nm </v>
      </c>
      <c r="AG300" s="369" t="str">
        <f t="shared" si="99"/>
        <v>149-N_R</v>
      </c>
      <c r="AH300" s="344">
        <f>IF(coder1_YH!R300="",AH299,coder1_YH!R300)</f>
        <v>5</v>
      </c>
      <c r="AI300" s="344">
        <f t="shared" si="85"/>
        <v>5</v>
      </c>
      <c r="AJ300" s="345">
        <f t="shared" si="100"/>
        <v>0</v>
      </c>
      <c r="AK300" s="408">
        <f>IF(coder1_YH!S300="",AK299,coder1_YH!S300)</f>
        <v>10.484999999999999</v>
      </c>
      <c r="AL300" s="345">
        <f>IF(coder1_YH!T300="",AL299,IF(coder1_YH!T300="mixed",0.25,coder1_YH!T300))</f>
        <v>1</v>
      </c>
      <c r="AM300" s="345">
        <f>IF(coder1_YH!U300 = "", AM299, IF(coder1_YH!U300="mixed","NA",coder1_YH!U300))</f>
        <v>0.125</v>
      </c>
      <c r="AN300" s="345">
        <f>IF(coder1_YH!V300="",AN299,coder1_YH!V300)</f>
        <v>0.75</v>
      </c>
      <c r="AO300" s="345" t="str">
        <f>IF(coder1_YH!W300="",AO299,coder1_YH!W300)</f>
        <v>NA</v>
      </c>
      <c r="AP300" s="345">
        <f>IF(coder1_YH!X300="",AP299,coder1_YH!X300)</f>
        <v>0.4375</v>
      </c>
      <c r="AQ300" s="345">
        <f>IF(coder1_YH!Y300="",AQ299,coder1_YH!Y300)</f>
        <v>0.9375</v>
      </c>
      <c r="AR300">
        <f>coder1_YH!AB300</f>
        <v>0</v>
      </c>
      <c r="AS300" s="345" t="str">
        <f>IF(coder1_YH!AC300 = "", AS299,IF(coder1_YH!AC300="BAU","BAU",LEFT(coder1_YH!AC300)))</f>
        <v>0</v>
      </c>
      <c r="AT300" s="345" t="str">
        <f>IF(coder1_YH!AD300 = "", AT299,IF(coder1_YH!AD300="BAU","BAU",LEFT(coder1_YH!AD300)))</f>
        <v>1</v>
      </c>
      <c r="AU300" s="345" t="str">
        <f>IF(coder1_YH!AE300 = "", AU299,IF(coder1_YH!AE300="BAU","BAU",LEFT(coder1_YH!AE300)))</f>
        <v>0</v>
      </c>
      <c r="AV300" s="345">
        <f>IF(coder1_YH!AF300="",AV299,coder1_YH!AF300)</f>
        <v>260</v>
      </c>
      <c r="AW300" s="345">
        <f t="shared" si="101"/>
        <v>4.333333333333333</v>
      </c>
      <c r="AX300" s="345">
        <f>IF(coder1_YH!AG300="",AX299,coder1_YH!AG300)</f>
        <v>13</v>
      </c>
      <c r="AY300" s="345">
        <f>IF(coder1_YH!AH300="",AY299,coder1_YH!AH300)</f>
        <v>20</v>
      </c>
      <c r="AZ300" s="345" t="str">
        <f>IF(coder1_YH!AI300 = "", AZ299, IF(coder1_YH!AI300="BAU","BAU",LEFT(coder1_YH!AI300)))</f>
        <v>1</v>
      </c>
      <c r="BA300" s="384">
        <f>clean_data!Y300</f>
        <v>16</v>
      </c>
    </row>
    <row r="301" spans="1:53" x14ac:dyDescent="0.2">
      <c r="A301">
        <f>coder1_YH!B301</f>
        <v>0</v>
      </c>
      <c r="B301">
        <f>coder1_YH!C301</f>
        <v>301</v>
      </c>
      <c r="C301">
        <f>coder1_YH!D301</f>
        <v>0</v>
      </c>
      <c r="D301" t="str">
        <f>coder1_YH!E301</f>
        <v/>
      </c>
      <c r="E301" t="str">
        <f>coder1_YH!F301</f>
        <v/>
      </c>
      <c r="F301" s="321" t="str">
        <f>IF(coder1_YH!G301="", clean_mod!F300, coder1_YH!G301)</f>
        <v>Mason, 2004</v>
      </c>
      <c r="G301" s="321" t="str">
        <f t="shared" si="86"/>
        <v>149</v>
      </c>
      <c r="H301" s="321">
        <f>IF(coder1_YH!H301="", clean_mod!H300, coder1_YH!H301)</f>
        <v>149</v>
      </c>
      <c r="I301" s="404" t="str">
        <f t="shared" si="87"/>
        <v>2004</v>
      </c>
      <c r="J301" s="344" t="str">
        <f>IF(coder1_YH!I301="",J300,coder1_YH!I301)</f>
        <v>USA</v>
      </c>
      <c r="K301" s="345">
        <f t="shared" si="88"/>
        <v>0</v>
      </c>
      <c r="L301" s="344" t="str">
        <f>IF(coder1_YH!J301 = "",L300, coder1_YH!J301)</f>
        <v>English</v>
      </c>
      <c r="M301" s="345">
        <f t="shared" si="89"/>
        <v>0</v>
      </c>
      <c r="N301" s="345" t="str">
        <f>IF(coder1_YH!K301 = "", N300, LEFT(coder1_YH!K301,1))</f>
        <v>0</v>
      </c>
      <c r="O301" s="345" t="str">
        <f>IF(coder1_YH!L301 = "", O300, LEFT(coder1_YH!L301,1))</f>
        <v>0</v>
      </c>
      <c r="P301" s="345" t="str">
        <f>IF(coder1_YH!M301 = "", P300, LEFT(coder1_YH!M301,1))</f>
        <v>0</v>
      </c>
      <c r="Q301" s="321">
        <f>coder1_YH!P301</f>
        <v>0</v>
      </c>
      <c r="R301" s="321">
        <f>coder1_YH!Q301</f>
        <v>0</v>
      </c>
      <c r="S301" s="323" t="str">
        <f t="shared" si="90"/>
        <v>N</v>
      </c>
      <c r="T301" s="323" t="str">
        <f t="shared" si="91"/>
        <v/>
      </c>
      <c r="U301" s="323" t="str">
        <f t="shared" si="92"/>
        <v/>
      </c>
      <c r="V301" s="323" t="str">
        <f t="shared" si="93"/>
        <v/>
      </c>
      <c r="W301" s="323">
        <f t="shared" si="94"/>
        <v>1</v>
      </c>
      <c r="X301" s="385" t="str">
        <f>IF(coder1_YH!N301 = "",X300,coder1_YH!N301)</f>
        <v>N</v>
      </c>
      <c r="Y301" s="385" t="str">
        <f>IF(coder1_YH!O301 = "",Y300,coder1_YH!O301)</f>
        <v xml:space="preserve">m </v>
      </c>
      <c r="Z301" s="385" t="str">
        <f t="shared" si="103"/>
        <v>M</v>
      </c>
      <c r="AA301" s="385" t="str">
        <f t="shared" si="104"/>
        <v>R</v>
      </c>
      <c r="AB301" s="385" t="str">
        <f t="shared" si="95"/>
        <v>MR</v>
      </c>
      <c r="AC301" s="323" t="str">
        <f t="shared" si="96"/>
        <v xml:space="preserve">Nm </v>
      </c>
      <c r="AD301" s="323" t="str">
        <f t="shared" si="97"/>
        <v>N_R</v>
      </c>
      <c r="AF301" s="369" t="str">
        <f t="shared" si="98"/>
        <v xml:space="preserve">149-Nm </v>
      </c>
      <c r="AG301" s="369" t="str">
        <f t="shared" si="99"/>
        <v>149-N_R</v>
      </c>
      <c r="AH301" s="344">
        <f>IF(coder1_YH!R301="",AH300,coder1_YH!R301)</f>
        <v>5</v>
      </c>
      <c r="AI301" s="344">
        <f t="shared" si="85"/>
        <v>5</v>
      </c>
      <c r="AJ301" s="345">
        <f t="shared" si="100"/>
        <v>0</v>
      </c>
      <c r="AK301" s="408">
        <f>IF(coder1_YH!S301="",AK300,coder1_YH!S301)</f>
        <v>10.484999999999999</v>
      </c>
      <c r="AL301" s="345">
        <f>IF(coder1_YH!T301="",AL300,IF(coder1_YH!T301="mixed",0.25,coder1_YH!T301))</f>
        <v>1</v>
      </c>
      <c r="AM301" s="345">
        <f>IF(coder1_YH!U301 = "", AM300, IF(coder1_YH!U301="mixed","NA",coder1_YH!U301))</f>
        <v>0.125</v>
      </c>
      <c r="AN301" s="345">
        <f>IF(coder1_YH!V301="",AN300,coder1_YH!V301)</f>
        <v>0.75</v>
      </c>
      <c r="AO301" s="345" t="str">
        <f>IF(coder1_YH!W301="",AO300,coder1_YH!W301)</f>
        <v>NA</v>
      </c>
      <c r="AP301" s="345">
        <f>IF(coder1_YH!X301="",AP300,coder1_YH!X301)</f>
        <v>0.4375</v>
      </c>
      <c r="AQ301" s="345">
        <f>IF(coder1_YH!Y301="",AQ300,coder1_YH!Y301)</f>
        <v>0.9375</v>
      </c>
      <c r="AR301">
        <f>coder1_YH!AB301</f>
        <v>0</v>
      </c>
      <c r="AS301" s="345" t="str">
        <f>IF(coder1_YH!AC301 = "", AS300,IF(coder1_YH!AC301="BAU","BAU",LEFT(coder1_YH!AC301)))</f>
        <v>0</v>
      </c>
      <c r="AT301" s="345" t="str">
        <f>IF(coder1_YH!AD301 = "", AT300,IF(coder1_YH!AD301="BAU","BAU",LEFT(coder1_YH!AD301)))</f>
        <v>1</v>
      </c>
      <c r="AU301" s="345" t="str">
        <f>IF(coder1_YH!AE301 = "", AU300,IF(coder1_YH!AE301="BAU","BAU",LEFT(coder1_YH!AE301)))</f>
        <v>0</v>
      </c>
      <c r="AV301" s="345">
        <f>IF(coder1_YH!AF301="",AV300,coder1_YH!AF301)</f>
        <v>260</v>
      </c>
      <c r="AW301" s="345">
        <f t="shared" si="101"/>
        <v>4.333333333333333</v>
      </c>
      <c r="AX301" s="345">
        <f>IF(coder1_YH!AG301="",AX300,coder1_YH!AG301)</f>
        <v>13</v>
      </c>
      <c r="AY301" s="345">
        <f>IF(coder1_YH!AH301="",AY300,coder1_YH!AH301)</f>
        <v>20</v>
      </c>
      <c r="AZ301" s="345" t="str">
        <f>IF(coder1_YH!AI301 = "", AZ300, IF(coder1_YH!AI301="BAU","BAU",LEFT(coder1_YH!AI301)))</f>
        <v>1</v>
      </c>
      <c r="BA301" s="384">
        <f>clean_data!Y301</f>
        <v>16</v>
      </c>
    </row>
    <row r="302" spans="1:53" x14ac:dyDescent="0.2">
      <c r="A302">
        <f>coder1_YH!B302</f>
        <v>0</v>
      </c>
      <c r="B302">
        <f>coder1_YH!C302</f>
        <v>302</v>
      </c>
      <c r="C302">
        <f>coder1_YH!D302</f>
        <v>0</v>
      </c>
      <c r="D302">
        <f>coder1_YH!E302</f>
        <v>0</v>
      </c>
      <c r="E302" t="b">
        <f>coder1_YH!F302</f>
        <v>1</v>
      </c>
      <c r="F302" s="321" t="str">
        <f>IF(coder1_YH!G302="", clean_mod!F301, coder1_YH!G302)</f>
        <v>Cirino et al., 2017</v>
      </c>
      <c r="G302" s="321" t="str">
        <f t="shared" si="86"/>
        <v>150</v>
      </c>
      <c r="H302" s="321">
        <f>IF(coder1_YH!H302="", clean_mod!H301, coder1_YH!H302)</f>
        <v>150</v>
      </c>
      <c r="I302" s="404" t="str">
        <f t="shared" si="87"/>
        <v>2017</v>
      </c>
      <c r="J302" s="344" t="str">
        <f>IF(coder1_YH!I302="",J301,coder1_YH!I302)</f>
        <v>USA</v>
      </c>
      <c r="K302" s="345">
        <f t="shared" si="88"/>
        <v>0</v>
      </c>
      <c r="L302" s="344" t="str">
        <f>IF(coder1_YH!J302 = "",L301, coder1_YH!J302)</f>
        <v>English</v>
      </c>
      <c r="M302" s="345">
        <f t="shared" si="89"/>
        <v>0</v>
      </c>
      <c r="N302" s="345" t="str">
        <f>IF(coder1_YH!K302 = "", N301, LEFT(coder1_YH!K302,1))</f>
        <v>0</v>
      </c>
      <c r="O302" s="345" t="str">
        <f>IF(coder1_YH!L302 = "", O301, LEFT(coder1_YH!L302,1))</f>
        <v>0</v>
      </c>
      <c r="P302" s="345" t="str">
        <f>IF(coder1_YH!M302 = "", P301, LEFT(coder1_YH!M302,1))</f>
        <v>0</v>
      </c>
      <c r="Q302" s="321" t="str">
        <f>coder1_YH!P302</f>
        <v>ctl</v>
      </c>
      <c r="R302" s="321" t="str">
        <f>coder1_YH!Q302</f>
        <v xml:space="preserve">Control </v>
      </c>
      <c r="S302" s="323" t="str">
        <f t="shared" si="90"/>
        <v/>
      </c>
      <c r="T302" s="323" t="str">
        <f t="shared" si="91"/>
        <v/>
      </c>
      <c r="U302" s="323" t="str">
        <f t="shared" si="92"/>
        <v/>
      </c>
      <c r="V302" s="323" t="str">
        <f t="shared" si="93"/>
        <v/>
      </c>
      <c r="W302" s="323">
        <f t="shared" si="94"/>
        <v>0</v>
      </c>
      <c r="X302" s="385" t="str">
        <f>IF(coder1_YH!N302 = "",X301,coder1_YH!N302)</f>
        <v>.</v>
      </c>
      <c r="Y302" s="385" t="str">
        <f>IF(coder1_YH!O302 = "",Y301,coder1_YH!O302)</f>
        <v>.</v>
      </c>
      <c r="Z302" s="385" t="str">
        <f t="shared" si="103"/>
        <v/>
      </c>
      <c r="AA302" s="385" t="str">
        <f t="shared" si="104"/>
        <v>BAU</v>
      </c>
      <c r="AB302" s="385" t="str">
        <f t="shared" si="95"/>
        <v>BAU</v>
      </c>
      <c r="AC302" s="323" t="str">
        <f t="shared" si="96"/>
        <v>..</v>
      </c>
      <c r="AD302" s="323" t="str">
        <f t="shared" si="97"/>
        <v>BAU</v>
      </c>
      <c r="AF302" s="369" t="str">
        <f t="shared" si="98"/>
        <v>150-..</v>
      </c>
      <c r="AG302" s="369" t="str">
        <f t="shared" si="99"/>
        <v>150-BAU</v>
      </c>
      <c r="AH302" s="344">
        <f>IF(coder1_YH!R302="",AH301,coder1_YH!R302)</f>
        <v>4</v>
      </c>
      <c r="AI302" s="344">
        <f t="shared" si="85"/>
        <v>4</v>
      </c>
      <c r="AJ302" s="345">
        <f t="shared" si="100"/>
        <v>0</v>
      </c>
      <c r="AK302" s="408">
        <f>IF(coder1_YH!S302="",AK301,coder1_YH!S302)</f>
        <v>10.02</v>
      </c>
      <c r="AL302" s="345">
        <f>IF(coder1_YH!T302="",AL301,IF(coder1_YH!T302="mixed",0.25,coder1_YH!T302))</f>
        <v>1</v>
      </c>
      <c r="AM302" s="345" t="str">
        <f>IF(coder1_YH!U302 = "", AM301, IF(coder1_YH!U302="mixed","NA",coder1_YH!U302))</f>
        <v>NA</v>
      </c>
      <c r="AN302" s="345" t="str">
        <f>IF(coder1_YH!V302="",AN301,coder1_YH!V302)</f>
        <v>NA</v>
      </c>
      <c r="AO302" s="345">
        <f>IF(coder1_YH!W302="",AO301,coder1_YH!W302)</f>
        <v>0</v>
      </c>
      <c r="AP302" s="345">
        <f>IF(coder1_YH!X302="",AP301,coder1_YH!X302)</f>
        <v>0.48150000000000004</v>
      </c>
      <c r="AQ302" s="345">
        <f>IF(coder1_YH!Y302="",AQ301,coder1_YH!Y302)</f>
        <v>0.92589999999999995</v>
      </c>
      <c r="AR302" t="str">
        <f>coder1_YH!AB302</f>
        <v>3 = NA (for BAU/AC Condition)</v>
      </c>
      <c r="AS302" s="345" t="str">
        <f>IF(coder1_YH!AC302 = "", AS301,IF(coder1_YH!AC302="BAU","BAU",LEFT(coder1_YH!AC302)))</f>
        <v>BAU</v>
      </c>
      <c r="AT302" s="345" t="str">
        <f>IF(coder1_YH!AD302 = "", AT301,IF(coder1_YH!AD302="BAU","BAU",LEFT(coder1_YH!AD302)))</f>
        <v>BAU</v>
      </c>
      <c r="AU302" s="345" t="str">
        <f>IF(coder1_YH!AE302 = "", AU301,IF(coder1_YH!AE302="BAU","BAU",LEFT(coder1_YH!AE302)))</f>
        <v>BAU</v>
      </c>
      <c r="AV302" s="345" t="str">
        <f>IF(coder1_YH!AF302="",AV301,coder1_YH!AF302)</f>
        <v>BAU</v>
      </c>
      <c r="AW302" s="345" t="str">
        <f t="shared" si="101"/>
        <v>BAU</v>
      </c>
      <c r="AX302" s="345" t="str">
        <f>IF(coder1_YH!AG302="",AX301,coder1_YH!AG302)</f>
        <v>BAU</v>
      </c>
      <c r="AY302" s="345" t="str">
        <f>IF(coder1_YH!AH302="",AY301,coder1_YH!AH302)</f>
        <v>BAU</v>
      </c>
      <c r="AZ302" s="345" t="str">
        <f>IF(coder1_YH!AI302 = "", AZ301, IF(coder1_YH!AI302="BAU","BAU",LEFT(coder1_YH!AI302)))</f>
        <v>BAU</v>
      </c>
      <c r="BA302" s="384">
        <f>clean_data!Y302</f>
        <v>27</v>
      </c>
    </row>
    <row r="303" spans="1:53" x14ac:dyDescent="0.2">
      <c r="A303">
        <f>coder1_YH!B303</f>
        <v>0</v>
      </c>
      <c r="B303">
        <f>coder1_YH!C303</f>
        <v>303</v>
      </c>
      <c r="C303">
        <f>coder1_YH!D303</f>
        <v>0</v>
      </c>
      <c r="D303">
        <f>coder1_YH!E303</f>
        <v>0</v>
      </c>
      <c r="E303" t="b">
        <f>coder1_YH!F303</f>
        <v>1</v>
      </c>
      <c r="F303" s="321" t="str">
        <f>IF(coder1_YH!G303="", clean_mod!F302, coder1_YH!G303)</f>
        <v>Cirino et al., 2017</v>
      </c>
      <c r="G303" s="321" t="str">
        <f t="shared" si="86"/>
        <v>150</v>
      </c>
      <c r="H303" s="321">
        <f>IF(coder1_YH!H303="", clean_mod!H302, coder1_YH!H303)</f>
        <v>150</v>
      </c>
      <c r="I303" s="404" t="str">
        <f t="shared" si="87"/>
        <v>2017</v>
      </c>
      <c r="J303" s="344" t="str">
        <f>IF(coder1_YH!I303="",J302,coder1_YH!I303)</f>
        <v>USA</v>
      </c>
      <c r="K303" s="345">
        <f t="shared" si="88"/>
        <v>0</v>
      </c>
      <c r="L303" s="344" t="str">
        <f>IF(coder1_YH!J303 = "",L302, coder1_YH!J303)</f>
        <v>English</v>
      </c>
      <c r="M303" s="345">
        <f t="shared" si="89"/>
        <v>0</v>
      </c>
      <c r="N303" s="345" t="str">
        <f>IF(coder1_YH!K303 = "", N302, LEFT(coder1_YH!K303,1))</f>
        <v>0</v>
      </c>
      <c r="O303" s="345" t="str">
        <f>IF(coder1_YH!L303 = "", O302, LEFT(coder1_YH!L303,1))</f>
        <v>0</v>
      </c>
      <c r="P303" s="345" t="str">
        <f>IF(coder1_YH!M303 = "", P302, LEFT(coder1_YH!M303,1))</f>
        <v>0</v>
      </c>
      <c r="Q303" s="321">
        <f>coder1_YH!P303</f>
        <v>1</v>
      </c>
      <c r="R303" s="321" t="str">
        <f>coder1_YH!Q303</f>
        <v>TB</v>
      </c>
      <c r="S303" s="323" t="str">
        <f t="shared" si="90"/>
        <v/>
      </c>
      <c r="T303" s="323" t="str">
        <f t="shared" si="91"/>
        <v/>
      </c>
      <c r="U303" s="323" t="str">
        <f t="shared" si="92"/>
        <v/>
      </c>
      <c r="V303" s="323" t="str">
        <f t="shared" si="93"/>
        <v/>
      </c>
      <c r="W303" s="323">
        <f t="shared" si="94"/>
        <v>0</v>
      </c>
      <c r="X303" s="385" t="str">
        <f>IF(coder1_YH!N303 = "",X302,coder1_YH!N303)</f>
        <v>.</v>
      </c>
      <c r="Y303" s="385" t="str">
        <f>IF(coder1_YH!O303 = "",Y302,coder1_YH!O303)</f>
        <v>cm</v>
      </c>
      <c r="Z303" s="385" t="str">
        <f t="shared" si="103"/>
        <v/>
      </c>
      <c r="AA303" s="385" t="str">
        <f t="shared" si="104"/>
        <v>R</v>
      </c>
      <c r="AB303" s="385" t="str">
        <f t="shared" si="95"/>
        <v>R</v>
      </c>
      <c r="AC303" s="323" t="str">
        <f t="shared" si="96"/>
        <v>.cm</v>
      </c>
      <c r="AD303" s="323" t="str">
        <f t="shared" si="97"/>
        <v>R</v>
      </c>
      <c r="AF303" s="369" t="str">
        <f t="shared" si="98"/>
        <v>150-.cm</v>
      </c>
      <c r="AG303" s="369" t="str">
        <f t="shared" si="99"/>
        <v>150-R</v>
      </c>
      <c r="AH303" s="344">
        <f>IF(coder1_YH!R303="",AH302,coder1_YH!R303)</f>
        <v>4</v>
      </c>
      <c r="AI303" s="344">
        <f t="shared" si="85"/>
        <v>4</v>
      </c>
      <c r="AJ303" s="345">
        <f t="shared" si="100"/>
        <v>0</v>
      </c>
      <c r="AK303" s="408">
        <f>IF(coder1_YH!S303="",AK302,coder1_YH!S303)</f>
        <v>10.220000000000001</v>
      </c>
      <c r="AL303" s="345">
        <f>IF(coder1_YH!T303="",AL302,IF(coder1_YH!T303="mixed",0.25,coder1_YH!T303))</f>
        <v>1</v>
      </c>
      <c r="AM303" s="345" t="str">
        <f>IF(coder1_YH!U303 = "", AM302, IF(coder1_YH!U303="mixed","NA",coder1_YH!U303))</f>
        <v>NA</v>
      </c>
      <c r="AN303" s="345" t="str">
        <f>IF(coder1_YH!V303="",AN302,coder1_YH!V303)</f>
        <v>NA</v>
      </c>
      <c r="AO303" s="345">
        <f>IF(coder1_YH!W303="",AO302,coder1_YH!W303)</f>
        <v>0</v>
      </c>
      <c r="AP303" s="345">
        <f>IF(coder1_YH!X303="",AP302,coder1_YH!X303)</f>
        <v>0.625</v>
      </c>
      <c r="AQ303" s="345">
        <f>IF(coder1_YH!Y303="",AQ302,coder1_YH!Y303)</f>
        <v>1</v>
      </c>
      <c r="AR303" t="str">
        <f>coder1_YH!AB303</f>
        <v>0 = Researcher-developed/adapted curriculum</v>
      </c>
      <c r="AS303" s="345" t="str">
        <f>IF(coder1_YH!AC303 = "", AS302,IF(coder1_YH!AC303="BAU","BAU",LEFT(coder1_YH!AC303)))</f>
        <v>0</v>
      </c>
      <c r="AT303" s="345" t="str">
        <f>IF(coder1_YH!AD303 = "", AT302,IF(coder1_YH!AD303="BAU","BAU",LEFT(coder1_YH!AD303)))</f>
        <v>1</v>
      </c>
      <c r="AU303" s="345" t="str">
        <f>IF(coder1_YH!AE303 = "", AU302,IF(coder1_YH!AE303="BAU","BAU",LEFT(coder1_YH!AE303)))</f>
        <v>0</v>
      </c>
      <c r="AV303" s="345">
        <f>IF(coder1_YH!AF303="",AV302,coder1_YH!AF303)</f>
        <v>533.96</v>
      </c>
      <c r="AW303" s="345">
        <f t="shared" si="101"/>
        <v>8.8993333333333347</v>
      </c>
      <c r="AX303" s="345">
        <f>IF(coder1_YH!AG303="",AX302,coder1_YH!AG303)</f>
        <v>15</v>
      </c>
      <c r="AY303" s="345">
        <f>IF(coder1_YH!AH303="",AY302,coder1_YH!AH303)</f>
        <v>35.597333333333339</v>
      </c>
      <c r="AZ303" s="345" t="str">
        <f>IF(coder1_YH!AI303 = "", AZ302, IF(coder1_YH!AI303="BAU","BAU",LEFT(coder1_YH!AI303)))</f>
        <v>1</v>
      </c>
      <c r="BA303" s="384">
        <f>clean_data!Y303</f>
        <v>24</v>
      </c>
    </row>
    <row r="304" spans="1:53" x14ac:dyDescent="0.2">
      <c r="A304">
        <f>coder1_YH!B304</f>
        <v>0</v>
      </c>
      <c r="B304">
        <f>coder1_YH!C304</f>
        <v>304</v>
      </c>
      <c r="C304" t="b">
        <f>coder1_YH!D304</f>
        <v>1</v>
      </c>
      <c r="D304" t="b">
        <f>coder1_YH!E304</f>
        <v>1</v>
      </c>
      <c r="E304" t="b">
        <f>coder1_YH!F304</f>
        <v>1</v>
      </c>
      <c r="F304" s="321" t="str">
        <f>IF(coder1_YH!G304="", clean_mod!F303, coder1_YH!G304)</f>
        <v>Cirino et al., 2017</v>
      </c>
      <c r="G304" s="321" t="str">
        <f t="shared" si="86"/>
        <v>150</v>
      </c>
      <c r="H304" s="321">
        <f>IF(coder1_YH!H304="", clean_mod!H303, coder1_YH!H304)</f>
        <v>150</v>
      </c>
      <c r="I304" s="404" t="str">
        <f t="shared" si="87"/>
        <v>2017</v>
      </c>
      <c r="J304" s="344" t="str">
        <f>IF(coder1_YH!I304="",J303,coder1_YH!I304)</f>
        <v>USA</v>
      </c>
      <c r="K304" s="345">
        <f t="shared" si="88"/>
        <v>0</v>
      </c>
      <c r="L304" s="344" t="str">
        <f>IF(coder1_YH!J304 = "",L303, coder1_YH!J304)</f>
        <v>English</v>
      </c>
      <c r="M304" s="345">
        <f t="shared" si="89"/>
        <v>0</v>
      </c>
      <c r="N304" s="345" t="str">
        <f>IF(coder1_YH!K304 = "", N303, LEFT(coder1_YH!K304,1))</f>
        <v>0</v>
      </c>
      <c r="O304" s="345" t="str">
        <f>IF(coder1_YH!L304 = "", O303, LEFT(coder1_YH!L304,1))</f>
        <v>0</v>
      </c>
      <c r="P304" s="345" t="str">
        <f>IF(coder1_YH!M304 = "", P303, LEFT(coder1_YH!M304,1))</f>
        <v>0</v>
      </c>
      <c r="Q304" s="321">
        <f>coder1_YH!P304</f>
        <v>2</v>
      </c>
      <c r="R304" s="321" t="str">
        <f>coder1_YH!Q304</f>
        <v>TB + EF</v>
      </c>
      <c r="S304" s="323" t="str">
        <f t="shared" si="90"/>
        <v/>
      </c>
      <c r="T304" s="323" t="str">
        <f t="shared" si="91"/>
        <v/>
      </c>
      <c r="U304" s="323" t="str">
        <f t="shared" si="92"/>
        <v>G</v>
      </c>
      <c r="V304" s="323" t="str">
        <f t="shared" si="93"/>
        <v/>
      </c>
      <c r="W304" s="323">
        <f t="shared" si="94"/>
        <v>1</v>
      </c>
      <c r="X304" s="385" t="str">
        <f>IF(coder1_YH!N304 = "",X303,coder1_YH!N304)</f>
        <v>G</v>
      </c>
      <c r="Y304" s="385" t="str">
        <f>IF(coder1_YH!O304 = "",Y303,coder1_YH!O304)</f>
        <v>cm</v>
      </c>
      <c r="Z304" s="385" t="str">
        <f t="shared" si="103"/>
        <v>M</v>
      </c>
      <c r="AA304" s="385" t="str">
        <f t="shared" si="104"/>
        <v>R</v>
      </c>
      <c r="AB304" s="385" t="str">
        <f t="shared" si="95"/>
        <v>MR</v>
      </c>
      <c r="AC304" s="323" t="str">
        <f t="shared" si="96"/>
        <v>Gcm</v>
      </c>
      <c r="AD304" s="323" t="str">
        <f t="shared" si="97"/>
        <v>G_R</v>
      </c>
      <c r="AE304" s="323">
        <f t="shared" ref="AE304:AE305" si="105">IF(Y304="cm", 1,0)</f>
        <v>1</v>
      </c>
      <c r="AF304" s="369" t="str">
        <f t="shared" si="98"/>
        <v>150-Gcm</v>
      </c>
      <c r="AG304" s="369" t="str">
        <f t="shared" si="99"/>
        <v>150-G_R</v>
      </c>
      <c r="AH304" s="344">
        <f>IF(coder1_YH!R304="",AH303,coder1_YH!R304)</f>
        <v>4</v>
      </c>
      <c r="AI304" s="344">
        <f t="shared" si="85"/>
        <v>4</v>
      </c>
      <c r="AJ304" s="345">
        <f t="shared" si="100"/>
        <v>0</v>
      </c>
      <c r="AK304" s="408">
        <f>IF(coder1_YH!S304="",AK303,coder1_YH!S304)</f>
        <v>10.32</v>
      </c>
      <c r="AL304" s="345">
        <f>IF(coder1_YH!T304="",AL303,IF(coder1_YH!T304="mixed",0.25,coder1_YH!T304))</f>
        <v>1</v>
      </c>
      <c r="AM304" s="345" t="str">
        <f>IF(coder1_YH!U304 = "", AM303, IF(coder1_YH!U304="mixed","NA",coder1_YH!U304))</f>
        <v>NA</v>
      </c>
      <c r="AN304" s="345" t="str">
        <f>IF(coder1_YH!V304="",AN303,coder1_YH!V304)</f>
        <v>NA</v>
      </c>
      <c r="AO304" s="345">
        <f>IF(coder1_YH!W304="",AO303,coder1_YH!W304)</f>
        <v>0</v>
      </c>
      <c r="AP304" s="345">
        <f>IF(coder1_YH!X304="",AP303,coder1_YH!X304)</f>
        <v>0.79169999999999996</v>
      </c>
      <c r="AQ304" s="345">
        <f>IF(coder1_YH!Y304="",AQ303,coder1_YH!Y304)</f>
        <v>0.91669999999999996</v>
      </c>
      <c r="AR304" t="str">
        <f>coder1_YH!AB304</f>
        <v>0 = Researcher-developed/adapted curriculum</v>
      </c>
      <c r="AS304" s="345" t="str">
        <f>IF(coder1_YH!AC304 = "", AS303,IF(coder1_YH!AC304="BAU","BAU",LEFT(coder1_YH!AC304)))</f>
        <v>0</v>
      </c>
      <c r="AT304" s="345" t="str">
        <f>IF(coder1_YH!AD304 = "", AT303,IF(coder1_YH!AD304="BAU","BAU",LEFT(coder1_YH!AD304)))</f>
        <v>1</v>
      </c>
      <c r="AU304" s="345" t="str">
        <f>IF(coder1_YH!AE304 = "", AU303,IF(coder1_YH!AE304="BAU","BAU",LEFT(coder1_YH!AE304)))</f>
        <v>0</v>
      </c>
      <c r="AV304" s="345">
        <f>IF(coder1_YH!AF304="",AV303,coder1_YH!AF304)</f>
        <v>550.13</v>
      </c>
      <c r="AW304" s="345">
        <f t="shared" si="101"/>
        <v>9.1688333333333336</v>
      </c>
      <c r="AX304" s="345">
        <f>IF(coder1_YH!AG304="",AX303,coder1_YH!AG304)</f>
        <v>14.73</v>
      </c>
      <c r="AY304" s="345">
        <f>IF(coder1_YH!AH304="",AY303,coder1_YH!AH304)</f>
        <v>37.347589952477932</v>
      </c>
      <c r="AZ304" s="345" t="str">
        <f>IF(coder1_YH!AI304 = "", AZ303, IF(coder1_YH!AI304="BAU","BAU",LEFT(coder1_YH!AI304)))</f>
        <v>1</v>
      </c>
      <c r="BA304" s="384">
        <f>clean_data!Y304</f>
        <v>24</v>
      </c>
    </row>
    <row r="305" spans="1:53" x14ac:dyDescent="0.2">
      <c r="A305">
        <f>coder1_YH!B305</f>
        <v>0</v>
      </c>
      <c r="B305">
        <f>coder1_YH!C305</f>
        <v>305</v>
      </c>
      <c r="C305" t="b">
        <f>coder1_YH!D305</f>
        <v>1</v>
      </c>
      <c r="D305" t="b">
        <f>coder1_YH!E305</f>
        <v>1</v>
      </c>
      <c r="E305" t="b">
        <f>coder1_YH!F305</f>
        <v>1</v>
      </c>
      <c r="F305" s="321" t="str">
        <f>IF(coder1_YH!G305="", clean_mod!F304, coder1_YH!G305)</f>
        <v>Nelson, 2005</v>
      </c>
      <c r="G305" s="321" t="str">
        <f t="shared" si="86"/>
        <v>151</v>
      </c>
      <c r="H305" s="321">
        <f>IF(coder1_YH!H305="", clean_mod!H304, coder1_YH!H305)</f>
        <v>151</v>
      </c>
      <c r="I305" s="404" t="str">
        <f t="shared" si="87"/>
        <v>2005</v>
      </c>
      <c r="J305" s="344" t="str">
        <f>IF(coder1_YH!I305="",J304,coder1_YH!I305)</f>
        <v>USA</v>
      </c>
      <c r="K305" s="345">
        <f t="shared" si="88"/>
        <v>0</v>
      </c>
      <c r="L305" s="344" t="str">
        <f>IF(coder1_YH!J305 = "",L304, coder1_YH!J305)</f>
        <v>English</v>
      </c>
      <c r="M305" s="345">
        <f t="shared" si="89"/>
        <v>0</v>
      </c>
      <c r="N305" s="345" t="str">
        <f>IF(coder1_YH!K305 = "", N304, LEFT(coder1_YH!K305,1))</f>
        <v>0</v>
      </c>
      <c r="O305" s="345" t="str">
        <f>IF(coder1_YH!L305 = "", O304, LEFT(coder1_YH!L305,1))</f>
        <v>1</v>
      </c>
      <c r="P305" s="345" t="str">
        <f>IF(coder1_YH!M305 = "", P304, LEFT(coder1_YH!M305,1))</f>
        <v>0</v>
      </c>
      <c r="Q305" s="321">
        <f>coder1_YH!P305</f>
        <v>1</v>
      </c>
      <c r="R305" s="321" t="str">
        <f>coder1_YH!Q305</f>
        <v>Guided Reading</v>
      </c>
      <c r="S305" s="323" t="str">
        <f t="shared" si="90"/>
        <v>N</v>
      </c>
      <c r="T305" s="323" t="str">
        <f t="shared" si="91"/>
        <v>V</v>
      </c>
      <c r="U305" s="323" t="str">
        <f t="shared" si="92"/>
        <v>G</v>
      </c>
      <c r="V305" s="323" t="str">
        <f t="shared" si="93"/>
        <v/>
      </c>
      <c r="W305" s="323">
        <f t="shared" si="94"/>
        <v>3</v>
      </c>
      <c r="X305" s="385" t="str">
        <f>IF(coder1_YH!N305 = "",X304,coder1_YH!N305)</f>
        <v>NVG</v>
      </c>
      <c r="Y305" s="385" t="str">
        <f>IF(coder1_YH!O305 = "",Y304,coder1_YH!O305)</f>
        <v xml:space="preserve">m </v>
      </c>
      <c r="Z305" s="385" t="str">
        <f t="shared" si="103"/>
        <v>M</v>
      </c>
      <c r="AA305" s="385" t="str">
        <f t="shared" si="104"/>
        <v>R</v>
      </c>
      <c r="AB305" s="385" t="str">
        <f t="shared" si="95"/>
        <v>MR</v>
      </c>
      <c r="AC305" s="323" t="str">
        <f t="shared" si="96"/>
        <v xml:space="preserve">NVGm </v>
      </c>
      <c r="AD305" s="323" t="str">
        <f t="shared" si="97"/>
        <v>NVG_R</v>
      </c>
      <c r="AE305" s="323">
        <f t="shared" si="105"/>
        <v>0</v>
      </c>
      <c r="AF305" s="369" t="str">
        <f t="shared" si="98"/>
        <v xml:space="preserve">151-NVGm </v>
      </c>
      <c r="AG305" s="369" t="str">
        <f t="shared" si="99"/>
        <v>151-NVG_R</v>
      </c>
      <c r="AH305" s="344" t="str">
        <f>IF(coder1_YH!R305="",AH304,coder1_YH!R305)</f>
        <v>4,5,6,7,8</v>
      </c>
      <c r="AI305" s="344">
        <f t="shared" si="85"/>
        <v>6</v>
      </c>
      <c r="AJ305" s="345">
        <f t="shared" si="100"/>
        <v>1</v>
      </c>
      <c r="AK305" s="408">
        <f>IF(coder1_YH!S305="",AK304,coder1_YH!S305)</f>
        <v>11.5</v>
      </c>
      <c r="AL305" s="345">
        <f>IF(coder1_YH!T305="",AL304,IF(coder1_YH!T305="mixed",0.25,coder1_YH!T305))</f>
        <v>1</v>
      </c>
      <c r="AM305" s="345">
        <f>IF(coder1_YH!U305 = "", AM304, IF(coder1_YH!U305="mixed","NA",coder1_YH!U305))</f>
        <v>0.05</v>
      </c>
      <c r="AN305" s="345" t="str">
        <f>IF(coder1_YH!V305="",AN304,coder1_YH!V305)</f>
        <v>NA</v>
      </c>
      <c r="AO305" s="345">
        <f>IF(coder1_YH!W305="",AO304,coder1_YH!W305)</f>
        <v>0</v>
      </c>
      <c r="AP305" s="345">
        <f>IF(coder1_YH!X305="",AP304,coder1_YH!X305)</f>
        <v>0.75</v>
      </c>
      <c r="AQ305" s="345" t="str">
        <f>IF(coder1_YH!Y305="",AQ304,coder1_YH!Y305)</f>
        <v>NA</v>
      </c>
      <c r="AR305" t="str">
        <f>coder1_YH!AB305</f>
        <v>0 = Researcher-developed/adapted curriculum</v>
      </c>
      <c r="AS305" s="345" t="str">
        <f>IF(coder1_YH!AC305 = "", AS304,IF(coder1_YH!AC305="BAU","BAU",LEFT(coder1_YH!AC305)))</f>
        <v>0</v>
      </c>
      <c r="AT305" s="345" t="str">
        <f>IF(coder1_YH!AD305 = "", AT304,IF(coder1_YH!AD305="BAU","BAU",LEFT(coder1_YH!AD305)))</f>
        <v>1</v>
      </c>
      <c r="AU305" s="345" t="str">
        <f>IF(coder1_YH!AE305 = "", AU304,IF(coder1_YH!AE305="BAU","BAU",LEFT(coder1_YH!AE305)))</f>
        <v>0</v>
      </c>
      <c r="AV305" s="345">
        <f>IF(coder1_YH!AF305="",AV304,coder1_YH!AF305)</f>
        <v>1200</v>
      </c>
      <c r="AW305" s="345">
        <f t="shared" si="101"/>
        <v>20</v>
      </c>
      <c r="AX305" s="345">
        <f>IF(coder1_YH!AG305="",AX304,coder1_YH!AG305)</f>
        <v>20</v>
      </c>
      <c r="AY305" s="345">
        <f>IF(coder1_YH!AH305="",AY304,coder1_YH!AH305)</f>
        <v>60</v>
      </c>
      <c r="AZ305" s="345" t="str">
        <f>IF(coder1_YH!AI305 = "", AZ304, IF(coder1_YH!AI305="BAU","BAU",LEFT(coder1_YH!AI305)))</f>
        <v>1</v>
      </c>
      <c r="BA305" s="384">
        <f>clean_data!Y305</f>
        <v>9</v>
      </c>
    </row>
    <row r="306" spans="1:53" x14ac:dyDescent="0.2">
      <c r="A306">
        <f>coder1_YH!B306</f>
        <v>0</v>
      </c>
      <c r="B306">
        <f>coder1_YH!C306</f>
        <v>306</v>
      </c>
      <c r="C306">
        <f>coder1_YH!D306</f>
        <v>0</v>
      </c>
      <c r="D306" t="str">
        <f>coder1_YH!E306</f>
        <v/>
      </c>
      <c r="E306" t="str">
        <f>coder1_YH!F306</f>
        <v/>
      </c>
      <c r="F306" s="321" t="str">
        <f>IF(coder1_YH!G306="", clean_mod!F305, coder1_YH!G306)</f>
        <v>Nelson, 2005</v>
      </c>
      <c r="G306" s="321" t="str">
        <f t="shared" si="86"/>
        <v>151</v>
      </c>
      <c r="H306" s="321">
        <f>IF(coder1_YH!H306="", clean_mod!H305, coder1_YH!H306)</f>
        <v>151</v>
      </c>
      <c r="I306" s="404" t="str">
        <f t="shared" si="87"/>
        <v>2005</v>
      </c>
      <c r="J306" s="344" t="str">
        <f>IF(coder1_YH!I306="",J305,coder1_YH!I306)</f>
        <v>USA</v>
      </c>
      <c r="K306" s="345">
        <f t="shared" si="88"/>
        <v>0</v>
      </c>
      <c r="L306" s="344" t="str">
        <f>IF(coder1_YH!J306 = "",L305, coder1_YH!J306)</f>
        <v>English</v>
      </c>
      <c r="M306" s="345">
        <f t="shared" si="89"/>
        <v>0</v>
      </c>
      <c r="N306" s="345" t="str">
        <f>IF(coder1_YH!K306 = "", N305, LEFT(coder1_YH!K306,1))</f>
        <v>0</v>
      </c>
      <c r="O306" s="345" t="str">
        <f>IF(coder1_YH!L306 = "", O305, LEFT(coder1_YH!L306,1))</f>
        <v>1</v>
      </c>
      <c r="P306" s="345" t="str">
        <f>IF(coder1_YH!M306 = "", P305, LEFT(coder1_YH!M306,1))</f>
        <v>0</v>
      </c>
      <c r="Q306" s="321">
        <f>coder1_YH!P306</f>
        <v>0</v>
      </c>
      <c r="R306" s="321">
        <f>coder1_YH!Q306</f>
        <v>0</v>
      </c>
      <c r="S306" s="323" t="str">
        <f t="shared" si="90"/>
        <v>N</v>
      </c>
      <c r="T306" s="323" t="str">
        <f t="shared" si="91"/>
        <v>V</v>
      </c>
      <c r="U306" s="323" t="str">
        <f t="shared" si="92"/>
        <v>G</v>
      </c>
      <c r="V306" s="323" t="str">
        <f t="shared" si="93"/>
        <v/>
      </c>
      <c r="W306" s="323">
        <f t="shared" si="94"/>
        <v>3</v>
      </c>
      <c r="X306" s="385" t="str">
        <f>IF(coder1_YH!N306 = "",X305,coder1_YH!N306)</f>
        <v>NVG</v>
      </c>
      <c r="Y306" s="385" t="str">
        <f>IF(coder1_YH!O306 = "",Y305,coder1_YH!O306)</f>
        <v xml:space="preserve">m </v>
      </c>
      <c r="Z306" s="385" t="str">
        <f t="shared" si="103"/>
        <v>M</v>
      </c>
      <c r="AA306" s="385" t="str">
        <f t="shared" si="104"/>
        <v>R</v>
      </c>
      <c r="AB306" s="385" t="str">
        <f t="shared" si="95"/>
        <v>MR</v>
      </c>
      <c r="AC306" s="323" t="str">
        <f t="shared" si="96"/>
        <v xml:space="preserve">NVGm </v>
      </c>
      <c r="AD306" s="323" t="str">
        <f t="shared" si="97"/>
        <v>NVG_R</v>
      </c>
      <c r="AF306" s="369" t="str">
        <f t="shared" si="98"/>
        <v xml:space="preserve">151-NVGm </v>
      </c>
      <c r="AG306" s="369" t="str">
        <f t="shared" si="99"/>
        <v>151-NVG_R</v>
      </c>
      <c r="AH306" s="344" t="str">
        <f>IF(coder1_YH!R306="",AH305,coder1_YH!R306)</f>
        <v>4,5,6,7,8</v>
      </c>
      <c r="AI306" s="344">
        <f t="shared" si="85"/>
        <v>6</v>
      </c>
      <c r="AJ306" s="345">
        <f t="shared" si="100"/>
        <v>1</v>
      </c>
      <c r="AK306" s="408">
        <f>IF(coder1_YH!S306="",AK305,coder1_YH!S306)</f>
        <v>11.5</v>
      </c>
      <c r="AL306" s="345">
        <f>IF(coder1_YH!T306="",AL305,IF(coder1_YH!T306="mixed",0.25,coder1_YH!T306))</f>
        <v>1</v>
      </c>
      <c r="AM306" s="345">
        <f>IF(coder1_YH!U306 = "", AM305, IF(coder1_YH!U306="mixed","NA",coder1_YH!U306))</f>
        <v>0.05</v>
      </c>
      <c r="AN306" s="345" t="str">
        <f>IF(coder1_YH!V306="",AN305,coder1_YH!V306)</f>
        <v>NA</v>
      </c>
      <c r="AO306" s="345">
        <f>IF(coder1_YH!W306="",AO305,coder1_YH!W306)</f>
        <v>0</v>
      </c>
      <c r="AP306" s="345">
        <f>IF(coder1_YH!X306="",AP305,coder1_YH!X306)</f>
        <v>0.75</v>
      </c>
      <c r="AQ306" s="345" t="str">
        <f>IF(coder1_YH!Y306="",AQ305,coder1_YH!Y306)</f>
        <v>NA</v>
      </c>
      <c r="AR306">
        <f>coder1_YH!AB306</f>
        <v>0</v>
      </c>
      <c r="AS306" s="345" t="str">
        <f>IF(coder1_YH!AC306 = "", AS305,IF(coder1_YH!AC306="BAU","BAU",LEFT(coder1_YH!AC306)))</f>
        <v>0</v>
      </c>
      <c r="AT306" s="345" t="str">
        <f>IF(coder1_YH!AD306 = "", AT305,IF(coder1_YH!AD306="BAU","BAU",LEFT(coder1_YH!AD306)))</f>
        <v>1</v>
      </c>
      <c r="AU306" s="345" t="str">
        <f>IF(coder1_YH!AE306 = "", AU305,IF(coder1_YH!AE306="BAU","BAU",LEFT(coder1_YH!AE306)))</f>
        <v>0</v>
      </c>
      <c r="AV306" s="345">
        <f>IF(coder1_YH!AF306="",AV305,coder1_YH!AF306)</f>
        <v>1200</v>
      </c>
      <c r="AW306" s="345">
        <f t="shared" si="101"/>
        <v>20</v>
      </c>
      <c r="AX306" s="345">
        <f>IF(coder1_YH!AG306="",AX305,coder1_YH!AG306)</f>
        <v>20</v>
      </c>
      <c r="AY306" s="345">
        <f>IF(coder1_YH!AH306="",AY305,coder1_YH!AH306)</f>
        <v>60</v>
      </c>
      <c r="AZ306" s="345" t="str">
        <f>IF(coder1_YH!AI306 = "", AZ305, IF(coder1_YH!AI306="BAU","BAU",LEFT(coder1_YH!AI306)))</f>
        <v>1</v>
      </c>
      <c r="BA306" s="384">
        <f>clean_data!Y306</f>
        <v>9</v>
      </c>
    </row>
    <row r="307" spans="1:53" x14ac:dyDescent="0.2">
      <c r="A307">
        <f>coder1_YH!B307</f>
        <v>0</v>
      </c>
      <c r="B307">
        <f>coder1_YH!C307</f>
        <v>307</v>
      </c>
      <c r="C307">
        <f>coder1_YH!D307</f>
        <v>0</v>
      </c>
      <c r="D307" t="str">
        <f>coder1_YH!E307</f>
        <v/>
      </c>
      <c r="E307" t="str">
        <f>coder1_YH!F307</f>
        <v/>
      </c>
      <c r="F307" s="321" t="str">
        <f>IF(coder1_YH!G307="", clean_mod!F306, coder1_YH!G307)</f>
        <v>Nelson, 2005</v>
      </c>
      <c r="G307" s="321" t="str">
        <f t="shared" si="86"/>
        <v>151</v>
      </c>
      <c r="H307" s="321">
        <f>IF(coder1_YH!H307="", clean_mod!H306, coder1_YH!H307)</f>
        <v>151</v>
      </c>
      <c r="I307" s="404" t="str">
        <f t="shared" si="87"/>
        <v>2005</v>
      </c>
      <c r="J307" s="344" t="str">
        <f>IF(coder1_YH!I307="",J306,coder1_YH!I307)</f>
        <v>USA</v>
      </c>
      <c r="K307" s="345">
        <f t="shared" si="88"/>
        <v>0</v>
      </c>
      <c r="L307" s="344" t="str">
        <f>IF(coder1_YH!J307 = "",L306, coder1_YH!J307)</f>
        <v>English</v>
      </c>
      <c r="M307" s="345">
        <f t="shared" si="89"/>
        <v>0</v>
      </c>
      <c r="N307" s="345" t="str">
        <f>IF(coder1_YH!K307 = "", N306, LEFT(coder1_YH!K307,1))</f>
        <v>0</v>
      </c>
      <c r="O307" s="345" t="str">
        <f>IF(coder1_YH!L307 = "", O306, LEFT(coder1_YH!L307,1))</f>
        <v>1</v>
      </c>
      <c r="P307" s="345" t="str">
        <f>IF(coder1_YH!M307 = "", P306, LEFT(coder1_YH!M307,1))</f>
        <v>0</v>
      </c>
      <c r="Q307" s="321">
        <f>coder1_YH!P307</f>
        <v>0</v>
      </c>
      <c r="R307" s="321">
        <f>coder1_YH!Q307</f>
        <v>0</v>
      </c>
      <c r="S307" s="323" t="str">
        <f t="shared" si="90"/>
        <v>N</v>
      </c>
      <c r="T307" s="323" t="str">
        <f t="shared" si="91"/>
        <v>V</v>
      </c>
      <c r="U307" s="323" t="str">
        <f t="shared" si="92"/>
        <v>G</v>
      </c>
      <c r="V307" s="323" t="str">
        <f t="shared" si="93"/>
        <v/>
      </c>
      <c r="W307" s="323">
        <f t="shared" si="94"/>
        <v>3</v>
      </c>
      <c r="X307" s="385" t="str">
        <f>IF(coder1_YH!N307 = "",X306,coder1_YH!N307)</f>
        <v>NVG</v>
      </c>
      <c r="Y307" s="385" t="str">
        <f>IF(coder1_YH!O307 = "",Y306,coder1_YH!O307)</f>
        <v xml:space="preserve">m </v>
      </c>
      <c r="Z307" s="385" t="str">
        <f t="shared" si="103"/>
        <v>M</v>
      </c>
      <c r="AA307" s="385" t="str">
        <f t="shared" si="104"/>
        <v>R</v>
      </c>
      <c r="AB307" s="385" t="str">
        <f t="shared" si="95"/>
        <v>MR</v>
      </c>
      <c r="AC307" s="323" t="str">
        <f t="shared" si="96"/>
        <v xml:space="preserve">NVGm </v>
      </c>
      <c r="AD307" s="323" t="str">
        <f t="shared" si="97"/>
        <v>NVG_R</v>
      </c>
      <c r="AF307" s="369" t="str">
        <f t="shared" si="98"/>
        <v xml:space="preserve">151-NVGm </v>
      </c>
      <c r="AG307" s="369" t="str">
        <f t="shared" si="99"/>
        <v>151-NVG_R</v>
      </c>
      <c r="AH307" s="344" t="str">
        <f>IF(coder1_YH!R307="",AH306,coder1_YH!R307)</f>
        <v>4,5,6,7,8</v>
      </c>
      <c r="AI307" s="344">
        <f t="shared" si="85"/>
        <v>6</v>
      </c>
      <c r="AJ307" s="345">
        <f t="shared" si="100"/>
        <v>1</v>
      </c>
      <c r="AK307" s="408">
        <f>IF(coder1_YH!S307="",AK306,coder1_YH!S307)</f>
        <v>11.5</v>
      </c>
      <c r="AL307" s="345">
        <f>IF(coder1_YH!T307="",AL306,IF(coder1_YH!T307="mixed",0.25,coder1_YH!T307))</f>
        <v>1</v>
      </c>
      <c r="AM307" s="345">
        <f>IF(coder1_YH!U307 = "", AM306, IF(coder1_YH!U307="mixed","NA",coder1_YH!U307))</f>
        <v>0.05</v>
      </c>
      <c r="AN307" s="345" t="str">
        <f>IF(coder1_YH!V307="",AN306,coder1_YH!V307)</f>
        <v>NA</v>
      </c>
      <c r="AO307" s="345">
        <f>IF(coder1_YH!W307="",AO306,coder1_YH!W307)</f>
        <v>0</v>
      </c>
      <c r="AP307" s="345">
        <f>IF(coder1_YH!X307="",AP306,coder1_YH!X307)</f>
        <v>0.75</v>
      </c>
      <c r="AQ307" s="345" t="str">
        <f>IF(coder1_YH!Y307="",AQ306,coder1_YH!Y307)</f>
        <v>NA</v>
      </c>
      <c r="AR307">
        <f>coder1_YH!AB307</f>
        <v>0</v>
      </c>
      <c r="AS307" s="345" t="str">
        <f>IF(coder1_YH!AC307 = "", AS306,IF(coder1_YH!AC307="BAU","BAU",LEFT(coder1_YH!AC307)))</f>
        <v>0</v>
      </c>
      <c r="AT307" s="345" t="str">
        <f>IF(coder1_YH!AD307 = "", AT306,IF(coder1_YH!AD307="BAU","BAU",LEFT(coder1_YH!AD307)))</f>
        <v>1</v>
      </c>
      <c r="AU307" s="345" t="str">
        <f>IF(coder1_YH!AE307 = "", AU306,IF(coder1_YH!AE307="BAU","BAU",LEFT(coder1_YH!AE307)))</f>
        <v>0</v>
      </c>
      <c r="AV307" s="345">
        <f>IF(coder1_YH!AF307="",AV306,coder1_YH!AF307)</f>
        <v>1200</v>
      </c>
      <c r="AW307" s="345">
        <f t="shared" si="101"/>
        <v>20</v>
      </c>
      <c r="AX307" s="345">
        <f>IF(coder1_YH!AG307="",AX306,coder1_YH!AG307)</f>
        <v>20</v>
      </c>
      <c r="AY307" s="345">
        <f>IF(coder1_YH!AH307="",AY306,coder1_YH!AH307)</f>
        <v>60</v>
      </c>
      <c r="AZ307" s="345" t="str">
        <f>IF(coder1_YH!AI307 = "", AZ306, IF(coder1_YH!AI307="BAU","BAU",LEFT(coder1_YH!AI307)))</f>
        <v>1</v>
      </c>
      <c r="BA307" s="384">
        <f>clean_data!Y307</f>
        <v>9</v>
      </c>
    </row>
    <row r="308" spans="1:53" x14ac:dyDescent="0.2">
      <c r="A308">
        <f>coder1_YH!B308</f>
        <v>0</v>
      </c>
      <c r="B308">
        <f>coder1_YH!C308</f>
        <v>308</v>
      </c>
      <c r="C308">
        <f>coder1_YH!D308</f>
        <v>0</v>
      </c>
      <c r="D308" t="str">
        <f>coder1_YH!E308</f>
        <v/>
      </c>
      <c r="E308" t="str">
        <f>coder1_YH!F308</f>
        <v/>
      </c>
      <c r="F308" s="321" t="str">
        <f>IF(coder1_YH!G308="", clean_mod!F307, coder1_YH!G308)</f>
        <v>Nelson, 2005</v>
      </c>
      <c r="G308" s="321" t="str">
        <f t="shared" si="86"/>
        <v>151</v>
      </c>
      <c r="H308" s="321">
        <f>IF(coder1_YH!H308="", clean_mod!H307, coder1_YH!H308)</f>
        <v>151</v>
      </c>
      <c r="I308" s="404" t="str">
        <f t="shared" si="87"/>
        <v>2005</v>
      </c>
      <c r="J308" s="344" t="str">
        <f>IF(coder1_YH!I308="",J307,coder1_YH!I308)</f>
        <v>USA</v>
      </c>
      <c r="K308" s="345">
        <f t="shared" si="88"/>
        <v>0</v>
      </c>
      <c r="L308" s="344" t="str">
        <f>IF(coder1_YH!J308 = "",L307, coder1_YH!J308)</f>
        <v>English</v>
      </c>
      <c r="M308" s="345">
        <f t="shared" si="89"/>
        <v>0</v>
      </c>
      <c r="N308" s="345" t="str">
        <f>IF(coder1_YH!K308 = "", N307, LEFT(coder1_YH!K308,1))</f>
        <v>0</v>
      </c>
      <c r="O308" s="345" t="str">
        <f>IF(coder1_YH!L308 = "", O307, LEFT(coder1_YH!L308,1))</f>
        <v>1</v>
      </c>
      <c r="P308" s="345" t="str">
        <f>IF(coder1_YH!M308 = "", P307, LEFT(coder1_YH!M308,1))</f>
        <v>0</v>
      </c>
      <c r="Q308" s="321">
        <f>coder1_YH!P308</f>
        <v>0</v>
      </c>
      <c r="R308" s="321">
        <f>coder1_YH!Q308</f>
        <v>0</v>
      </c>
      <c r="S308" s="323" t="str">
        <f t="shared" si="90"/>
        <v>N</v>
      </c>
      <c r="T308" s="323" t="str">
        <f t="shared" si="91"/>
        <v>V</v>
      </c>
      <c r="U308" s="323" t="str">
        <f t="shared" si="92"/>
        <v>G</v>
      </c>
      <c r="V308" s="323" t="str">
        <f t="shared" si="93"/>
        <v/>
      </c>
      <c r="W308" s="323">
        <f t="shared" si="94"/>
        <v>3</v>
      </c>
      <c r="X308" s="385" t="str">
        <f>IF(coder1_YH!N308 = "",X307,coder1_YH!N308)</f>
        <v>NVG</v>
      </c>
      <c r="Y308" s="385" t="str">
        <f>IF(coder1_YH!O308 = "",Y307,coder1_YH!O308)</f>
        <v xml:space="preserve">m </v>
      </c>
      <c r="Z308" s="385" t="str">
        <f t="shared" si="103"/>
        <v>M</v>
      </c>
      <c r="AA308" s="385" t="str">
        <f t="shared" si="104"/>
        <v>R</v>
      </c>
      <c r="AB308" s="385" t="str">
        <f t="shared" si="95"/>
        <v>MR</v>
      </c>
      <c r="AC308" s="323" t="str">
        <f t="shared" si="96"/>
        <v xml:space="preserve">NVGm </v>
      </c>
      <c r="AD308" s="323" t="str">
        <f t="shared" si="97"/>
        <v>NVG_R</v>
      </c>
      <c r="AF308" s="369" t="str">
        <f t="shared" si="98"/>
        <v xml:space="preserve">151-NVGm </v>
      </c>
      <c r="AG308" s="369" t="str">
        <f t="shared" si="99"/>
        <v>151-NVG_R</v>
      </c>
      <c r="AH308" s="344" t="str">
        <f>IF(coder1_YH!R308="",AH307,coder1_YH!R308)</f>
        <v>4,5,6,7,8</v>
      </c>
      <c r="AI308" s="344">
        <f t="shared" si="85"/>
        <v>6</v>
      </c>
      <c r="AJ308" s="345">
        <f t="shared" si="100"/>
        <v>1</v>
      </c>
      <c r="AK308" s="408">
        <f>IF(coder1_YH!S308="",AK307,coder1_YH!S308)</f>
        <v>11.5</v>
      </c>
      <c r="AL308" s="345">
        <f>IF(coder1_YH!T308="",AL307,IF(coder1_YH!T308="mixed",0.25,coder1_YH!T308))</f>
        <v>1</v>
      </c>
      <c r="AM308" s="345">
        <f>IF(coder1_YH!U308 = "", AM307, IF(coder1_YH!U308="mixed","NA",coder1_YH!U308))</f>
        <v>0.05</v>
      </c>
      <c r="AN308" s="345" t="str">
        <f>IF(coder1_YH!V308="",AN307,coder1_YH!V308)</f>
        <v>NA</v>
      </c>
      <c r="AO308" s="345">
        <f>IF(coder1_YH!W308="",AO307,coder1_YH!W308)</f>
        <v>0</v>
      </c>
      <c r="AP308" s="345">
        <f>IF(coder1_YH!X308="",AP307,coder1_YH!X308)</f>
        <v>0.75</v>
      </c>
      <c r="AQ308" s="345" t="str">
        <f>IF(coder1_YH!Y308="",AQ307,coder1_YH!Y308)</f>
        <v>NA</v>
      </c>
      <c r="AR308">
        <f>coder1_YH!AB308</f>
        <v>0</v>
      </c>
      <c r="AS308" s="345" t="str">
        <f>IF(coder1_YH!AC308 = "", AS307,IF(coder1_YH!AC308="BAU","BAU",LEFT(coder1_YH!AC308)))</f>
        <v>0</v>
      </c>
      <c r="AT308" s="345" t="str">
        <f>IF(coder1_YH!AD308 = "", AT307,IF(coder1_YH!AD308="BAU","BAU",LEFT(coder1_YH!AD308)))</f>
        <v>1</v>
      </c>
      <c r="AU308" s="345" t="str">
        <f>IF(coder1_YH!AE308 = "", AU307,IF(coder1_YH!AE308="BAU","BAU",LEFT(coder1_YH!AE308)))</f>
        <v>0</v>
      </c>
      <c r="AV308" s="345">
        <f>IF(coder1_YH!AF308="",AV307,coder1_YH!AF308)</f>
        <v>1200</v>
      </c>
      <c r="AW308" s="345">
        <f t="shared" si="101"/>
        <v>20</v>
      </c>
      <c r="AX308" s="345">
        <f>IF(coder1_YH!AG308="",AX307,coder1_YH!AG308)</f>
        <v>20</v>
      </c>
      <c r="AY308" s="345">
        <f>IF(coder1_YH!AH308="",AY307,coder1_YH!AH308)</f>
        <v>60</v>
      </c>
      <c r="AZ308" s="345" t="str">
        <f>IF(coder1_YH!AI308 = "", AZ307, IF(coder1_YH!AI308="BAU","BAU",LEFT(coder1_YH!AI308)))</f>
        <v>1</v>
      </c>
      <c r="BA308" s="384">
        <f>clean_data!Y308</f>
        <v>9</v>
      </c>
    </row>
    <row r="309" spans="1:53" x14ac:dyDescent="0.2">
      <c r="A309">
        <f>coder1_YH!B309</f>
        <v>0</v>
      </c>
      <c r="B309">
        <f>coder1_YH!C309</f>
        <v>309</v>
      </c>
      <c r="C309">
        <f>coder1_YH!D309</f>
        <v>0</v>
      </c>
      <c r="D309" t="str">
        <f>coder1_YH!E309</f>
        <v/>
      </c>
      <c r="E309" t="b">
        <f>coder1_YH!F309</f>
        <v>1</v>
      </c>
      <c r="F309" s="321" t="str">
        <f>IF(coder1_YH!G309="", clean_mod!F308, coder1_YH!G309)</f>
        <v>Nelson, 2005</v>
      </c>
      <c r="G309" s="321" t="str">
        <f t="shared" si="86"/>
        <v>151</v>
      </c>
      <c r="H309" s="321">
        <f>IF(coder1_YH!H309="", clean_mod!H308, coder1_YH!H309)</f>
        <v>151</v>
      </c>
      <c r="I309" s="404" t="str">
        <f t="shared" si="87"/>
        <v>2005</v>
      </c>
      <c r="J309" s="344" t="str">
        <f>IF(coder1_YH!I309="",J308,coder1_YH!I309)</f>
        <v>USA</v>
      </c>
      <c r="K309" s="345">
        <f t="shared" si="88"/>
        <v>0</v>
      </c>
      <c r="L309" s="344" t="str">
        <f>IF(coder1_YH!J309 = "",L308, coder1_YH!J309)</f>
        <v>English</v>
      </c>
      <c r="M309" s="345">
        <f t="shared" si="89"/>
        <v>0</v>
      </c>
      <c r="N309" s="345" t="str">
        <f>IF(coder1_YH!K309 = "", N308, LEFT(coder1_YH!K309,1))</f>
        <v>0</v>
      </c>
      <c r="O309" s="345" t="str">
        <f>IF(coder1_YH!L309 = "", O308, LEFT(coder1_YH!L309,1))</f>
        <v>1</v>
      </c>
      <c r="P309" s="345" t="str">
        <f>IF(coder1_YH!M309 = "", P308, LEFT(coder1_YH!M309,1))</f>
        <v>0</v>
      </c>
      <c r="Q309" s="321" t="str">
        <f>coder1_YH!P309</f>
        <v>ctl</v>
      </c>
      <c r="R309" s="321" t="str">
        <f>coder1_YH!Q309</f>
        <v>Explicit Comp. Proc</v>
      </c>
      <c r="S309" s="323" t="str">
        <f t="shared" si="90"/>
        <v>N</v>
      </c>
      <c r="T309" s="323" t="str">
        <f t="shared" si="91"/>
        <v/>
      </c>
      <c r="U309" s="323" t="str">
        <f t="shared" si="92"/>
        <v/>
      </c>
      <c r="V309" s="323" t="str">
        <f t="shared" si="93"/>
        <v/>
      </c>
      <c r="W309" s="323">
        <f t="shared" si="94"/>
        <v>1</v>
      </c>
      <c r="X309" s="385" t="str">
        <f>IF(coder1_YH!N309 = "",X308,coder1_YH!N309)</f>
        <v>N</v>
      </c>
      <c r="Y309" s="385" t="str">
        <f>IF(coder1_YH!O309 = "",Y308,coder1_YH!O309)</f>
        <v xml:space="preserve">m </v>
      </c>
      <c r="Z309" s="385" t="str">
        <f t="shared" si="103"/>
        <v>M</v>
      </c>
      <c r="AA309" s="385" t="str">
        <f t="shared" si="104"/>
        <v>R</v>
      </c>
      <c r="AB309" s="385" t="str">
        <f t="shared" si="95"/>
        <v>MR</v>
      </c>
      <c r="AC309" s="323" t="str">
        <f t="shared" si="96"/>
        <v xml:space="preserve">Nm </v>
      </c>
      <c r="AD309" s="323" t="str">
        <f t="shared" si="97"/>
        <v>N_R</v>
      </c>
      <c r="AF309" s="369" t="str">
        <f t="shared" si="98"/>
        <v xml:space="preserve">151-Nm </v>
      </c>
      <c r="AG309" s="369" t="str">
        <f t="shared" si="99"/>
        <v>151-N_R</v>
      </c>
      <c r="AH309" s="344" t="str">
        <f>IF(coder1_YH!R309="",AH308,coder1_YH!R309)</f>
        <v>4,5,6,7,8</v>
      </c>
      <c r="AI309" s="344">
        <f t="shared" si="85"/>
        <v>6</v>
      </c>
      <c r="AJ309" s="345">
        <f t="shared" si="100"/>
        <v>1</v>
      </c>
      <c r="AK309" s="408">
        <f>IF(coder1_YH!S309="",AK308,coder1_YH!S309)</f>
        <v>11.75</v>
      </c>
      <c r="AL309" s="345">
        <f>IF(coder1_YH!T309="",AL308,IF(coder1_YH!T309="mixed",0.25,coder1_YH!T309))</f>
        <v>1</v>
      </c>
      <c r="AM309" s="345">
        <f>IF(coder1_YH!U309 = "", AM308, IF(coder1_YH!U309="mixed","NA",coder1_YH!U309))</f>
        <v>0.05</v>
      </c>
      <c r="AN309" s="345" t="str">
        <f>IF(coder1_YH!V309="",AN308,coder1_YH!V309)</f>
        <v>NA</v>
      </c>
      <c r="AO309" s="345">
        <f>IF(coder1_YH!W309="",AO308,coder1_YH!W309)</f>
        <v>0</v>
      </c>
      <c r="AP309" s="345">
        <f>IF(coder1_YH!X309="",AP308,coder1_YH!X309)</f>
        <v>0.75</v>
      </c>
      <c r="AQ309" s="345" t="str">
        <f>IF(coder1_YH!Y309="",AQ308,coder1_YH!Y309)</f>
        <v>NA</v>
      </c>
      <c r="AR309" t="str">
        <f>coder1_YH!AB309</f>
        <v>0 = Researcher-developed/adapted curriculum</v>
      </c>
      <c r="AS309" s="345" t="str">
        <f>IF(coder1_YH!AC309 = "", AS308,IF(coder1_YH!AC309="BAU","BAU",LEFT(coder1_YH!AC309)))</f>
        <v>0</v>
      </c>
      <c r="AT309" s="345" t="str">
        <f>IF(coder1_YH!AD309 = "", AT308,IF(coder1_YH!AD309="BAU","BAU",LEFT(coder1_YH!AD309)))</f>
        <v>1</v>
      </c>
      <c r="AU309" s="345" t="str">
        <f>IF(coder1_YH!AE309 = "", AU308,IF(coder1_YH!AE309="BAU","BAU",LEFT(coder1_YH!AE309)))</f>
        <v>0</v>
      </c>
      <c r="AV309" s="345">
        <f>IF(coder1_YH!AF309="",AV308,coder1_YH!AF309)</f>
        <v>1200</v>
      </c>
      <c r="AW309" s="345">
        <f t="shared" si="101"/>
        <v>20</v>
      </c>
      <c r="AX309" s="345">
        <f>IF(coder1_YH!AG309="",AX308,coder1_YH!AG309)</f>
        <v>20</v>
      </c>
      <c r="AY309" s="345">
        <f>IF(coder1_YH!AH309="",AY308,coder1_YH!AH309)</f>
        <v>60</v>
      </c>
      <c r="AZ309" s="345" t="str">
        <f>IF(coder1_YH!AI309 = "", AZ308, IF(coder1_YH!AI309="BAU","BAU",LEFT(coder1_YH!AI309)))</f>
        <v>1</v>
      </c>
      <c r="BA309" s="384">
        <f>clean_data!Y309</f>
        <v>9</v>
      </c>
    </row>
    <row r="310" spans="1:53" x14ac:dyDescent="0.2">
      <c r="A310">
        <f>coder1_YH!B310</f>
        <v>0</v>
      </c>
      <c r="B310">
        <f>coder1_YH!C310</f>
        <v>310</v>
      </c>
      <c r="C310">
        <f>coder1_YH!D310</f>
        <v>0</v>
      </c>
      <c r="D310" t="str">
        <f>coder1_YH!E310</f>
        <v/>
      </c>
      <c r="E310" t="str">
        <f>coder1_YH!F310</f>
        <v/>
      </c>
      <c r="F310" s="321" t="str">
        <f>IF(coder1_YH!G310="", clean_mod!F309, coder1_YH!G310)</f>
        <v>Nelson, 2005</v>
      </c>
      <c r="G310" s="321" t="str">
        <f t="shared" si="86"/>
        <v>151</v>
      </c>
      <c r="H310" s="321">
        <f>IF(coder1_YH!H310="", clean_mod!H309, coder1_YH!H310)</f>
        <v>151</v>
      </c>
      <c r="I310" s="404" t="str">
        <f t="shared" si="87"/>
        <v>2005</v>
      </c>
      <c r="J310" s="344" t="str">
        <f>IF(coder1_YH!I310="",J309,coder1_YH!I310)</f>
        <v>USA</v>
      </c>
      <c r="K310" s="345">
        <f t="shared" si="88"/>
        <v>0</v>
      </c>
      <c r="L310" s="344" t="str">
        <f>IF(coder1_YH!J310 = "",L309, coder1_YH!J310)</f>
        <v>English</v>
      </c>
      <c r="M310" s="345">
        <f t="shared" si="89"/>
        <v>0</v>
      </c>
      <c r="N310" s="345" t="str">
        <f>IF(coder1_YH!K310 = "", N309, LEFT(coder1_YH!K310,1))</f>
        <v>0</v>
      </c>
      <c r="O310" s="345" t="str">
        <f>IF(coder1_YH!L310 = "", O309, LEFT(coder1_YH!L310,1))</f>
        <v>1</v>
      </c>
      <c r="P310" s="345" t="str">
        <f>IF(coder1_YH!M310 = "", P309, LEFT(coder1_YH!M310,1))</f>
        <v>0</v>
      </c>
      <c r="Q310" s="321">
        <f>coder1_YH!P310</f>
        <v>0</v>
      </c>
      <c r="R310" s="321">
        <f>coder1_YH!Q310</f>
        <v>0</v>
      </c>
      <c r="S310" s="323" t="str">
        <f t="shared" si="90"/>
        <v>N</v>
      </c>
      <c r="T310" s="323" t="str">
        <f t="shared" si="91"/>
        <v/>
      </c>
      <c r="U310" s="323" t="str">
        <f t="shared" si="92"/>
        <v/>
      </c>
      <c r="V310" s="323" t="str">
        <f t="shared" si="93"/>
        <v/>
      </c>
      <c r="W310" s="323">
        <f t="shared" si="94"/>
        <v>1</v>
      </c>
      <c r="X310" s="385" t="str">
        <f>IF(coder1_YH!N310 = "",X309,coder1_YH!N310)</f>
        <v>N</v>
      </c>
      <c r="Y310" s="385" t="str">
        <f>IF(coder1_YH!O310 = "",Y309,coder1_YH!O310)</f>
        <v xml:space="preserve">m </v>
      </c>
      <c r="Z310" s="385" t="str">
        <f t="shared" si="103"/>
        <v>M</v>
      </c>
      <c r="AA310" s="385" t="str">
        <f t="shared" si="104"/>
        <v>R</v>
      </c>
      <c r="AB310" s="385" t="str">
        <f t="shared" si="95"/>
        <v>MR</v>
      </c>
      <c r="AC310" s="323" t="str">
        <f t="shared" si="96"/>
        <v xml:space="preserve">Nm </v>
      </c>
      <c r="AD310" s="323" t="str">
        <f t="shared" si="97"/>
        <v>N_R</v>
      </c>
      <c r="AF310" s="369" t="str">
        <f t="shared" si="98"/>
        <v xml:space="preserve">151-Nm </v>
      </c>
      <c r="AG310" s="369" t="str">
        <f t="shared" si="99"/>
        <v>151-N_R</v>
      </c>
      <c r="AH310" s="344" t="str">
        <f>IF(coder1_YH!R310="",AH309,coder1_YH!R310)</f>
        <v>4,5,6,7,8</v>
      </c>
      <c r="AI310" s="344">
        <f t="shared" si="85"/>
        <v>6</v>
      </c>
      <c r="AJ310" s="345">
        <f t="shared" si="100"/>
        <v>1</v>
      </c>
      <c r="AK310" s="408">
        <f>IF(coder1_YH!S310="",AK309,coder1_YH!S310)</f>
        <v>11.75</v>
      </c>
      <c r="AL310" s="345">
        <f>IF(coder1_YH!T310="",AL309,IF(coder1_YH!T310="mixed",0.25,coder1_YH!T310))</f>
        <v>1</v>
      </c>
      <c r="AM310" s="345">
        <f>IF(coder1_YH!U310 = "", AM309, IF(coder1_YH!U310="mixed","NA",coder1_YH!U310))</f>
        <v>0.05</v>
      </c>
      <c r="AN310" s="345" t="str">
        <f>IF(coder1_YH!V310="",AN309,coder1_YH!V310)</f>
        <v>NA</v>
      </c>
      <c r="AO310" s="345">
        <f>IF(coder1_YH!W310="",AO309,coder1_YH!W310)</f>
        <v>0</v>
      </c>
      <c r="AP310" s="345">
        <f>IF(coder1_YH!X310="",AP309,coder1_YH!X310)</f>
        <v>0.75</v>
      </c>
      <c r="AQ310" s="345" t="str">
        <f>IF(coder1_YH!Y310="",AQ309,coder1_YH!Y310)</f>
        <v>NA</v>
      </c>
      <c r="AR310">
        <f>coder1_YH!AB310</f>
        <v>0</v>
      </c>
      <c r="AS310" s="345" t="str">
        <f>IF(coder1_YH!AC310 = "", AS309,IF(coder1_YH!AC310="BAU","BAU",LEFT(coder1_YH!AC310)))</f>
        <v>0</v>
      </c>
      <c r="AT310" s="345" t="str">
        <f>IF(coder1_YH!AD310 = "", AT309,IF(coder1_YH!AD310="BAU","BAU",LEFT(coder1_YH!AD310)))</f>
        <v>1</v>
      </c>
      <c r="AU310" s="345" t="str">
        <f>IF(coder1_YH!AE310 = "", AU309,IF(coder1_YH!AE310="BAU","BAU",LEFT(coder1_YH!AE310)))</f>
        <v>0</v>
      </c>
      <c r="AV310" s="345">
        <f>IF(coder1_YH!AF310="",AV309,coder1_YH!AF310)</f>
        <v>1200</v>
      </c>
      <c r="AW310" s="345">
        <f t="shared" si="101"/>
        <v>20</v>
      </c>
      <c r="AX310" s="345">
        <f>IF(coder1_YH!AG310="",AX309,coder1_YH!AG310)</f>
        <v>20</v>
      </c>
      <c r="AY310" s="345">
        <f>IF(coder1_YH!AH310="",AY309,coder1_YH!AH310)</f>
        <v>60</v>
      </c>
      <c r="AZ310" s="345" t="str">
        <f>IF(coder1_YH!AI310 = "", AZ309, IF(coder1_YH!AI310="BAU","BAU",LEFT(coder1_YH!AI310)))</f>
        <v>1</v>
      </c>
      <c r="BA310" s="384">
        <f>clean_data!Y310</f>
        <v>9</v>
      </c>
    </row>
    <row r="311" spans="1:53" x14ac:dyDescent="0.2">
      <c r="A311">
        <f>coder1_YH!B311</f>
        <v>0</v>
      </c>
      <c r="B311">
        <f>coder1_YH!C311</f>
        <v>311</v>
      </c>
      <c r="C311">
        <f>coder1_YH!D311</f>
        <v>0</v>
      </c>
      <c r="D311" t="str">
        <f>coder1_YH!E311</f>
        <v/>
      </c>
      <c r="E311" t="str">
        <f>coder1_YH!F311</f>
        <v/>
      </c>
      <c r="F311" s="321" t="str">
        <f>IF(coder1_YH!G311="", clean_mod!F310, coder1_YH!G311)</f>
        <v>Nelson, 2005</v>
      </c>
      <c r="G311" s="321" t="str">
        <f t="shared" si="86"/>
        <v>151</v>
      </c>
      <c r="H311" s="321">
        <f>IF(coder1_YH!H311="", clean_mod!H310, coder1_YH!H311)</f>
        <v>151</v>
      </c>
      <c r="I311" s="404" t="str">
        <f t="shared" si="87"/>
        <v>2005</v>
      </c>
      <c r="J311" s="344" t="str">
        <f>IF(coder1_YH!I311="",J310,coder1_YH!I311)</f>
        <v>USA</v>
      </c>
      <c r="K311" s="345">
        <f t="shared" si="88"/>
        <v>0</v>
      </c>
      <c r="L311" s="344" t="str">
        <f>IF(coder1_YH!J311 = "",L310, coder1_YH!J311)</f>
        <v>English</v>
      </c>
      <c r="M311" s="345">
        <f t="shared" si="89"/>
        <v>0</v>
      </c>
      <c r="N311" s="345" t="str">
        <f>IF(coder1_YH!K311 = "", N310, LEFT(coder1_YH!K311,1))</f>
        <v>0</v>
      </c>
      <c r="O311" s="345" t="str">
        <f>IF(coder1_YH!L311 = "", O310, LEFT(coder1_YH!L311,1))</f>
        <v>1</v>
      </c>
      <c r="P311" s="345" t="str">
        <f>IF(coder1_YH!M311 = "", P310, LEFT(coder1_YH!M311,1))</f>
        <v>0</v>
      </c>
      <c r="Q311" s="321">
        <f>coder1_YH!P311</f>
        <v>0</v>
      </c>
      <c r="R311" s="321">
        <f>coder1_YH!Q311</f>
        <v>0</v>
      </c>
      <c r="S311" s="323" t="str">
        <f t="shared" si="90"/>
        <v>N</v>
      </c>
      <c r="T311" s="323" t="str">
        <f t="shared" si="91"/>
        <v/>
      </c>
      <c r="U311" s="323" t="str">
        <f t="shared" si="92"/>
        <v/>
      </c>
      <c r="V311" s="323" t="str">
        <f t="shared" si="93"/>
        <v/>
      </c>
      <c r="W311" s="323">
        <f t="shared" si="94"/>
        <v>1</v>
      </c>
      <c r="X311" s="385" t="str">
        <f>IF(coder1_YH!N311 = "",X310,coder1_YH!N311)</f>
        <v>N</v>
      </c>
      <c r="Y311" s="385" t="str">
        <f>IF(coder1_YH!O311 = "",Y310,coder1_YH!O311)</f>
        <v xml:space="preserve">m </v>
      </c>
      <c r="Z311" s="385" t="str">
        <f t="shared" si="103"/>
        <v>M</v>
      </c>
      <c r="AA311" s="385" t="str">
        <f t="shared" si="104"/>
        <v>R</v>
      </c>
      <c r="AB311" s="385" t="str">
        <f t="shared" si="95"/>
        <v>MR</v>
      </c>
      <c r="AC311" s="323" t="str">
        <f t="shared" si="96"/>
        <v xml:space="preserve">Nm </v>
      </c>
      <c r="AD311" s="323" t="str">
        <f t="shared" si="97"/>
        <v>N_R</v>
      </c>
      <c r="AF311" s="369" t="str">
        <f t="shared" si="98"/>
        <v xml:space="preserve">151-Nm </v>
      </c>
      <c r="AG311" s="369" t="str">
        <f t="shared" si="99"/>
        <v>151-N_R</v>
      </c>
      <c r="AH311" s="344" t="str">
        <f>IF(coder1_YH!R311="",AH310,coder1_YH!R311)</f>
        <v>4,5,6,7,8</v>
      </c>
      <c r="AI311" s="344">
        <f t="shared" si="85"/>
        <v>6</v>
      </c>
      <c r="AJ311" s="345">
        <f t="shared" si="100"/>
        <v>1</v>
      </c>
      <c r="AK311" s="408">
        <f>IF(coder1_YH!S311="",AK310,coder1_YH!S311)</f>
        <v>11.75</v>
      </c>
      <c r="AL311" s="345">
        <f>IF(coder1_YH!T311="",AL310,IF(coder1_YH!T311="mixed",0.25,coder1_YH!T311))</f>
        <v>1</v>
      </c>
      <c r="AM311" s="345">
        <f>IF(coder1_YH!U311 = "", AM310, IF(coder1_YH!U311="mixed","NA",coder1_YH!U311))</f>
        <v>0.05</v>
      </c>
      <c r="AN311" s="345" t="str">
        <f>IF(coder1_YH!V311="",AN310,coder1_YH!V311)</f>
        <v>NA</v>
      </c>
      <c r="AO311" s="345">
        <f>IF(coder1_YH!W311="",AO310,coder1_YH!W311)</f>
        <v>0</v>
      </c>
      <c r="AP311" s="345">
        <f>IF(coder1_YH!X311="",AP310,coder1_YH!X311)</f>
        <v>0.75</v>
      </c>
      <c r="AQ311" s="345" t="str">
        <f>IF(coder1_YH!Y311="",AQ310,coder1_YH!Y311)</f>
        <v>NA</v>
      </c>
      <c r="AR311">
        <f>coder1_YH!AB311</f>
        <v>0</v>
      </c>
      <c r="AS311" s="345" t="str">
        <f>IF(coder1_YH!AC311 = "", AS310,IF(coder1_YH!AC311="BAU","BAU",LEFT(coder1_YH!AC311)))</f>
        <v>0</v>
      </c>
      <c r="AT311" s="345" t="str">
        <f>IF(coder1_YH!AD311 = "", AT310,IF(coder1_YH!AD311="BAU","BAU",LEFT(coder1_YH!AD311)))</f>
        <v>1</v>
      </c>
      <c r="AU311" s="345" t="str">
        <f>IF(coder1_YH!AE311 = "", AU310,IF(coder1_YH!AE311="BAU","BAU",LEFT(coder1_YH!AE311)))</f>
        <v>0</v>
      </c>
      <c r="AV311" s="345">
        <f>IF(coder1_YH!AF311="",AV310,coder1_YH!AF311)</f>
        <v>1200</v>
      </c>
      <c r="AW311" s="345">
        <f t="shared" si="101"/>
        <v>20</v>
      </c>
      <c r="AX311" s="345">
        <f>IF(coder1_YH!AG311="",AX310,coder1_YH!AG311)</f>
        <v>20</v>
      </c>
      <c r="AY311" s="345">
        <f>IF(coder1_YH!AH311="",AY310,coder1_YH!AH311)</f>
        <v>60</v>
      </c>
      <c r="AZ311" s="345" t="str">
        <f>IF(coder1_YH!AI311 = "", AZ310, IF(coder1_YH!AI311="BAU","BAU",LEFT(coder1_YH!AI311)))</f>
        <v>1</v>
      </c>
      <c r="BA311" s="384">
        <f>clean_data!Y311</f>
        <v>9</v>
      </c>
    </row>
    <row r="312" spans="1:53" x14ac:dyDescent="0.2">
      <c r="A312">
        <f>coder1_YH!B312</f>
        <v>0</v>
      </c>
      <c r="B312">
        <f>coder1_YH!C312</f>
        <v>312</v>
      </c>
      <c r="C312">
        <f>coder1_YH!D312</f>
        <v>0</v>
      </c>
      <c r="D312" t="str">
        <f>coder1_YH!E312</f>
        <v/>
      </c>
      <c r="E312" t="str">
        <f>coder1_YH!F312</f>
        <v/>
      </c>
      <c r="F312" s="321" t="str">
        <f>IF(coder1_YH!G312="", clean_mod!F311, coder1_YH!G312)</f>
        <v>Nelson, 2005</v>
      </c>
      <c r="G312" s="321" t="str">
        <f t="shared" si="86"/>
        <v>151</v>
      </c>
      <c r="H312" s="321">
        <f>IF(coder1_YH!H312="", clean_mod!H311, coder1_YH!H312)</f>
        <v>151</v>
      </c>
      <c r="I312" s="404" t="str">
        <f t="shared" si="87"/>
        <v>2005</v>
      </c>
      <c r="J312" s="344" t="str">
        <f>IF(coder1_YH!I312="",J311,coder1_YH!I312)</f>
        <v>USA</v>
      </c>
      <c r="K312" s="345">
        <f t="shared" si="88"/>
        <v>0</v>
      </c>
      <c r="L312" s="344" t="str">
        <f>IF(coder1_YH!J312 = "",L311, coder1_YH!J312)</f>
        <v>English</v>
      </c>
      <c r="M312" s="345">
        <f t="shared" si="89"/>
        <v>0</v>
      </c>
      <c r="N312" s="345" t="str">
        <f>IF(coder1_YH!K312 = "", N311, LEFT(coder1_YH!K312,1))</f>
        <v>0</v>
      </c>
      <c r="O312" s="345" t="str">
        <f>IF(coder1_YH!L312 = "", O311, LEFT(coder1_YH!L312,1))</f>
        <v>1</v>
      </c>
      <c r="P312" s="345" t="str">
        <f>IF(coder1_YH!M312 = "", P311, LEFT(coder1_YH!M312,1))</f>
        <v>0</v>
      </c>
      <c r="Q312" s="321">
        <f>coder1_YH!P312</f>
        <v>0</v>
      </c>
      <c r="R312" s="321">
        <f>coder1_YH!Q312</f>
        <v>0</v>
      </c>
      <c r="S312" s="323" t="str">
        <f t="shared" si="90"/>
        <v>N</v>
      </c>
      <c r="T312" s="323" t="str">
        <f t="shared" si="91"/>
        <v/>
      </c>
      <c r="U312" s="323" t="str">
        <f t="shared" si="92"/>
        <v/>
      </c>
      <c r="V312" s="323" t="str">
        <f t="shared" si="93"/>
        <v/>
      </c>
      <c r="W312" s="323">
        <f t="shared" si="94"/>
        <v>1</v>
      </c>
      <c r="X312" s="385" t="str">
        <f>IF(coder1_YH!N312 = "",X311,coder1_YH!N312)</f>
        <v>N</v>
      </c>
      <c r="Y312" s="385" t="str">
        <f>IF(coder1_YH!O312 = "",Y311,coder1_YH!O312)</f>
        <v xml:space="preserve">m </v>
      </c>
      <c r="Z312" s="385" t="str">
        <f t="shared" ref="Z312" si="106">IF(X312=".","","M")</f>
        <v>M</v>
      </c>
      <c r="AA312" s="385" t="str">
        <f t="shared" ref="AA312" si="107">IF(Y312=".","BAU","R")</f>
        <v>R</v>
      </c>
      <c r="AB312" s="385" t="str">
        <f t="shared" si="95"/>
        <v>MR</v>
      </c>
      <c r="AC312" s="323" t="str">
        <f t="shared" si="96"/>
        <v xml:space="preserve">Nm </v>
      </c>
      <c r="AD312" s="323" t="str">
        <f t="shared" si="97"/>
        <v>N_R</v>
      </c>
      <c r="AF312" s="369" t="str">
        <f t="shared" si="98"/>
        <v xml:space="preserve">151-Nm </v>
      </c>
      <c r="AG312" s="369" t="str">
        <f t="shared" si="99"/>
        <v>151-N_R</v>
      </c>
      <c r="AH312" s="344" t="str">
        <f>IF(coder1_YH!R312="",AH311,coder1_YH!R312)</f>
        <v>4,5,6,7,8</v>
      </c>
      <c r="AI312" s="344">
        <f t="shared" si="85"/>
        <v>6</v>
      </c>
      <c r="AJ312" s="345">
        <f t="shared" si="100"/>
        <v>1</v>
      </c>
      <c r="AK312" s="408">
        <f>IF(coder1_YH!S312="",AK311,coder1_YH!S312)</f>
        <v>11.75</v>
      </c>
      <c r="AL312" s="345">
        <f>IF(coder1_YH!T312="",AL311,IF(coder1_YH!T312="mixed",0.25,coder1_YH!T312))</f>
        <v>1</v>
      </c>
      <c r="AM312" s="345">
        <f>IF(coder1_YH!U312 = "", AM311, IF(coder1_YH!U312="mixed","NA",coder1_YH!U312))</f>
        <v>0.05</v>
      </c>
      <c r="AN312" s="345" t="str">
        <f>IF(coder1_YH!V312="",AN311,coder1_YH!V312)</f>
        <v>NA</v>
      </c>
      <c r="AO312" s="345">
        <f>IF(coder1_YH!W312="",AO311,coder1_YH!W312)</f>
        <v>0</v>
      </c>
      <c r="AP312" s="345">
        <f>IF(coder1_YH!X312="",AP311,coder1_YH!X312)</f>
        <v>0.75</v>
      </c>
      <c r="AQ312" s="345" t="str">
        <f>IF(coder1_YH!Y312="",AQ311,coder1_YH!Y312)</f>
        <v>NA</v>
      </c>
      <c r="AR312">
        <f>coder1_YH!AB312</f>
        <v>0</v>
      </c>
      <c r="AS312" s="345" t="str">
        <f>IF(coder1_YH!AC312 = "", AS311,IF(coder1_YH!AC312="BAU","BAU",LEFT(coder1_YH!AC312)))</f>
        <v>0</v>
      </c>
      <c r="AT312" s="345" t="str">
        <f>IF(coder1_YH!AD312 = "", AT311,IF(coder1_YH!AD312="BAU","BAU",LEFT(coder1_YH!AD312)))</f>
        <v>1</v>
      </c>
      <c r="AU312" s="345" t="str">
        <f>IF(coder1_YH!AE312 = "", AU311,IF(coder1_YH!AE312="BAU","BAU",LEFT(coder1_YH!AE312)))</f>
        <v>0</v>
      </c>
      <c r="AV312" s="345">
        <f>IF(coder1_YH!AF312="",AV311,coder1_YH!AF312)</f>
        <v>1200</v>
      </c>
      <c r="AW312" s="345">
        <f t="shared" si="101"/>
        <v>20</v>
      </c>
      <c r="AX312" s="345">
        <f>IF(coder1_YH!AG312="",AX311,coder1_YH!AG312)</f>
        <v>20</v>
      </c>
      <c r="AY312" s="345">
        <f>IF(coder1_YH!AH312="",AY311,coder1_YH!AH312)</f>
        <v>60</v>
      </c>
      <c r="AZ312" s="345" t="str">
        <f>IF(coder1_YH!AI312 = "", AZ311, IF(coder1_YH!AI312="BAU","BAU",LEFT(coder1_YH!AI312)))</f>
        <v>1</v>
      </c>
      <c r="BA312" s="384">
        <f>clean_data!Y312</f>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7D7DB-F844-CC45-A9A8-C0A0F89642FA}">
  <dimension ref="A1:BD461"/>
  <sheetViews>
    <sheetView zoomScale="107" zoomScaleNormal="178" workbookViewId="0">
      <pane xSplit="17" ySplit="1" topLeftCell="R284" activePane="bottomRight" state="frozen"/>
      <selection pane="topRight" activeCell="H1" sqref="H1"/>
      <selection pane="bottomLeft" activeCell="A3" sqref="A3"/>
      <selection pane="bottomRight" activeCell="O319" sqref="O319"/>
    </sheetView>
  </sheetViews>
  <sheetFormatPr baseColWidth="10" defaultColWidth="11.5" defaultRowHeight="15" x14ac:dyDescent="0.2"/>
  <cols>
    <col min="1" max="1" width="6.5" customWidth="1"/>
    <col min="2" max="3" width="7" customWidth="1"/>
    <col min="4" max="4" width="6.83203125" customWidth="1"/>
    <col min="5" max="5" width="10.33203125" customWidth="1"/>
    <col min="6" max="6" width="6.1640625" customWidth="1"/>
    <col min="7" max="7" width="27.5" style="60" customWidth="1"/>
    <col min="8" max="8" width="8.5" style="130" customWidth="1"/>
    <col min="9" max="9" width="6" style="88" customWidth="1"/>
    <col min="10" max="10" width="8.6640625" style="88" customWidth="1"/>
    <col min="11" max="11" width="5.5" style="130" customWidth="1"/>
    <col min="12" max="12" width="4.5" style="130" customWidth="1"/>
    <col min="13" max="13" width="7.33203125" style="88" customWidth="1"/>
    <col min="14" max="15" width="7.33203125" style="283" customWidth="1"/>
    <col min="16" max="16" width="9.33203125" style="127" customWidth="1"/>
    <col min="17" max="17" width="18.83203125" style="127" customWidth="1"/>
    <col min="18" max="18" width="11.5" style="351"/>
    <col min="19" max="19" width="11.5" style="245"/>
    <col min="20" max="20" width="14.33203125" style="245" customWidth="1"/>
    <col min="21" max="22" width="9.83203125" style="245" customWidth="1"/>
    <col min="23" max="23" width="11" style="245" customWidth="1"/>
    <col min="24" max="25" width="9.83203125" style="245" customWidth="1"/>
    <col min="26" max="26" width="15.6640625" style="127" customWidth="1"/>
    <col min="27" max="27" width="10.33203125" style="246" customWidth="1"/>
    <col min="28" max="28" width="16.33203125" style="127" customWidth="1"/>
    <col min="29" max="29" width="11.5" style="127"/>
    <col min="30" max="30" width="13.83203125" style="127" customWidth="1"/>
    <col min="31" max="31" width="16.5" style="127" customWidth="1"/>
    <col min="32" max="33" width="13" style="127" customWidth="1"/>
    <col min="34" max="34" width="13.5" style="127" customWidth="1"/>
    <col min="35" max="35" width="11.5" style="127"/>
    <col min="36" max="36" width="20.1640625" style="127" customWidth="1"/>
    <col min="37" max="37" width="12.5" style="127" customWidth="1"/>
    <col min="38" max="38" width="12.5" style="60" customWidth="1"/>
    <col min="39" max="39" width="31.33203125" style="146" customWidth="1"/>
    <col min="40" max="40" width="12.5" style="127" customWidth="1"/>
    <col min="41" max="42" width="12.33203125" style="127" customWidth="1"/>
    <col min="43" max="45" width="11.5" style="127" customWidth="1"/>
    <col min="46" max="51" width="9.33203125" style="127" customWidth="1"/>
    <col min="52" max="52" width="13.83203125" style="127" customWidth="1"/>
    <col min="53" max="53" width="20" style="127" customWidth="1"/>
    <col min="54" max="54" width="32.5" style="60" customWidth="1"/>
    <col min="55" max="55" width="26.6640625" style="60" customWidth="1"/>
    <col min="56" max="16384" width="11.5" style="127"/>
  </cols>
  <sheetData>
    <row r="1" spans="1:55" ht="38" customHeight="1" x14ac:dyDescent="0.2">
      <c r="A1" t="s">
        <v>956</v>
      </c>
      <c r="B1" t="s">
        <v>955</v>
      </c>
      <c r="C1" t="s">
        <v>983</v>
      </c>
      <c r="D1" t="s">
        <v>933</v>
      </c>
      <c r="E1" t="s">
        <v>1008</v>
      </c>
      <c r="F1" t="s">
        <v>1013</v>
      </c>
      <c r="G1" s="114" t="s">
        <v>10</v>
      </c>
      <c r="H1" s="216" t="s">
        <v>1011</v>
      </c>
      <c r="I1" s="114" t="s">
        <v>12</v>
      </c>
      <c r="J1" s="114" t="s">
        <v>450</v>
      </c>
      <c r="K1" s="217" t="s">
        <v>13</v>
      </c>
      <c r="L1" s="217" t="s">
        <v>14</v>
      </c>
      <c r="M1" s="346" t="s">
        <v>15</v>
      </c>
      <c r="N1" s="280" t="s">
        <v>1031</v>
      </c>
      <c r="O1" s="280" t="s">
        <v>931</v>
      </c>
      <c r="P1" s="208" t="s">
        <v>945</v>
      </c>
      <c r="Q1" s="208" t="s">
        <v>17</v>
      </c>
      <c r="R1" s="348" t="s">
        <v>18</v>
      </c>
      <c r="S1" s="218" t="s">
        <v>19</v>
      </c>
      <c r="T1" s="208" t="s">
        <v>20</v>
      </c>
      <c r="U1" s="219" t="s">
        <v>21</v>
      </c>
      <c r="V1" s="219" t="s">
        <v>22</v>
      </c>
      <c r="W1" s="219" t="s">
        <v>292</v>
      </c>
      <c r="X1" s="219" t="s">
        <v>24</v>
      </c>
      <c r="Y1" s="219" t="s">
        <v>288</v>
      </c>
      <c r="Z1" s="220" t="s">
        <v>26</v>
      </c>
      <c r="AA1" s="221" t="s">
        <v>27</v>
      </c>
      <c r="AB1" s="222" t="s">
        <v>28</v>
      </c>
      <c r="AC1" s="223" t="s">
        <v>29</v>
      </c>
      <c r="AD1" s="223" t="s">
        <v>30</v>
      </c>
      <c r="AE1" s="223" t="s">
        <v>31</v>
      </c>
      <c r="AF1" s="192" t="s">
        <v>32</v>
      </c>
      <c r="AG1" s="192" t="s">
        <v>443</v>
      </c>
      <c r="AH1" s="192" t="s">
        <v>33</v>
      </c>
      <c r="AI1" s="223" t="s">
        <v>34</v>
      </c>
      <c r="AJ1" s="216" t="s">
        <v>35</v>
      </c>
      <c r="AK1" s="217" t="s">
        <v>36</v>
      </c>
      <c r="AL1" s="115" t="s">
        <v>451</v>
      </c>
      <c r="AM1" s="325"/>
      <c r="AN1" s="224" t="s">
        <v>781</v>
      </c>
      <c r="AO1" s="224" t="s">
        <v>782</v>
      </c>
      <c r="AP1" s="224" t="s">
        <v>783</v>
      </c>
      <c r="AQ1" s="225" t="s">
        <v>784</v>
      </c>
      <c r="AR1" s="225" t="s">
        <v>785</v>
      </c>
      <c r="AS1" s="225" t="s">
        <v>786</v>
      </c>
      <c r="AT1" s="192" t="s">
        <v>788</v>
      </c>
      <c r="AU1" s="192" t="s">
        <v>789</v>
      </c>
      <c r="AV1" s="192" t="s">
        <v>790</v>
      </c>
      <c r="AW1" s="192" t="s">
        <v>791</v>
      </c>
      <c r="AX1" s="193" t="s">
        <v>792</v>
      </c>
      <c r="AY1" s="193" t="s">
        <v>793</v>
      </c>
      <c r="AZ1" s="226" t="s">
        <v>44</v>
      </c>
      <c r="BA1" s="226" t="s">
        <v>45</v>
      </c>
    </row>
    <row r="2" spans="1:55" s="112" customFormat="1" ht="17" customHeight="1" x14ac:dyDescent="0.2">
      <c r="A2"/>
      <c r="B2"/>
      <c r="C2">
        <v>2</v>
      </c>
      <c r="D2" t="b">
        <f>E2</f>
        <v>1</v>
      </c>
      <c r="E2" t="b">
        <f>IF(coder1_YH!G2="","",TRUE)</f>
        <v>1</v>
      </c>
      <c r="F2" t="b">
        <f>IF(coder1_YH!P2="","",TRUE)</f>
        <v>1</v>
      </c>
      <c r="G2" s="117" t="s">
        <v>46</v>
      </c>
      <c r="H2" s="117">
        <v>101</v>
      </c>
      <c r="I2" s="116" t="s">
        <v>47</v>
      </c>
      <c r="J2" s="88" t="s">
        <v>452</v>
      </c>
      <c r="K2" s="117" t="s">
        <v>48</v>
      </c>
      <c r="L2" s="117" t="s">
        <v>49</v>
      </c>
      <c r="M2" s="116" t="s">
        <v>50</v>
      </c>
      <c r="N2" s="281" t="s">
        <v>915</v>
      </c>
      <c r="O2" s="281" t="str">
        <f>IF(Z2="BAU",".",LEFT(Z2,2))</f>
        <v>cm</v>
      </c>
      <c r="P2" s="112">
        <v>1</v>
      </c>
      <c r="Q2" s="112" t="s">
        <v>51</v>
      </c>
      <c r="R2" s="349">
        <v>2.71</v>
      </c>
      <c r="S2" s="227">
        <v>8.42</v>
      </c>
      <c r="T2" s="228">
        <v>1</v>
      </c>
      <c r="U2" s="228">
        <f>(1+3+13+3+2)/24</f>
        <v>0.91666666666666663</v>
      </c>
      <c r="V2" s="228" t="s">
        <v>52</v>
      </c>
      <c r="W2" s="228" t="s">
        <v>52</v>
      </c>
      <c r="X2" s="228">
        <f>10/24</f>
        <v>0.41666666666666669</v>
      </c>
      <c r="Y2" s="228" t="s">
        <v>52</v>
      </c>
      <c r="Z2" s="112" t="s">
        <v>53</v>
      </c>
      <c r="AA2" s="229" t="s">
        <v>54</v>
      </c>
      <c r="AB2" s="112" t="s">
        <v>55</v>
      </c>
      <c r="AC2" s="112" t="s">
        <v>56</v>
      </c>
      <c r="AD2" s="112" t="s">
        <v>57</v>
      </c>
      <c r="AE2" s="112" t="s">
        <v>58</v>
      </c>
      <c r="AF2" s="112">
        <f>5*5*AH2</f>
        <v>3000</v>
      </c>
      <c r="AG2" s="230">
        <v>25</v>
      </c>
      <c r="AH2" s="112">
        <v>120</v>
      </c>
      <c r="AI2" s="112" t="s">
        <v>59</v>
      </c>
      <c r="AJ2" s="112" t="s">
        <v>60</v>
      </c>
      <c r="AK2" s="112" t="s">
        <v>61</v>
      </c>
      <c r="AL2" s="60" t="s">
        <v>459</v>
      </c>
      <c r="AM2" s="146" t="s">
        <v>574</v>
      </c>
      <c r="AN2" s="112">
        <v>8.17</v>
      </c>
      <c r="AO2" s="112">
        <v>2.5099999999999998</v>
      </c>
      <c r="AP2" s="112">
        <v>24</v>
      </c>
      <c r="AQ2" s="112">
        <v>9.5399999999999991</v>
      </c>
      <c r="AR2" s="112">
        <v>2.93</v>
      </c>
      <c r="AS2" s="112">
        <v>24</v>
      </c>
      <c r="AT2" s="194" t="s">
        <v>52</v>
      </c>
      <c r="AU2" s="194" t="s">
        <v>52</v>
      </c>
      <c r="AV2" s="194" t="s">
        <v>52</v>
      </c>
      <c r="AW2" s="194" t="s">
        <v>52</v>
      </c>
      <c r="AX2" s="194"/>
      <c r="AY2" s="194"/>
      <c r="BA2" s="112">
        <v>0</v>
      </c>
      <c r="BB2" s="134" t="s">
        <v>62</v>
      </c>
      <c r="BC2" s="134" t="s">
        <v>62</v>
      </c>
    </row>
    <row r="3" spans="1:55" s="113" customFormat="1" ht="17" customHeight="1" x14ac:dyDescent="0.2">
      <c r="A3"/>
      <c r="B3"/>
      <c r="C3">
        <v>3</v>
      </c>
      <c r="D3"/>
      <c r="E3" t="str">
        <f>IF(coder1_YH!G3="","",TRUE)</f>
        <v/>
      </c>
      <c r="F3" t="b">
        <f>IF(coder1_YH!P3="","",TRUE)</f>
        <v>1</v>
      </c>
      <c r="G3" s="231"/>
      <c r="H3" s="123"/>
      <c r="I3" s="122"/>
      <c r="J3" s="89"/>
      <c r="K3" s="123"/>
      <c r="L3" s="123"/>
      <c r="M3" s="122"/>
      <c r="N3" s="282" t="s">
        <v>914</v>
      </c>
      <c r="O3" s="282" t="str">
        <f t="shared" ref="O3:O66" si="0">IF(Z3="BAU",".",LEFT(Z3,2))</f>
        <v>cm</v>
      </c>
      <c r="P3" s="113" t="s">
        <v>924</v>
      </c>
      <c r="Q3" s="113" t="s">
        <v>63</v>
      </c>
      <c r="R3" s="350">
        <v>1.83</v>
      </c>
      <c r="S3" s="232">
        <v>7.96</v>
      </c>
      <c r="T3" s="232">
        <v>1</v>
      </c>
      <c r="U3" s="232">
        <f>(1+5+8+4+2+2)/23</f>
        <v>0.95652173913043481</v>
      </c>
      <c r="V3" s="232" t="s">
        <v>52</v>
      </c>
      <c r="W3" s="232" t="s">
        <v>52</v>
      </c>
      <c r="X3" s="232">
        <f>11/23</f>
        <v>0.47826086956521741</v>
      </c>
      <c r="Y3" s="232" t="s">
        <v>52</v>
      </c>
      <c r="Z3" s="113" t="s">
        <v>53</v>
      </c>
      <c r="AA3" s="233" t="s">
        <v>54</v>
      </c>
      <c r="AB3" s="113" t="s">
        <v>55</v>
      </c>
      <c r="AC3" s="113" t="s">
        <v>56</v>
      </c>
      <c r="AD3" s="113" t="s">
        <v>57</v>
      </c>
      <c r="AE3" s="113" t="s">
        <v>58</v>
      </c>
      <c r="AF3" s="113">
        <f>5*5*AH3</f>
        <v>3000</v>
      </c>
      <c r="AG3" s="234">
        <v>25</v>
      </c>
      <c r="AH3" s="113">
        <v>120</v>
      </c>
      <c r="AI3" s="113" t="s">
        <v>59</v>
      </c>
      <c r="AJ3" s="113" t="s">
        <v>60</v>
      </c>
      <c r="AK3" s="113" t="s">
        <v>61</v>
      </c>
      <c r="AL3" s="60" t="s">
        <v>459</v>
      </c>
      <c r="AM3" s="147" t="s">
        <v>574</v>
      </c>
      <c r="AN3" s="113">
        <v>8</v>
      </c>
      <c r="AO3" s="113">
        <v>2.2400000000000002</v>
      </c>
      <c r="AP3" s="113">
        <v>23</v>
      </c>
      <c r="AQ3" s="113">
        <v>8.17</v>
      </c>
      <c r="AR3" s="113">
        <v>2.31</v>
      </c>
      <c r="AS3" s="113">
        <v>23</v>
      </c>
      <c r="AT3" s="195" t="s">
        <v>52</v>
      </c>
      <c r="AU3" s="195" t="s">
        <v>52</v>
      </c>
      <c r="AV3" s="195" t="s">
        <v>52</v>
      </c>
      <c r="AW3" s="195" t="s">
        <v>52</v>
      </c>
      <c r="AX3" s="195"/>
      <c r="AY3" s="195"/>
      <c r="BA3" s="113">
        <v>0</v>
      </c>
      <c r="BB3" s="138" t="s">
        <v>64</v>
      </c>
      <c r="BC3" s="138" t="s">
        <v>64</v>
      </c>
    </row>
    <row r="4" spans="1:55" s="112" customFormat="1" ht="17" customHeight="1" x14ac:dyDescent="0.2">
      <c r="A4"/>
      <c r="B4"/>
      <c r="C4">
        <v>4</v>
      </c>
      <c r="D4"/>
      <c r="E4"/>
      <c r="F4" t="b">
        <f>IF(coder1_YH!P4="","",TRUE)</f>
        <v>1</v>
      </c>
      <c r="G4" s="117" t="s">
        <v>65</v>
      </c>
      <c r="H4" s="117">
        <v>102</v>
      </c>
      <c r="I4" s="116" t="s">
        <v>47</v>
      </c>
      <c r="J4" s="88" t="s">
        <v>452</v>
      </c>
      <c r="K4" s="117" t="s">
        <v>66</v>
      </c>
      <c r="L4" s="117" t="s">
        <v>49</v>
      </c>
      <c r="M4" s="116" t="s">
        <v>50</v>
      </c>
      <c r="N4" s="281" t="s">
        <v>914</v>
      </c>
      <c r="O4" s="281" t="str">
        <f t="shared" si="0"/>
        <v xml:space="preserve">c </v>
      </c>
      <c r="P4" s="112">
        <v>1</v>
      </c>
      <c r="Q4" s="112" t="s">
        <v>67</v>
      </c>
      <c r="R4" s="349" t="s">
        <v>68</v>
      </c>
      <c r="S4" s="228">
        <f>(9.5+10.5)/2</f>
        <v>10</v>
      </c>
      <c r="T4" s="228">
        <v>1</v>
      </c>
      <c r="U4" s="228" t="s">
        <v>52</v>
      </c>
      <c r="V4" s="228">
        <f>30/34</f>
        <v>0.88235294117647056</v>
      </c>
      <c r="W4" s="228">
        <f>4/34</f>
        <v>0.11764705882352941</v>
      </c>
      <c r="X4" s="228">
        <f>18/34</f>
        <v>0.52941176470588236</v>
      </c>
      <c r="Y4" s="228">
        <f>32/34</f>
        <v>0.94117647058823528</v>
      </c>
      <c r="Z4" s="187" t="s">
        <v>69</v>
      </c>
      <c r="AA4" s="229" t="s">
        <v>70</v>
      </c>
      <c r="AB4" s="112" t="s">
        <v>71</v>
      </c>
      <c r="AC4" s="112" t="s">
        <v>56</v>
      </c>
      <c r="AD4" s="112" t="s">
        <v>57</v>
      </c>
      <c r="AE4" s="112" t="s">
        <v>72</v>
      </c>
      <c r="AF4" s="112">
        <f>40*AH4</f>
        <v>1600</v>
      </c>
      <c r="AG4" s="230">
        <v>40</v>
      </c>
      <c r="AH4" s="112">
        <v>40</v>
      </c>
      <c r="AI4" s="112" t="s">
        <v>59</v>
      </c>
      <c r="AJ4" s="112" t="s">
        <v>73</v>
      </c>
      <c r="AK4" s="112" t="s">
        <v>61</v>
      </c>
      <c r="AL4" s="60" t="s">
        <v>459</v>
      </c>
      <c r="AM4" s="146" t="s">
        <v>575</v>
      </c>
      <c r="AN4" s="112">
        <v>88.91</v>
      </c>
      <c r="AO4" s="112">
        <v>8.9600000000000009</v>
      </c>
      <c r="AP4" s="112">
        <v>34</v>
      </c>
      <c r="AQ4" s="112">
        <v>88.91</v>
      </c>
      <c r="AR4" s="112">
        <v>8.91</v>
      </c>
      <c r="AS4" s="112">
        <v>34</v>
      </c>
      <c r="AT4" s="194" t="s">
        <v>52</v>
      </c>
      <c r="AU4" s="194" t="s">
        <v>52</v>
      </c>
      <c r="AV4" s="194" t="s">
        <v>52</v>
      </c>
      <c r="AW4" s="194" t="s">
        <v>52</v>
      </c>
      <c r="AX4" s="194"/>
      <c r="AY4" s="194"/>
      <c r="BA4" s="112">
        <v>0</v>
      </c>
      <c r="BB4" s="134" t="s">
        <v>74</v>
      </c>
      <c r="BC4" s="134"/>
    </row>
    <row r="5" spans="1:55" s="112" customFormat="1" ht="17" customHeight="1" x14ac:dyDescent="0.2">
      <c r="A5"/>
      <c r="B5"/>
      <c r="C5">
        <v>5</v>
      </c>
      <c r="D5"/>
      <c r="E5"/>
      <c r="F5" t="str">
        <f>IF(coder1_YH!P5="","",TRUE)</f>
        <v/>
      </c>
      <c r="G5" s="117" t="s">
        <v>65</v>
      </c>
      <c r="H5" s="117">
        <v>102</v>
      </c>
      <c r="I5" s="116" t="s">
        <v>47</v>
      </c>
      <c r="J5" s="88" t="s">
        <v>452</v>
      </c>
      <c r="K5" s="117" t="s">
        <v>66</v>
      </c>
      <c r="L5" s="117" t="s">
        <v>49</v>
      </c>
      <c r="M5" s="116" t="s">
        <v>50</v>
      </c>
      <c r="N5" s="281"/>
      <c r="O5" s="281" t="str">
        <f t="shared" si="0"/>
        <v/>
      </c>
      <c r="R5" s="349"/>
      <c r="S5" s="228"/>
      <c r="T5" s="228"/>
      <c r="U5" s="228"/>
      <c r="V5" s="228"/>
      <c r="W5" s="228"/>
      <c r="X5" s="228"/>
      <c r="Y5" s="228"/>
      <c r="AA5" s="229"/>
      <c r="AG5" s="230"/>
      <c r="AJ5" s="112" t="s">
        <v>75</v>
      </c>
      <c r="AK5" s="112" t="s">
        <v>61</v>
      </c>
      <c r="AL5" s="60" t="s">
        <v>459</v>
      </c>
      <c r="AM5" s="146" t="s">
        <v>576</v>
      </c>
      <c r="AN5" s="112">
        <v>88.86</v>
      </c>
      <c r="AO5" s="112">
        <v>12.3</v>
      </c>
      <c r="AP5" s="112">
        <v>34</v>
      </c>
      <c r="AQ5" s="112">
        <v>91.98</v>
      </c>
      <c r="AR5" s="112">
        <v>9.34</v>
      </c>
      <c r="AS5" s="112">
        <v>34</v>
      </c>
      <c r="AT5" s="194" t="s">
        <v>52</v>
      </c>
      <c r="AU5" s="194" t="s">
        <v>52</v>
      </c>
      <c r="AV5" s="194" t="s">
        <v>52</v>
      </c>
      <c r="AW5" s="194" t="s">
        <v>52</v>
      </c>
      <c r="AX5" s="194"/>
      <c r="AY5" s="194"/>
      <c r="BA5" s="112">
        <v>0</v>
      </c>
      <c r="BB5" s="134"/>
      <c r="BC5" s="134"/>
    </row>
    <row r="6" spans="1:55" s="112" customFormat="1" ht="17" customHeight="1" x14ac:dyDescent="0.2">
      <c r="A6"/>
      <c r="B6"/>
      <c r="C6">
        <v>6</v>
      </c>
      <c r="D6" t="b">
        <f>E6</f>
        <v>1</v>
      </c>
      <c r="E6" t="b">
        <f>IF(coder1_YH!G6="","",TRUE)</f>
        <v>1</v>
      </c>
      <c r="F6" t="b">
        <f>IF(coder1_YH!P6="","",TRUE)</f>
        <v>1</v>
      </c>
      <c r="G6" s="117" t="s">
        <v>65</v>
      </c>
      <c r="H6" s="117">
        <v>102</v>
      </c>
      <c r="I6" s="116" t="s">
        <v>47</v>
      </c>
      <c r="J6" s="88" t="s">
        <v>452</v>
      </c>
      <c r="K6" s="117" t="s">
        <v>66</v>
      </c>
      <c r="L6" s="117" t="s">
        <v>49</v>
      </c>
      <c r="M6" s="116" t="s">
        <v>50</v>
      </c>
      <c r="N6" s="281" t="s">
        <v>927</v>
      </c>
      <c r="O6" s="281" t="str">
        <f t="shared" si="0"/>
        <v xml:space="preserve">c </v>
      </c>
      <c r="P6" s="112">
        <v>2</v>
      </c>
      <c r="Q6" s="112" t="s">
        <v>76</v>
      </c>
      <c r="R6" s="349" t="s">
        <v>68</v>
      </c>
      <c r="S6" s="228">
        <f>(22*9.5+16*10.5)/38</f>
        <v>9.9210526315789469</v>
      </c>
      <c r="T6" s="228">
        <v>1</v>
      </c>
      <c r="U6" s="228" t="s">
        <v>52</v>
      </c>
      <c r="V6" s="228">
        <f>34/38</f>
        <v>0.89473684210526316</v>
      </c>
      <c r="W6" s="228">
        <f>12/38</f>
        <v>0.31578947368421051</v>
      </c>
      <c r="X6" s="228">
        <f>18/38</f>
        <v>0.47368421052631576</v>
      </c>
      <c r="Y6" s="228">
        <f>37/38</f>
        <v>0.97368421052631582</v>
      </c>
      <c r="Z6" s="187" t="s">
        <v>69</v>
      </c>
      <c r="AA6" s="229" t="s">
        <v>70</v>
      </c>
      <c r="AB6" s="112" t="s">
        <v>71</v>
      </c>
      <c r="AC6" s="112" t="s">
        <v>56</v>
      </c>
      <c r="AD6" s="112" t="s">
        <v>57</v>
      </c>
      <c r="AE6" s="112" t="s">
        <v>72</v>
      </c>
      <c r="AF6" s="112">
        <f>40*AH6</f>
        <v>1600</v>
      </c>
      <c r="AG6" s="230">
        <v>40</v>
      </c>
      <c r="AH6" s="112">
        <v>40</v>
      </c>
      <c r="AI6" s="112" t="s">
        <v>59</v>
      </c>
      <c r="AJ6" s="112" t="s">
        <v>73</v>
      </c>
      <c r="AK6" s="112" t="s">
        <v>61</v>
      </c>
      <c r="AL6" s="60" t="s">
        <v>459</v>
      </c>
      <c r="AM6" s="146" t="s">
        <v>575</v>
      </c>
      <c r="AN6" s="112">
        <v>86.79</v>
      </c>
      <c r="AO6" s="112">
        <v>6.96</v>
      </c>
      <c r="AP6" s="112">
        <v>38</v>
      </c>
      <c r="AQ6" s="112">
        <v>91.16</v>
      </c>
      <c r="AR6" s="112">
        <v>7.53</v>
      </c>
      <c r="AS6" s="112">
        <v>38</v>
      </c>
      <c r="AT6" s="194" t="s">
        <v>52</v>
      </c>
      <c r="AU6" s="194" t="s">
        <v>52</v>
      </c>
      <c r="AV6" s="194" t="s">
        <v>52</v>
      </c>
      <c r="AW6" s="194" t="s">
        <v>52</v>
      </c>
      <c r="AX6" s="194"/>
      <c r="AY6" s="194"/>
      <c r="BA6" s="112">
        <v>0</v>
      </c>
      <c r="BB6" s="134"/>
      <c r="BC6" s="134"/>
    </row>
    <row r="7" spans="1:55" s="112" customFormat="1" ht="17" customHeight="1" x14ac:dyDescent="0.2">
      <c r="A7"/>
      <c r="B7"/>
      <c r="C7">
        <v>7</v>
      </c>
      <c r="D7"/>
      <c r="E7"/>
      <c r="F7" t="str">
        <f>IF(coder1_YH!P7="","",TRUE)</f>
        <v/>
      </c>
      <c r="G7" s="117" t="s">
        <v>65</v>
      </c>
      <c r="H7" s="117">
        <v>102</v>
      </c>
      <c r="I7" s="116" t="s">
        <v>47</v>
      </c>
      <c r="J7" s="88" t="s">
        <v>452</v>
      </c>
      <c r="K7" s="117" t="s">
        <v>66</v>
      </c>
      <c r="L7" s="117" t="s">
        <v>49</v>
      </c>
      <c r="M7" s="116" t="s">
        <v>50</v>
      </c>
      <c r="N7" s="281"/>
      <c r="O7" s="281" t="str">
        <f t="shared" si="0"/>
        <v/>
      </c>
      <c r="R7" s="349"/>
      <c r="S7" s="228"/>
      <c r="T7" s="228"/>
      <c r="U7" s="228"/>
      <c r="V7" s="228"/>
      <c r="W7" s="228"/>
      <c r="X7" s="228"/>
      <c r="Y7" s="228"/>
      <c r="AA7" s="229"/>
      <c r="AG7" s="230"/>
      <c r="AJ7" s="112" t="s">
        <v>75</v>
      </c>
      <c r="AK7" s="112" t="s">
        <v>61</v>
      </c>
      <c r="AL7" s="60" t="s">
        <v>459</v>
      </c>
      <c r="AM7" s="146" t="s">
        <v>576</v>
      </c>
      <c r="AN7" s="112">
        <v>89.3</v>
      </c>
      <c r="AO7" s="112">
        <v>10.49</v>
      </c>
      <c r="AP7" s="112">
        <v>38</v>
      </c>
      <c r="AQ7" s="112">
        <v>91.88</v>
      </c>
      <c r="AR7" s="112">
        <v>6.38</v>
      </c>
      <c r="AS7" s="112">
        <v>38</v>
      </c>
      <c r="AT7" s="194" t="s">
        <v>52</v>
      </c>
      <c r="AU7" s="194" t="s">
        <v>52</v>
      </c>
      <c r="AV7" s="194" t="s">
        <v>52</v>
      </c>
      <c r="AW7" s="194" t="s">
        <v>52</v>
      </c>
      <c r="AX7" s="194"/>
      <c r="AY7" s="194"/>
      <c r="BA7" s="112">
        <v>0</v>
      </c>
      <c r="BB7" s="134"/>
      <c r="BC7" s="134"/>
    </row>
    <row r="8" spans="1:55" s="112" customFormat="1" ht="17" customHeight="1" x14ac:dyDescent="0.2">
      <c r="A8"/>
      <c r="B8"/>
      <c r="C8">
        <v>8</v>
      </c>
      <c r="D8"/>
      <c r="E8"/>
      <c r="F8" t="b">
        <f>IF(coder1_YH!P8="","",TRUE)</f>
        <v>1</v>
      </c>
      <c r="G8" s="117" t="s">
        <v>65</v>
      </c>
      <c r="H8" s="117">
        <v>102</v>
      </c>
      <c r="I8" s="116" t="s">
        <v>47</v>
      </c>
      <c r="J8" s="88" t="s">
        <v>452</v>
      </c>
      <c r="K8" s="117" t="s">
        <v>66</v>
      </c>
      <c r="L8" s="117" t="s">
        <v>49</v>
      </c>
      <c r="M8" s="116" t="s">
        <v>50</v>
      </c>
      <c r="N8" s="281" t="s">
        <v>914</v>
      </c>
      <c r="O8" s="281" t="str">
        <f t="shared" si="0"/>
        <v>.</v>
      </c>
      <c r="P8" s="112" t="s">
        <v>924</v>
      </c>
      <c r="Q8" s="112" t="s">
        <v>78</v>
      </c>
      <c r="R8" s="349" t="s">
        <v>68</v>
      </c>
      <c r="S8" s="228">
        <f>(20*9.5+17*10.5)/37</f>
        <v>9.9594594594594597</v>
      </c>
      <c r="T8" s="228">
        <v>1</v>
      </c>
      <c r="U8" s="228" t="s">
        <v>52</v>
      </c>
      <c r="V8" s="228">
        <f>34/37</f>
        <v>0.91891891891891897</v>
      </c>
      <c r="W8" s="228">
        <f>13/37</f>
        <v>0.35135135135135137</v>
      </c>
      <c r="X8" s="228">
        <f>17/37</f>
        <v>0.45945945945945948</v>
      </c>
      <c r="Y8" s="228">
        <f>36/37</f>
        <v>0.97297297297297303</v>
      </c>
      <c r="Z8" s="112" t="s">
        <v>78</v>
      </c>
      <c r="AA8" s="229" t="s">
        <v>79</v>
      </c>
      <c r="AB8" s="112" t="s">
        <v>80</v>
      </c>
      <c r="AC8" s="112" t="s">
        <v>78</v>
      </c>
      <c r="AD8" s="112" t="s">
        <v>78</v>
      </c>
      <c r="AE8" s="112" t="s">
        <v>78</v>
      </c>
      <c r="AF8" s="112" t="s">
        <v>78</v>
      </c>
      <c r="AG8" s="230" t="s">
        <v>78</v>
      </c>
      <c r="AH8" s="112" t="s">
        <v>78</v>
      </c>
      <c r="AI8" s="112" t="s">
        <v>78</v>
      </c>
      <c r="AJ8" s="112" t="s">
        <v>73</v>
      </c>
      <c r="AK8" s="112" t="s">
        <v>61</v>
      </c>
      <c r="AL8" s="60" t="s">
        <v>459</v>
      </c>
      <c r="AM8" s="146" t="s">
        <v>575</v>
      </c>
      <c r="AN8" s="112">
        <v>87.19</v>
      </c>
      <c r="AO8" s="112">
        <v>6.97</v>
      </c>
      <c r="AP8" s="112">
        <v>37</v>
      </c>
      <c r="AQ8" s="112">
        <v>89.06</v>
      </c>
      <c r="AR8" s="112">
        <v>6.59</v>
      </c>
      <c r="AS8" s="112">
        <v>36</v>
      </c>
      <c r="AT8" s="194" t="s">
        <v>52</v>
      </c>
      <c r="AU8" s="194" t="s">
        <v>52</v>
      </c>
      <c r="AV8" s="194" t="s">
        <v>52</v>
      </c>
      <c r="AW8" s="194" t="s">
        <v>52</v>
      </c>
      <c r="AX8" s="194"/>
      <c r="AY8" s="194"/>
      <c r="BA8" s="112">
        <v>0</v>
      </c>
      <c r="BB8" s="134"/>
      <c r="BC8" s="134"/>
    </row>
    <row r="9" spans="1:55" s="113" customFormat="1" ht="17" customHeight="1" x14ac:dyDescent="0.2">
      <c r="A9"/>
      <c r="B9"/>
      <c r="C9">
        <v>9</v>
      </c>
      <c r="D9"/>
      <c r="E9"/>
      <c r="F9" t="str">
        <f>IF(coder1_YH!P9="","",TRUE)</f>
        <v/>
      </c>
      <c r="G9" s="117" t="s">
        <v>65</v>
      </c>
      <c r="H9" s="117">
        <v>102</v>
      </c>
      <c r="I9" s="116" t="s">
        <v>47</v>
      </c>
      <c r="J9" s="88" t="s">
        <v>452</v>
      </c>
      <c r="K9" s="117" t="s">
        <v>66</v>
      </c>
      <c r="L9" s="117" t="s">
        <v>49</v>
      </c>
      <c r="M9" s="116" t="s">
        <v>50</v>
      </c>
      <c r="N9" s="282"/>
      <c r="O9" s="282" t="str">
        <f t="shared" si="0"/>
        <v/>
      </c>
      <c r="R9" s="350"/>
      <c r="S9" s="232"/>
      <c r="T9" s="232"/>
      <c r="U9" s="232"/>
      <c r="V9" s="232"/>
      <c r="W9" s="232"/>
      <c r="X9" s="232"/>
      <c r="Y9" s="232"/>
      <c r="AA9" s="233"/>
      <c r="AG9" s="234"/>
      <c r="AJ9" s="113" t="s">
        <v>75</v>
      </c>
      <c r="AK9" s="113" t="s">
        <v>61</v>
      </c>
      <c r="AL9" s="60" t="s">
        <v>459</v>
      </c>
      <c r="AM9" s="147" t="s">
        <v>576</v>
      </c>
      <c r="AN9" s="113">
        <v>91.31</v>
      </c>
      <c r="AO9" s="113">
        <v>9.9700000000000006</v>
      </c>
      <c r="AP9" s="113">
        <v>36</v>
      </c>
      <c r="AQ9" s="113">
        <v>90.8</v>
      </c>
      <c r="AR9" s="113">
        <v>7.82</v>
      </c>
      <c r="AS9" s="113">
        <v>36</v>
      </c>
      <c r="AT9" s="194" t="s">
        <v>52</v>
      </c>
      <c r="AU9" s="194" t="s">
        <v>52</v>
      </c>
      <c r="AV9" s="194" t="s">
        <v>52</v>
      </c>
      <c r="AW9" s="194" t="s">
        <v>52</v>
      </c>
      <c r="AX9" s="194"/>
      <c r="AY9" s="194"/>
      <c r="BA9" s="113">
        <v>0</v>
      </c>
      <c r="BB9" s="138"/>
      <c r="BC9" s="138"/>
    </row>
    <row r="10" spans="1:55" s="112" customFormat="1" ht="17" customHeight="1" x14ac:dyDescent="0.2">
      <c r="A10"/>
      <c r="B10"/>
      <c r="C10">
        <v>10</v>
      </c>
      <c r="D10"/>
      <c r="E10"/>
      <c r="F10" t="b">
        <f>IF(coder1_YH!P10="","",TRUE)</f>
        <v>1</v>
      </c>
      <c r="G10" s="315" t="s">
        <v>81</v>
      </c>
      <c r="H10" s="315">
        <v>103</v>
      </c>
      <c r="I10" s="143" t="s">
        <v>47</v>
      </c>
      <c r="J10" s="144" t="s">
        <v>452</v>
      </c>
      <c r="K10" s="315" t="s">
        <v>66</v>
      </c>
      <c r="L10" s="315" t="s">
        <v>49</v>
      </c>
      <c r="M10" s="143" t="s">
        <v>50</v>
      </c>
      <c r="N10" s="281" t="s">
        <v>914</v>
      </c>
      <c r="O10" s="281" t="str">
        <f t="shared" si="0"/>
        <v xml:space="preserve">c </v>
      </c>
      <c r="P10" s="112">
        <v>2</v>
      </c>
      <c r="Q10" s="112" t="s">
        <v>82</v>
      </c>
      <c r="R10" s="349" t="s">
        <v>83</v>
      </c>
      <c r="S10" s="228">
        <f>(8.5*39+9.5*20)/59</f>
        <v>8.8389830508474585</v>
      </c>
      <c r="T10" s="228">
        <v>1</v>
      </c>
      <c r="U10" s="228" t="s">
        <v>52</v>
      </c>
      <c r="V10" s="236">
        <f>AVERAGE(0.865,0.51)</f>
        <v>0.6875</v>
      </c>
      <c r="W10" s="228" t="s">
        <v>52</v>
      </c>
      <c r="X10" s="228">
        <f>29/59</f>
        <v>0.49152542372881358</v>
      </c>
      <c r="Y10" s="228">
        <f>1-((0.025+0.15)/2)</f>
        <v>0.91249999999999998</v>
      </c>
      <c r="Z10" s="112" t="s">
        <v>69</v>
      </c>
      <c r="AA10" s="229" t="s">
        <v>84</v>
      </c>
      <c r="AB10" s="112" t="s">
        <v>71</v>
      </c>
      <c r="AC10" s="112" t="s">
        <v>56</v>
      </c>
      <c r="AD10" s="112" t="s">
        <v>57</v>
      </c>
      <c r="AE10" s="112" t="s">
        <v>72</v>
      </c>
      <c r="AF10" s="237">
        <f>24*AH10</f>
        <v>840</v>
      </c>
      <c r="AG10" s="230">
        <v>24</v>
      </c>
      <c r="AH10" s="237">
        <v>35</v>
      </c>
      <c r="AI10" s="112" t="s">
        <v>59</v>
      </c>
      <c r="AJ10" s="112" t="s">
        <v>85</v>
      </c>
      <c r="AK10" s="112" t="s">
        <v>61</v>
      </c>
      <c r="AL10" s="60" t="s">
        <v>459</v>
      </c>
      <c r="AM10" s="146" t="s">
        <v>577</v>
      </c>
      <c r="AN10" s="112">
        <v>98.33</v>
      </c>
      <c r="AO10" s="112">
        <v>10.6</v>
      </c>
      <c r="AP10" s="112">
        <v>18</v>
      </c>
      <c r="AQ10" s="112">
        <v>97.17</v>
      </c>
      <c r="AR10" s="112">
        <v>7.9</v>
      </c>
      <c r="AS10" s="112">
        <v>18</v>
      </c>
      <c r="AT10" s="196" t="s">
        <v>52</v>
      </c>
      <c r="AU10" s="196" t="s">
        <v>52</v>
      </c>
      <c r="AV10" s="196" t="s">
        <v>52</v>
      </c>
      <c r="AW10" s="196" t="s">
        <v>52</v>
      </c>
      <c r="AX10" s="196"/>
      <c r="AY10" s="196"/>
      <c r="BA10" s="112">
        <v>0</v>
      </c>
      <c r="BB10" s="134" t="s">
        <v>74</v>
      </c>
      <c r="BC10" s="60" t="s">
        <v>86</v>
      </c>
    </row>
    <row r="11" spans="1:55" s="112" customFormat="1" ht="17" customHeight="1" x14ac:dyDescent="0.2">
      <c r="A11"/>
      <c r="B11"/>
      <c r="C11">
        <v>11</v>
      </c>
      <c r="D11" t="b">
        <f>E11</f>
        <v>1</v>
      </c>
      <c r="E11" t="b">
        <f>IF(coder1_YH!G11="","",TRUE)</f>
        <v>1</v>
      </c>
      <c r="F11" t="b">
        <f>IF(coder1_YH!P11="","",TRUE)</f>
        <v>1</v>
      </c>
      <c r="G11" s="117" t="s">
        <v>81</v>
      </c>
      <c r="H11" s="117">
        <v>103</v>
      </c>
      <c r="I11" s="116" t="s">
        <v>47</v>
      </c>
      <c r="J11" s="88" t="s">
        <v>452</v>
      </c>
      <c r="K11" s="117" t="s">
        <v>66</v>
      </c>
      <c r="L11" s="117" t="s">
        <v>49</v>
      </c>
      <c r="M11" s="116" t="s">
        <v>50</v>
      </c>
      <c r="N11" s="281" t="s">
        <v>926</v>
      </c>
      <c r="O11" s="281" t="str">
        <f t="shared" si="0"/>
        <v xml:space="preserve">c </v>
      </c>
      <c r="P11" s="112">
        <v>1</v>
      </c>
      <c r="Q11" s="112" t="s">
        <v>87</v>
      </c>
      <c r="R11" s="349" t="s">
        <v>83</v>
      </c>
      <c r="S11" s="228">
        <f>(8.5*39+9.5*20)/59</f>
        <v>8.8389830508474585</v>
      </c>
      <c r="T11" s="228">
        <v>1</v>
      </c>
      <c r="U11" s="228" t="s">
        <v>52</v>
      </c>
      <c r="V11" s="236">
        <f>AVERAGE(0.865,0.51)</f>
        <v>0.6875</v>
      </c>
      <c r="W11" s="228" t="s">
        <v>52</v>
      </c>
      <c r="X11" s="228">
        <f>29/59</f>
        <v>0.49152542372881358</v>
      </c>
      <c r="Y11" s="228">
        <f>1-((0.025+0.15)/2)</f>
        <v>0.91249999999999998</v>
      </c>
      <c r="Z11" s="112" t="s">
        <v>69</v>
      </c>
      <c r="AA11" s="229" t="s">
        <v>84</v>
      </c>
      <c r="AB11" s="112" t="s">
        <v>71</v>
      </c>
      <c r="AC11" s="112" t="s">
        <v>56</v>
      </c>
      <c r="AD11" s="112" t="s">
        <v>57</v>
      </c>
      <c r="AE11" s="112" t="s">
        <v>72</v>
      </c>
      <c r="AF11" s="112">
        <f>24*AH11</f>
        <v>960</v>
      </c>
      <c r="AG11" s="230">
        <v>24</v>
      </c>
      <c r="AH11" s="112">
        <v>40</v>
      </c>
      <c r="AI11" s="112" t="s">
        <v>59</v>
      </c>
      <c r="AJ11" s="112" t="s">
        <v>85</v>
      </c>
      <c r="AK11" s="112" t="s">
        <v>61</v>
      </c>
      <c r="AL11" s="60" t="s">
        <v>459</v>
      </c>
      <c r="AM11" s="146" t="s">
        <v>577</v>
      </c>
      <c r="AN11" s="112">
        <v>94.89</v>
      </c>
      <c r="AO11" s="112">
        <v>9.64</v>
      </c>
      <c r="AP11" s="112">
        <v>19</v>
      </c>
      <c r="AQ11" s="112">
        <v>100.47</v>
      </c>
      <c r="AR11" s="112">
        <v>9.9700000000000006</v>
      </c>
      <c r="AS11" s="112">
        <v>19</v>
      </c>
      <c r="AT11" s="194" t="s">
        <v>52</v>
      </c>
      <c r="AU11" s="194" t="s">
        <v>52</v>
      </c>
      <c r="AV11" s="194" t="s">
        <v>52</v>
      </c>
      <c r="AW11" s="194" t="s">
        <v>52</v>
      </c>
      <c r="AX11" s="194"/>
      <c r="AY11" s="194"/>
      <c r="BA11" s="112">
        <v>0</v>
      </c>
      <c r="BB11" s="134"/>
      <c r="BC11" s="60"/>
    </row>
    <row r="12" spans="1:55" s="113" customFormat="1" ht="17" customHeight="1" x14ac:dyDescent="0.2">
      <c r="A12"/>
      <c r="B12"/>
      <c r="C12">
        <v>12</v>
      </c>
      <c r="D12"/>
      <c r="E12"/>
      <c r="F12" t="b">
        <f>IF(coder1_YH!P12="","",TRUE)</f>
        <v>1</v>
      </c>
      <c r="G12" s="123" t="s">
        <v>81</v>
      </c>
      <c r="H12" s="123">
        <v>103</v>
      </c>
      <c r="I12" s="122" t="s">
        <v>47</v>
      </c>
      <c r="J12" s="89" t="s">
        <v>452</v>
      </c>
      <c r="K12" s="123" t="s">
        <v>66</v>
      </c>
      <c r="L12" s="123" t="s">
        <v>49</v>
      </c>
      <c r="M12" s="122" t="s">
        <v>50</v>
      </c>
      <c r="N12" s="282" t="s">
        <v>914</v>
      </c>
      <c r="O12" s="282" t="str">
        <f t="shared" si="0"/>
        <v>.</v>
      </c>
      <c r="P12" s="113" t="s">
        <v>924</v>
      </c>
      <c r="Q12" s="113" t="s">
        <v>78</v>
      </c>
      <c r="R12" s="350" t="s">
        <v>83</v>
      </c>
      <c r="S12" s="232">
        <f>(8.5*39+9.5*20)/59</f>
        <v>8.8389830508474585</v>
      </c>
      <c r="T12" s="232">
        <v>1</v>
      </c>
      <c r="U12" s="232" t="s">
        <v>52</v>
      </c>
      <c r="V12" s="238">
        <f>AVERAGE(0.865,0.51)</f>
        <v>0.6875</v>
      </c>
      <c r="W12" s="232" t="s">
        <v>52</v>
      </c>
      <c r="X12" s="232">
        <f>29/59</f>
        <v>0.49152542372881358</v>
      </c>
      <c r="Y12" s="232">
        <f>1-((0.025+0.15)/2)</f>
        <v>0.91249999999999998</v>
      </c>
      <c r="Z12" s="113" t="s">
        <v>78</v>
      </c>
      <c r="AA12" s="233" t="s">
        <v>88</v>
      </c>
      <c r="AB12" s="239" t="s">
        <v>80</v>
      </c>
      <c r="AC12" s="113" t="s">
        <v>78</v>
      </c>
      <c r="AD12" s="113" t="s">
        <v>78</v>
      </c>
      <c r="AE12" s="113" t="s">
        <v>78</v>
      </c>
      <c r="AF12" s="113" t="s">
        <v>78</v>
      </c>
      <c r="AG12" s="234" t="s">
        <v>78</v>
      </c>
      <c r="AH12" s="113" t="s">
        <v>78</v>
      </c>
      <c r="AI12" s="113" t="s">
        <v>78</v>
      </c>
      <c r="AJ12" s="113" t="s">
        <v>85</v>
      </c>
      <c r="AK12" s="113" t="s">
        <v>61</v>
      </c>
      <c r="AL12" s="60" t="s">
        <v>459</v>
      </c>
      <c r="AM12" s="147" t="s">
        <v>577</v>
      </c>
      <c r="AN12" s="113">
        <v>90.36</v>
      </c>
      <c r="AO12" s="113">
        <v>10.61</v>
      </c>
      <c r="AP12" s="113">
        <v>22</v>
      </c>
      <c r="AQ12" s="113">
        <v>94.91</v>
      </c>
      <c r="AR12" s="113">
        <v>14.33</v>
      </c>
      <c r="AS12" s="113">
        <v>21</v>
      </c>
      <c r="AT12" s="195" t="s">
        <v>52</v>
      </c>
      <c r="AU12" s="195" t="s">
        <v>52</v>
      </c>
      <c r="AV12" s="195" t="s">
        <v>52</v>
      </c>
      <c r="AW12" s="195" t="s">
        <v>52</v>
      </c>
      <c r="AX12" s="195"/>
      <c r="AY12" s="195"/>
      <c r="BA12" s="113">
        <v>0</v>
      </c>
      <c r="BB12" s="138"/>
      <c r="BC12" s="63"/>
    </row>
    <row r="13" spans="1:55" s="112" customFormat="1" ht="17" customHeight="1" x14ac:dyDescent="0.2">
      <c r="A13"/>
      <c r="B13"/>
      <c r="C13">
        <v>13</v>
      </c>
      <c r="D13" t="b">
        <f>E13</f>
        <v>1</v>
      </c>
      <c r="E13" t="b">
        <f>IF(coder1_YH!G13="","",TRUE)</f>
        <v>1</v>
      </c>
      <c r="F13" t="b">
        <f>IF(coder1_YH!P13="","",TRUE)</f>
        <v>1</v>
      </c>
      <c r="G13" s="117" t="s">
        <v>89</v>
      </c>
      <c r="H13" s="117">
        <v>104</v>
      </c>
      <c r="I13" s="116" t="s">
        <v>47</v>
      </c>
      <c r="J13" s="88" t="s">
        <v>452</v>
      </c>
      <c r="K13" s="117" t="s">
        <v>66</v>
      </c>
      <c r="L13" s="117" t="s">
        <v>49</v>
      </c>
      <c r="M13" s="116" t="s">
        <v>50</v>
      </c>
      <c r="N13" s="281" t="s">
        <v>929</v>
      </c>
      <c r="O13" s="281" t="str">
        <f t="shared" si="0"/>
        <v xml:space="preserve">m </v>
      </c>
      <c r="P13" s="112">
        <v>1</v>
      </c>
      <c r="Q13" s="112" t="s">
        <v>90</v>
      </c>
      <c r="R13" s="349" t="s">
        <v>91</v>
      </c>
      <c r="S13" s="228">
        <f>176.85/12</f>
        <v>14.737499999999999</v>
      </c>
      <c r="T13" s="228">
        <f>1</f>
        <v>1</v>
      </c>
      <c r="U13" s="228">
        <v>1</v>
      </c>
      <c r="V13" s="228" t="s">
        <v>52</v>
      </c>
      <c r="W13" s="228">
        <f>1-14/20</f>
        <v>0.30000000000000004</v>
      </c>
      <c r="X13" s="228">
        <f>15/20</f>
        <v>0.75</v>
      </c>
      <c r="Y13" s="228">
        <f>1-5/20</f>
        <v>0.75</v>
      </c>
      <c r="Z13" s="112" t="s">
        <v>92</v>
      </c>
      <c r="AA13" s="229" t="s">
        <v>93</v>
      </c>
      <c r="AB13" s="112" t="s">
        <v>71</v>
      </c>
      <c r="AC13" s="112" t="s">
        <v>56</v>
      </c>
      <c r="AD13" s="187" t="s">
        <v>57</v>
      </c>
      <c r="AE13" s="237" t="s">
        <v>72</v>
      </c>
      <c r="AF13" s="112">
        <v>360</v>
      </c>
      <c r="AG13" s="230">
        <v>12</v>
      </c>
      <c r="AH13" s="112">
        <v>30</v>
      </c>
      <c r="AI13" s="112" t="s">
        <v>59</v>
      </c>
      <c r="AJ13" s="112" t="s">
        <v>94</v>
      </c>
      <c r="AK13" s="112" t="s">
        <v>95</v>
      </c>
      <c r="AL13" s="60" t="s">
        <v>459</v>
      </c>
      <c r="AM13" s="146" t="s">
        <v>52</v>
      </c>
      <c r="AN13" s="112">
        <v>3.8</v>
      </c>
      <c r="AO13" s="112">
        <v>1.28</v>
      </c>
      <c r="AP13" s="112">
        <v>20</v>
      </c>
      <c r="AQ13" s="112">
        <v>7.5</v>
      </c>
      <c r="AR13" s="112">
        <v>2.1800000000000002</v>
      </c>
      <c r="AS13" s="112">
        <v>20</v>
      </c>
      <c r="AT13" s="127">
        <v>6.61</v>
      </c>
      <c r="AU13" s="127">
        <v>2.91</v>
      </c>
      <c r="AV13" s="127">
        <v>20</v>
      </c>
      <c r="AW13" s="202">
        <v>1.5</v>
      </c>
      <c r="AX13" s="194"/>
      <c r="AY13" s="194"/>
      <c r="BA13" s="112">
        <v>1</v>
      </c>
      <c r="BB13" s="134" t="s">
        <v>96</v>
      </c>
      <c r="BC13" s="60" t="s">
        <v>97</v>
      </c>
    </row>
    <row r="14" spans="1:55" s="112" customFormat="1" ht="17" customHeight="1" x14ac:dyDescent="0.2">
      <c r="A14"/>
      <c r="B14"/>
      <c r="C14">
        <v>14</v>
      </c>
      <c r="D14"/>
      <c r="E14" t="str">
        <f>IF(coder1_YH!G14="","",TRUE)</f>
        <v/>
      </c>
      <c r="F14" t="str">
        <f>IF(coder1_YH!P14="","",TRUE)</f>
        <v/>
      </c>
      <c r="G14" s="235"/>
      <c r="H14" s="117"/>
      <c r="I14" s="116"/>
      <c r="J14" s="88"/>
      <c r="K14" s="117"/>
      <c r="L14" s="117"/>
      <c r="M14" s="117"/>
      <c r="N14" s="281"/>
      <c r="O14" s="281" t="str">
        <f t="shared" si="0"/>
        <v/>
      </c>
      <c r="R14" s="349"/>
      <c r="S14" s="228"/>
      <c r="T14" s="228"/>
      <c r="U14" s="228"/>
      <c r="V14" s="228"/>
      <c r="W14" s="228"/>
      <c r="X14" s="228"/>
      <c r="Y14" s="228"/>
      <c r="AA14" s="229"/>
      <c r="AG14" s="230"/>
      <c r="AJ14" s="112" t="s">
        <v>98</v>
      </c>
      <c r="AK14" s="112" t="s">
        <v>95</v>
      </c>
      <c r="AL14" s="60" t="s">
        <v>459</v>
      </c>
      <c r="AM14" s="146" t="s">
        <v>52</v>
      </c>
      <c r="AN14" s="112">
        <v>6.55</v>
      </c>
      <c r="AO14" s="112">
        <v>2.2799999999999998</v>
      </c>
      <c r="AP14" s="112">
        <v>20</v>
      </c>
      <c r="AQ14" s="112">
        <v>8.9499999999999993</v>
      </c>
      <c r="AR14" s="112">
        <v>3.49</v>
      </c>
      <c r="AS14" s="112">
        <v>20</v>
      </c>
      <c r="AT14" s="127">
        <v>9.5299999999999994</v>
      </c>
      <c r="AU14" s="127">
        <v>4.01</v>
      </c>
      <c r="AV14" s="127">
        <v>20</v>
      </c>
      <c r="AW14" s="127">
        <v>1.5</v>
      </c>
      <c r="AX14" s="194"/>
      <c r="AY14" s="194"/>
      <c r="BA14" s="112">
        <v>1</v>
      </c>
      <c r="BB14" s="134"/>
      <c r="BC14" s="60"/>
    </row>
    <row r="15" spans="1:55" s="112" customFormat="1" ht="17" customHeight="1" x14ac:dyDescent="0.2">
      <c r="A15"/>
      <c r="B15"/>
      <c r="C15">
        <v>15</v>
      </c>
      <c r="D15"/>
      <c r="E15" t="str">
        <f>IF(coder1_YH!G15="","",TRUE)</f>
        <v/>
      </c>
      <c r="F15" t="b">
        <f>IF(coder1_YH!P15="","",TRUE)</f>
        <v>1</v>
      </c>
      <c r="G15" s="235"/>
      <c r="H15" s="117"/>
      <c r="I15" s="116"/>
      <c r="J15" s="88"/>
      <c r="K15" s="117"/>
      <c r="L15" s="117"/>
      <c r="M15" s="116"/>
      <c r="N15" s="281" t="s">
        <v>915</v>
      </c>
      <c r="O15" s="281" t="str">
        <f t="shared" si="0"/>
        <v xml:space="preserve">m </v>
      </c>
      <c r="P15" s="112">
        <v>2</v>
      </c>
      <c r="Q15" s="112" t="s">
        <v>99</v>
      </c>
      <c r="R15" s="349" t="s">
        <v>91</v>
      </c>
      <c r="S15" s="228">
        <f>176.85/12</f>
        <v>14.737499999999999</v>
      </c>
      <c r="T15" s="228">
        <v>1</v>
      </c>
      <c r="U15" s="228">
        <v>1</v>
      </c>
      <c r="V15" s="228" t="s">
        <v>52</v>
      </c>
      <c r="W15" s="228">
        <f>1-11/19</f>
        <v>0.42105263157894735</v>
      </c>
      <c r="X15" s="228">
        <v>0.57894736842105265</v>
      </c>
      <c r="Y15" s="228">
        <f>1-1/19</f>
        <v>0.94736842105263164</v>
      </c>
      <c r="Z15" s="112" t="s">
        <v>92</v>
      </c>
      <c r="AA15" s="229" t="s">
        <v>93</v>
      </c>
      <c r="AB15" s="112" t="s">
        <v>71</v>
      </c>
      <c r="AC15" s="112" t="s">
        <v>56</v>
      </c>
      <c r="AD15" s="187" t="s">
        <v>57</v>
      </c>
      <c r="AE15" s="112" t="s">
        <v>58</v>
      </c>
      <c r="AF15" s="112">
        <v>360</v>
      </c>
      <c r="AG15" s="230">
        <v>12</v>
      </c>
      <c r="AH15" s="112">
        <v>30</v>
      </c>
      <c r="AI15" s="112" t="s">
        <v>59</v>
      </c>
      <c r="AJ15" s="112" t="s">
        <v>94</v>
      </c>
      <c r="AK15" s="112" t="s">
        <v>95</v>
      </c>
      <c r="AL15" s="60" t="s">
        <v>459</v>
      </c>
      <c r="AM15" s="146" t="s">
        <v>52</v>
      </c>
      <c r="AN15" s="112">
        <v>3.61</v>
      </c>
      <c r="AO15" s="112">
        <v>1.72</v>
      </c>
      <c r="AP15" s="112">
        <v>19</v>
      </c>
      <c r="AQ15" s="112">
        <v>6.4</v>
      </c>
      <c r="AR15" s="112">
        <v>1.81</v>
      </c>
      <c r="AS15" s="112">
        <v>19</v>
      </c>
      <c r="AT15" s="127">
        <v>5.47</v>
      </c>
      <c r="AU15" s="127">
        <v>2.72</v>
      </c>
      <c r="AV15" s="127">
        <v>19</v>
      </c>
      <c r="AW15" s="127">
        <v>1.5</v>
      </c>
      <c r="AX15" s="194"/>
      <c r="AY15" s="194"/>
      <c r="BA15" s="112">
        <v>1</v>
      </c>
      <c r="BB15" s="134"/>
      <c r="BC15" s="60"/>
    </row>
    <row r="16" spans="1:55" s="112" customFormat="1" ht="17" customHeight="1" x14ac:dyDescent="0.2">
      <c r="A16"/>
      <c r="B16"/>
      <c r="C16">
        <v>16</v>
      </c>
      <c r="D16"/>
      <c r="E16" t="str">
        <f>IF(coder1_YH!G16="","",TRUE)</f>
        <v/>
      </c>
      <c r="F16" t="str">
        <f>IF(coder1_YH!P16="","",TRUE)</f>
        <v/>
      </c>
      <c r="G16" s="235"/>
      <c r="H16" s="117"/>
      <c r="I16" s="116"/>
      <c r="J16" s="88"/>
      <c r="K16" s="117"/>
      <c r="L16" s="117"/>
      <c r="M16" s="117"/>
      <c r="N16" s="281"/>
      <c r="O16" s="281" t="str">
        <f t="shared" si="0"/>
        <v/>
      </c>
      <c r="R16" s="349"/>
      <c r="S16" s="228"/>
      <c r="T16" s="228"/>
      <c r="U16" s="228"/>
      <c r="V16" s="228"/>
      <c r="W16" s="228"/>
      <c r="X16" s="228"/>
      <c r="Y16" s="228"/>
      <c r="AA16" s="229"/>
      <c r="AG16" s="230"/>
      <c r="AJ16" s="112" t="s">
        <v>98</v>
      </c>
      <c r="AK16" s="112" t="s">
        <v>95</v>
      </c>
      <c r="AL16" s="60" t="s">
        <v>459</v>
      </c>
      <c r="AM16" s="146" t="s">
        <v>52</v>
      </c>
      <c r="AN16" s="112">
        <v>5.89</v>
      </c>
      <c r="AO16" s="112">
        <v>2.16</v>
      </c>
      <c r="AP16" s="112">
        <v>19</v>
      </c>
      <c r="AQ16" s="112">
        <v>7.84</v>
      </c>
      <c r="AR16" s="112">
        <v>3.83</v>
      </c>
      <c r="AS16" s="112">
        <v>19</v>
      </c>
      <c r="AT16" s="127">
        <v>8.6300000000000008</v>
      </c>
      <c r="AU16" s="127">
        <v>4.87</v>
      </c>
      <c r="AV16" s="127">
        <v>19</v>
      </c>
      <c r="AW16" s="127">
        <v>1.5</v>
      </c>
      <c r="AX16" s="194"/>
      <c r="AY16" s="194"/>
      <c r="BA16" s="112">
        <v>1</v>
      </c>
      <c r="BB16" s="134"/>
      <c r="BC16" s="60"/>
    </row>
    <row r="17" spans="1:55" s="112" customFormat="1" ht="17" customHeight="1" x14ac:dyDescent="0.2">
      <c r="A17"/>
      <c r="B17"/>
      <c r="C17">
        <v>17</v>
      </c>
      <c r="D17"/>
      <c r="E17" t="str">
        <f>IF(coder1_YH!G17="","",TRUE)</f>
        <v/>
      </c>
      <c r="F17" t="b">
        <f>IF(coder1_YH!P17="","",TRUE)</f>
        <v>1</v>
      </c>
      <c r="G17" s="235"/>
      <c r="H17" s="117"/>
      <c r="I17" s="116"/>
      <c r="J17" s="88"/>
      <c r="K17" s="117"/>
      <c r="L17" s="117"/>
      <c r="M17" s="116"/>
      <c r="N17" s="281" t="s">
        <v>918</v>
      </c>
      <c r="O17" s="281" t="str">
        <f t="shared" si="0"/>
        <v>cm</v>
      </c>
      <c r="P17" s="112" t="s">
        <v>924</v>
      </c>
      <c r="Q17" s="112" t="s">
        <v>100</v>
      </c>
      <c r="R17" s="349" t="s">
        <v>91</v>
      </c>
      <c r="S17" s="228">
        <f>176.85/12</f>
        <v>14.737499999999999</v>
      </c>
      <c r="T17" s="228">
        <v>1</v>
      </c>
      <c r="U17" s="228">
        <v>1</v>
      </c>
      <c r="V17" s="228" t="s">
        <v>52</v>
      </c>
      <c r="W17" s="228">
        <f>1-11/20</f>
        <v>0.44999999999999996</v>
      </c>
      <c r="X17" s="228">
        <f>14/20</f>
        <v>0.7</v>
      </c>
      <c r="Y17" s="228">
        <f>1-1/20</f>
        <v>0.95</v>
      </c>
      <c r="Z17" s="187" t="s">
        <v>53</v>
      </c>
      <c r="AA17" s="240" t="s">
        <v>101</v>
      </c>
      <c r="AB17" s="187" t="s">
        <v>55</v>
      </c>
      <c r="AC17" s="187" t="s">
        <v>56</v>
      </c>
      <c r="AD17" s="187" t="s">
        <v>57</v>
      </c>
      <c r="AE17" s="112" t="s">
        <v>58</v>
      </c>
      <c r="AF17" s="112">
        <v>360</v>
      </c>
      <c r="AG17" s="230">
        <v>12</v>
      </c>
      <c r="AH17" s="112">
        <v>30</v>
      </c>
      <c r="AI17" s="112" t="s">
        <v>59</v>
      </c>
      <c r="AJ17" s="112" t="s">
        <v>94</v>
      </c>
      <c r="AK17" s="112" t="s">
        <v>95</v>
      </c>
      <c r="AL17" s="60" t="s">
        <v>459</v>
      </c>
      <c r="AM17" s="146" t="s">
        <v>52</v>
      </c>
      <c r="AN17" s="112">
        <v>3.95</v>
      </c>
      <c r="AO17" s="112">
        <v>1.46</v>
      </c>
      <c r="AP17" s="112">
        <v>20</v>
      </c>
      <c r="AQ17" s="112">
        <v>4.83</v>
      </c>
      <c r="AR17" s="112">
        <v>1.52</v>
      </c>
      <c r="AS17" s="112">
        <v>20</v>
      </c>
      <c r="AT17" s="127">
        <v>4</v>
      </c>
      <c r="AU17" s="127">
        <v>1.4</v>
      </c>
      <c r="AV17" s="127">
        <v>20</v>
      </c>
      <c r="AW17" s="127">
        <v>1.5</v>
      </c>
      <c r="AX17" s="194"/>
      <c r="AY17" s="194"/>
      <c r="BA17" s="112">
        <v>1</v>
      </c>
      <c r="BB17" s="134" t="s">
        <v>102</v>
      </c>
      <c r="BC17" s="60"/>
    </row>
    <row r="18" spans="1:55" s="113" customFormat="1" ht="17" customHeight="1" x14ac:dyDescent="0.2">
      <c r="A18"/>
      <c r="B18"/>
      <c r="C18">
        <v>18</v>
      </c>
      <c r="D18"/>
      <c r="E18" t="str">
        <f>IF(coder1_YH!G18="","",TRUE)</f>
        <v/>
      </c>
      <c r="F18" t="str">
        <f>IF(coder1_YH!P18="","",TRUE)</f>
        <v/>
      </c>
      <c r="G18" s="235"/>
      <c r="H18" s="117"/>
      <c r="I18" s="122"/>
      <c r="J18" s="88"/>
      <c r="K18" s="123"/>
      <c r="L18" s="123"/>
      <c r="M18" s="123"/>
      <c r="N18" s="282"/>
      <c r="O18" s="282" t="str">
        <f t="shared" si="0"/>
        <v/>
      </c>
      <c r="R18" s="350"/>
      <c r="S18" s="232"/>
      <c r="T18" s="232"/>
      <c r="U18" s="232"/>
      <c r="V18" s="232"/>
      <c r="W18" s="232"/>
      <c r="X18" s="232"/>
      <c r="Y18" s="232"/>
      <c r="AA18" s="233"/>
      <c r="AG18" s="234"/>
      <c r="AJ18" s="113" t="s">
        <v>98</v>
      </c>
      <c r="AK18" s="113" t="s">
        <v>95</v>
      </c>
      <c r="AL18" s="60" t="s">
        <v>459</v>
      </c>
      <c r="AM18" s="147" t="s">
        <v>52</v>
      </c>
      <c r="AN18" s="113">
        <v>5.8</v>
      </c>
      <c r="AO18" s="113">
        <v>2.34</v>
      </c>
      <c r="AP18" s="113">
        <v>20</v>
      </c>
      <c r="AQ18" s="113">
        <v>8.4499999999999993</v>
      </c>
      <c r="AR18" s="113">
        <v>3.83</v>
      </c>
      <c r="AS18" s="113">
        <v>20</v>
      </c>
      <c r="AT18" s="127">
        <v>8.4</v>
      </c>
      <c r="AU18" s="127">
        <v>4.6900000000000004</v>
      </c>
      <c r="AV18" s="127">
        <v>20</v>
      </c>
      <c r="AW18" s="128">
        <v>1.5</v>
      </c>
      <c r="AX18" s="194"/>
      <c r="AY18" s="194"/>
      <c r="BA18" s="113">
        <v>1</v>
      </c>
      <c r="BB18" s="138"/>
      <c r="BC18" s="63"/>
    </row>
    <row r="19" spans="1:55" s="112" customFormat="1" ht="17" customHeight="1" x14ac:dyDescent="0.2">
      <c r="A19"/>
      <c r="B19"/>
      <c r="C19">
        <v>19</v>
      </c>
      <c r="D19" t="b">
        <f>E19</f>
        <v>1</v>
      </c>
      <c r="E19" t="b">
        <f>IF(coder1_YH!G19="","",TRUE)</f>
        <v>1</v>
      </c>
      <c r="F19" t="b">
        <f>IF(coder1_YH!P19="","",TRUE)</f>
        <v>1</v>
      </c>
      <c r="G19" s="315" t="s">
        <v>103</v>
      </c>
      <c r="H19" s="315">
        <v>105</v>
      </c>
      <c r="I19" s="116" t="s">
        <v>47</v>
      </c>
      <c r="J19" s="144" t="s">
        <v>452</v>
      </c>
      <c r="K19" s="117" t="s">
        <v>66</v>
      </c>
      <c r="L19" s="117" t="s">
        <v>49</v>
      </c>
      <c r="M19" s="116" t="s">
        <v>50</v>
      </c>
      <c r="N19" s="281" t="s">
        <v>918</v>
      </c>
      <c r="O19" s="281" t="str">
        <f t="shared" si="0"/>
        <v xml:space="preserve">m </v>
      </c>
      <c r="P19" s="112">
        <v>1</v>
      </c>
      <c r="Q19" s="112" t="s">
        <v>104</v>
      </c>
      <c r="R19" s="349" t="s">
        <v>68</v>
      </c>
      <c r="S19" s="228">
        <v>11.2</v>
      </c>
      <c r="T19" s="228">
        <v>1</v>
      </c>
      <c r="U19" s="228" t="s">
        <v>52</v>
      </c>
      <c r="V19" s="228">
        <v>0.85</v>
      </c>
      <c r="W19" s="241">
        <f>21/33</f>
        <v>0.63636363636363635</v>
      </c>
      <c r="X19" s="228">
        <f>15/33</f>
        <v>0.45454545454545453</v>
      </c>
      <c r="Y19" s="228">
        <f>1-0.12</f>
        <v>0.88</v>
      </c>
      <c r="Z19" s="112" t="s">
        <v>92</v>
      </c>
      <c r="AA19" s="229" t="s">
        <v>105</v>
      </c>
      <c r="AB19" s="112" t="s">
        <v>71</v>
      </c>
      <c r="AC19" s="112" t="s">
        <v>56</v>
      </c>
      <c r="AD19" s="112" t="s">
        <v>57</v>
      </c>
      <c r="AE19" s="237" t="s">
        <v>72</v>
      </c>
      <c r="AF19" s="112">
        <f t="shared" ref="AF19:AF24" si="1">15*AH19</f>
        <v>525</v>
      </c>
      <c r="AG19" s="230">
        <v>15</v>
      </c>
      <c r="AH19" s="112">
        <v>35</v>
      </c>
      <c r="AI19" s="187" t="s">
        <v>59</v>
      </c>
      <c r="AJ19" s="112" t="s">
        <v>106</v>
      </c>
      <c r="AK19" s="242" t="s">
        <v>95</v>
      </c>
      <c r="AL19" s="60" t="s">
        <v>459</v>
      </c>
      <c r="AM19" s="146" t="s">
        <v>543</v>
      </c>
      <c r="AN19" s="112">
        <v>7.8</v>
      </c>
      <c r="AO19" s="112">
        <v>2.5</v>
      </c>
      <c r="AP19" s="112">
        <v>11</v>
      </c>
      <c r="AQ19" s="112">
        <v>12.5</v>
      </c>
      <c r="AR19" s="112">
        <v>3.7</v>
      </c>
      <c r="AS19" s="112">
        <v>11</v>
      </c>
      <c r="AT19" s="196" t="s">
        <v>52</v>
      </c>
      <c r="AU19" s="196" t="s">
        <v>52</v>
      </c>
      <c r="AV19" s="196" t="s">
        <v>52</v>
      </c>
      <c r="AW19" s="196" t="s">
        <v>52</v>
      </c>
      <c r="AX19" s="196"/>
      <c r="AY19" s="196"/>
      <c r="BA19" s="112">
        <v>0</v>
      </c>
      <c r="BB19" s="134" t="s">
        <v>107</v>
      </c>
      <c r="BC19" s="60" t="s">
        <v>108</v>
      </c>
    </row>
    <row r="20" spans="1:55" s="112" customFormat="1" ht="17" customHeight="1" x14ac:dyDescent="0.2">
      <c r="A20"/>
      <c r="B20"/>
      <c r="C20">
        <v>20</v>
      </c>
      <c r="D20"/>
      <c r="E20" t="str">
        <f>IF(coder1_YH!G20="","",TRUE)</f>
        <v/>
      </c>
      <c r="F20" t="b">
        <f>IF(coder1_YH!P20="","",TRUE)</f>
        <v>1</v>
      </c>
      <c r="G20" s="235"/>
      <c r="H20" s="117"/>
      <c r="I20" s="116"/>
      <c r="J20" s="88"/>
      <c r="K20" s="117"/>
      <c r="L20" s="117"/>
      <c r="M20" s="116"/>
      <c r="N20" s="281" t="s">
        <v>918</v>
      </c>
      <c r="O20" s="281" t="str">
        <f t="shared" si="0"/>
        <v xml:space="preserve">m </v>
      </c>
      <c r="P20" s="112">
        <v>2</v>
      </c>
      <c r="Q20" s="112" t="s">
        <v>109</v>
      </c>
      <c r="R20" s="349" t="s">
        <v>68</v>
      </c>
      <c r="S20" s="228">
        <v>11.2</v>
      </c>
      <c r="T20" s="228">
        <v>1</v>
      </c>
      <c r="U20" s="228" t="s">
        <v>52</v>
      </c>
      <c r="V20" s="228">
        <v>0.85</v>
      </c>
      <c r="W20" s="243">
        <f>21/33</f>
        <v>0.63636363636363635</v>
      </c>
      <c r="X20" s="228">
        <f>15/33</f>
        <v>0.45454545454545453</v>
      </c>
      <c r="Y20" s="228">
        <f>1-0.12</f>
        <v>0.88</v>
      </c>
      <c r="Z20" s="112" t="s">
        <v>92</v>
      </c>
      <c r="AA20" s="229" t="s">
        <v>105</v>
      </c>
      <c r="AB20" s="112" t="s">
        <v>71</v>
      </c>
      <c r="AC20" s="112" t="s">
        <v>56</v>
      </c>
      <c r="AD20" s="112" t="s">
        <v>57</v>
      </c>
      <c r="AE20" s="237" t="s">
        <v>72</v>
      </c>
      <c r="AF20" s="112">
        <f t="shared" si="1"/>
        <v>525</v>
      </c>
      <c r="AG20" s="230">
        <v>15</v>
      </c>
      <c r="AH20" s="112">
        <v>35</v>
      </c>
      <c r="AI20" s="187" t="s">
        <v>59</v>
      </c>
      <c r="AJ20" s="112" t="s">
        <v>106</v>
      </c>
      <c r="AK20" s="187" t="s">
        <v>95</v>
      </c>
      <c r="AL20" s="60" t="s">
        <v>459</v>
      </c>
      <c r="AM20" s="146" t="s">
        <v>543</v>
      </c>
      <c r="AN20" s="112">
        <v>7.8</v>
      </c>
      <c r="AO20" s="112">
        <v>1.9</v>
      </c>
      <c r="AP20" s="112">
        <v>11</v>
      </c>
      <c r="AQ20" s="112">
        <v>11.5</v>
      </c>
      <c r="AR20" s="112">
        <v>3.4</v>
      </c>
      <c r="AS20" s="112">
        <v>11</v>
      </c>
      <c r="AT20" s="194" t="s">
        <v>52</v>
      </c>
      <c r="AU20" s="194" t="s">
        <v>52</v>
      </c>
      <c r="AV20" s="194" t="s">
        <v>52</v>
      </c>
      <c r="AW20" s="194" t="s">
        <v>52</v>
      </c>
      <c r="AX20" s="194"/>
      <c r="AY20" s="194"/>
      <c r="BA20" s="112">
        <v>0</v>
      </c>
      <c r="BB20" s="134"/>
      <c r="BC20" s="60"/>
    </row>
    <row r="21" spans="1:55" s="113" customFormat="1" ht="17" customHeight="1" x14ac:dyDescent="0.2">
      <c r="A21"/>
      <c r="B21"/>
      <c r="C21">
        <v>21</v>
      </c>
      <c r="D21"/>
      <c r="E21" t="str">
        <f>IF(coder1_YH!G21="","",TRUE)</f>
        <v/>
      </c>
      <c r="F21" t="b">
        <f>IF(coder1_YH!P21="","",TRUE)</f>
        <v>1</v>
      </c>
      <c r="G21" s="123"/>
      <c r="H21" s="123"/>
      <c r="I21" s="122"/>
      <c r="J21" s="89"/>
      <c r="K21" s="123"/>
      <c r="L21" s="123"/>
      <c r="M21" s="122"/>
      <c r="N21" s="282" t="s">
        <v>914</v>
      </c>
      <c r="O21" s="282" t="str">
        <f t="shared" si="0"/>
        <v xml:space="preserve">m </v>
      </c>
      <c r="P21" s="113" t="s">
        <v>924</v>
      </c>
      <c r="Q21" s="113" t="s">
        <v>110</v>
      </c>
      <c r="R21" s="350" t="s">
        <v>68</v>
      </c>
      <c r="S21" s="232">
        <v>11.2</v>
      </c>
      <c r="T21" s="232">
        <v>1</v>
      </c>
      <c r="U21" s="232" t="s">
        <v>52</v>
      </c>
      <c r="V21" s="232">
        <v>0.85</v>
      </c>
      <c r="W21" s="244">
        <f>21/33</f>
        <v>0.63636363636363635</v>
      </c>
      <c r="X21" s="232">
        <f>15/33</f>
        <v>0.45454545454545453</v>
      </c>
      <c r="Y21" s="232">
        <f>1-0.12</f>
        <v>0.88</v>
      </c>
      <c r="Z21" s="113" t="s">
        <v>92</v>
      </c>
      <c r="AA21" s="233" t="s">
        <v>105</v>
      </c>
      <c r="AB21" s="113" t="s">
        <v>71</v>
      </c>
      <c r="AC21" s="113" t="s">
        <v>56</v>
      </c>
      <c r="AD21" s="113" t="s">
        <v>57</v>
      </c>
      <c r="AE21" s="239" t="s">
        <v>72</v>
      </c>
      <c r="AF21" s="113">
        <f t="shared" si="1"/>
        <v>525</v>
      </c>
      <c r="AG21" s="234">
        <v>15</v>
      </c>
      <c r="AH21" s="113">
        <v>35</v>
      </c>
      <c r="AI21" s="188" t="s">
        <v>59</v>
      </c>
      <c r="AJ21" s="113" t="s">
        <v>106</v>
      </c>
      <c r="AK21" s="188" t="s">
        <v>95</v>
      </c>
      <c r="AL21" s="60" t="s">
        <v>459</v>
      </c>
      <c r="AM21" s="147" t="s">
        <v>543</v>
      </c>
      <c r="AN21" s="113">
        <v>7.6</v>
      </c>
      <c r="AO21" s="113">
        <v>2.9</v>
      </c>
      <c r="AP21" s="113">
        <v>11</v>
      </c>
      <c r="AQ21" s="113">
        <v>8.5</v>
      </c>
      <c r="AR21" s="113">
        <v>2.2000000000000002</v>
      </c>
      <c r="AS21" s="113">
        <v>11</v>
      </c>
      <c r="AT21" s="195" t="s">
        <v>52</v>
      </c>
      <c r="AU21" s="195" t="s">
        <v>52</v>
      </c>
      <c r="AV21" s="195" t="s">
        <v>52</v>
      </c>
      <c r="AW21" s="195" t="s">
        <v>52</v>
      </c>
      <c r="AX21" s="195"/>
      <c r="AY21" s="195"/>
      <c r="BA21" s="113">
        <v>0</v>
      </c>
      <c r="BB21" s="138"/>
      <c r="BC21" s="63"/>
    </row>
    <row r="22" spans="1:55" ht="17" customHeight="1" x14ac:dyDescent="0.2">
      <c r="A22" s="376" t="s">
        <v>997</v>
      </c>
      <c r="B22" s="376" t="s">
        <v>949</v>
      </c>
      <c r="C22">
        <v>22</v>
      </c>
      <c r="F22" t="b">
        <f>IF(coder1_YH!P22="","",TRUE)</f>
        <v>1</v>
      </c>
      <c r="G22" s="117" t="s">
        <v>145</v>
      </c>
      <c r="H22" s="117">
        <v>106</v>
      </c>
      <c r="I22" s="88" t="s">
        <v>47</v>
      </c>
      <c r="J22" s="88" t="s">
        <v>452</v>
      </c>
      <c r="K22" s="130" t="s">
        <v>66</v>
      </c>
      <c r="L22" s="130" t="s">
        <v>49</v>
      </c>
      <c r="M22" s="88" t="s">
        <v>50</v>
      </c>
      <c r="N22" s="283" t="s">
        <v>918</v>
      </c>
      <c r="O22" s="283" t="str">
        <f t="shared" si="0"/>
        <v xml:space="preserve">m </v>
      </c>
      <c r="P22" s="127">
        <v>1</v>
      </c>
      <c r="Q22" s="127" t="s">
        <v>125</v>
      </c>
      <c r="R22" s="351" t="s">
        <v>146</v>
      </c>
      <c r="S22" s="245">
        <v>11.3</v>
      </c>
      <c r="T22" s="245">
        <v>1</v>
      </c>
      <c r="U22" s="245" t="s">
        <v>52</v>
      </c>
      <c r="V22" s="245">
        <v>0.85</v>
      </c>
      <c r="W22" s="245">
        <v>0.53</v>
      </c>
      <c r="X22" s="245">
        <f>16/30</f>
        <v>0.53333333333333333</v>
      </c>
      <c r="Y22" s="245">
        <f>1-0.18</f>
        <v>0.82000000000000006</v>
      </c>
      <c r="Z22" s="127" t="s">
        <v>92</v>
      </c>
      <c r="AA22" s="246" t="s">
        <v>147</v>
      </c>
      <c r="AB22" s="127" t="s">
        <v>71</v>
      </c>
      <c r="AC22" s="127" t="s">
        <v>56</v>
      </c>
      <c r="AD22" s="184" t="s">
        <v>57</v>
      </c>
      <c r="AE22" s="127" t="s">
        <v>72</v>
      </c>
      <c r="AF22" s="127">
        <f t="shared" si="1"/>
        <v>525</v>
      </c>
      <c r="AG22" s="230">
        <v>15</v>
      </c>
      <c r="AH22" s="127">
        <v>35</v>
      </c>
      <c r="AI22" s="127" t="s">
        <v>59</v>
      </c>
      <c r="AJ22" s="127" t="s">
        <v>106</v>
      </c>
      <c r="AK22" s="187" t="s">
        <v>95</v>
      </c>
      <c r="AL22" s="60" t="s">
        <v>459</v>
      </c>
      <c r="AM22" s="146" t="s">
        <v>543</v>
      </c>
      <c r="AN22" s="127">
        <v>6.9</v>
      </c>
      <c r="AO22" s="127">
        <v>2.7</v>
      </c>
      <c r="AP22" s="127">
        <v>10</v>
      </c>
      <c r="AQ22" s="127">
        <v>8</v>
      </c>
      <c r="AR22" s="127">
        <v>2.7</v>
      </c>
      <c r="AS22" s="127">
        <v>10</v>
      </c>
      <c r="AT22" s="194" t="s">
        <v>52</v>
      </c>
      <c r="AU22" s="194" t="s">
        <v>52</v>
      </c>
      <c r="AV22" s="194" t="s">
        <v>52</v>
      </c>
      <c r="AW22" s="194" t="s">
        <v>52</v>
      </c>
      <c r="AX22" s="194"/>
      <c r="AY22" s="194"/>
      <c r="BA22" s="127">
        <v>0</v>
      </c>
      <c r="BB22" s="60" t="s">
        <v>97</v>
      </c>
      <c r="BC22" s="60" t="s">
        <v>97</v>
      </c>
    </row>
    <row r="23" spans="1:55" ht="17" customHeight="1" x14ac:dyDescent="0.2">
      <c r="A23" s="376" t="s">
        <v>997</v>
      </c>
      <c r="B23" s="376" t="s">
        <v>949</v>
      </c>
      <c r="C23">
        <v>23</v>
      </c>
      <c r="F23" t="b">
        <f>IF(coder1_YH!P23="","",TRUE)</f>
        <v>1</v>
      </c>
      <c r="G23" s="117" t="s">
        <v>145</v>
      </c>
      <c r="H23" s="117">
        <v>106</v>
      </c>
      <c r="I23" s="88" t="s">
        <v>47</v>
      </c>
      <c r="J23" s="88" t="s">
        <v>452</v>
      </c>
      <c r="K23" s="130" t="s">
        <v>66</v>
      </c>
      <c r="L23" s="130" t="s">
        <v>49</v>
      </c>
      <c r="M23" s="88" t="s">
        <v>50</v>
      </c>
      <c r="N23" s="283" t="s">
        <v>918</v>
      </c>
      <c r="O23" s="283" t="str">
        <f>IF(Z23="BAU",".",LEFT(Z23,2))</f>
        <v xml:space="preserve">m </v>
      </c>
      <c r="P23" s="127">
        <v>1</v>
      </c>
      <c r="Q23" s="127" t="s">
        <v>122</v>
      </c>
      <c r="R23" s="351" t="s">
        <v>146</v>
      </c>
      <c r="S23" s="245">
        <v>11.3</v>
      </c>
      <c r="T23" s="245">
        <v>1</v>
      </c>
      <c r="U23" s="245" t="s">
        <v>52</v>
      </c>
      <c r="V23" s="245">
        <v>0.85</v>
      </c>
      <c r="W23" s="245">
        <v>0.53</v>
      </c>
      <c r="X23" s="245">
        <f>16/30</f>
        <v>0.53333333333333333</v>
      </c>
      <c r="Y23" s="245">
        <f>1-0.18</f>
        <v>0.82000000000000006</v>
      </c>
      <c r="Z23" s="127" t="s">
        <v>92</v>
      </c>
      <c r="AA23" s="246" t="s">
        <v>147</v>
      </c>
      <c r="AB23" s="127" t="s">
        <v>71</v>
      </c>
      <c r="AC23" s="127" t="s">
        <v>56</v>
      </c>
      <c r="AD23" s="184" t="s">
        <v>57</v>
      </c>
      <c r="AE23" s="127" t="s">
        <v>72</v>
      </c>
      <c r="AF23" s="127">
        <f t="shared" si="1"/>
        <v>525</v>
      </c>
      <c r="AG23" s="230">
        <v>15</v>
      </c>
      <c r="AH23" s="127">
        <v>35</v>
      </c>
      <c r="AI23" s="127" t="s">
        <v>59</v>
      </c>
      <c r="AJ23" s="127" t="s">
        <v>106</v>
      </c>
      <c r="AK23" s="187" t="s">
        <v>95</v>
      </c>
      <c r="AL23" s="60" t="s">
        <v>459</v>
      </c>
      <c r="AM23" s="146" t="s">
        <v>543</v>
      </c>
      <c r="AN23" s="127">
        <v>6.5</v>
      </c>
      <c r="AO23" s="127">
        <v>2.4</v>
      </c>
      <c r="AP23" s="127">
        <v>10</v>
      </c>
      <c r="AQ23" s="127">
        <v>8.6999999999999993</v>
      </c>
      <c r="AR23" s="127">
        <v>2.2000000000000002</v>
      </c>
      <c r="AS23" s="127">
        <v>10</v>
      </c>
      <c r="AT23" s="194" t="s">
        <v>52</v>
      </c>
      <c r="AU23" s="194" t="s">
        <v>52</v>
      </c>
      <c r="AV23" s="194" t="s">
        <v>52</v>
      </c>
      <c r="AW23" s="194" t="s">
        <v>52</v>
      </c>
      <c r="AX23" s="194"/>
      <c r="AY23" s="194"/>
      <c r="BA23" s="127">
        <v>0</v>
      </c>
    </row>
    <row r="24" spans="1:55" ht="17" customHeight="1" x14ac:dyDescent="0.2">
      <c r="A24" s="376" t="s">
        <v>997</v>
      </c>
      <c r="B24" s="376" t="s">
        <v>949</v>
      </c>
      <c r="C24">
        <v>24</v>
      </c>
      <c r="D24" t="b">
        <f t="shared" ref="D24:D25" si="2">E24</f>
        <v>1</v>
      </c>
      <c r="E24" t="b">
        <f>IF(coder1_YH!G24="","",TRUE)</f>
        <v>1</v>
      </c>
      <c r="F24" t="b">
        <f>IF(coder1_YH!P24="","",TRUE)</f>
        <v>1</v>
      </c>
      <c r="G24" s="123" t="s">
        <v>145</v>
      </c>
      <c r="H24" s="123">
        <v>106</v>
      </c>
      <c r="I24" s="89" t="s">
        <v>47</v>
      </c>
      <c r="J24" s="89" t="s">
        <v>452</v>
      </c>
      <c r="K24" s="132" t="s">
        <v>66</v>
      </c>
      <c r="L24" s="132" t="s">
        <v>49</v>
      </c>
      <c r="M24" s="89" t="s">
        <v>50</v>
      </c>
      <c r="N24" s="284" t="s">
        <v>918</v>
      </c>
      <c r="O24" s="284" t="str">
        <f t="shared" si="0"/>
        <v xml:space="preserve">m </v>
      </c>
      <c r="P24" s="128" t="s">
        <v>924</v>
      </c>
      <c r="Q24" s="128" t="s">
        <v>149</v>
      </c>
      <c r="R24" s="352" t="s">
        <v>146</v>
      </c>
      <c r="S24" s="247">
        <v>11.3</v>
      </c>
      <c r="T24" s="247">
        <v>1</v>
      </c>
      <c r="U24" s="247" t="s">
        <v>52</v>
      </c>
      <c r="V24" s="247">
        <v>0.85</v>
      </c>
      <c r="W24" s="247">
        <v>0.53</v>
      </c>
      <c r="X24" s="247">
        <f>16/30</f>
        <v>0.53333333333333333</v>
      </c>
      <c r="Y24" s="247">
        <f>1-0.18</f>
        <v>0.82000000000000006</v>
      </c>
      <c r="Z24" s="128" t="s">
        <v>92</v>
      </c>
      <c r="AA24" s="248" t="s">
        <v>147</v>
      </c>
      <c r="AB24" s="128" t="s">
        <v>71</v>
      </c>
      <c r="AC24" s="128" t="s">
        <v>56</v>
      </c>
      <c r="AD24" s="185" t="s">
        <v>57</v>
      </c>
      <c r="AE24" s="128" t="s">
        <v>72</v>
      </c>
      <c r="AF24" s="128">
        <f t="shared" si="1"/>
        <v>525</v>
      </c>
      <c r="AG24" s="234">
        <v>15</v>
      </c>
      <c r="AH24" s="128">
        <v>35</v>
      </c>
      <c r="AI24" s="128" t="s">
        <v>59</v>
      </c>
      <c r="AJ24" s="128" t="s">
        <v>106</v>
      </c>
      <c r="AK24" s="188" t="s">
        <v>95</v>
      </c>
      <c r="AL24" s="60" t="s">
        <v>459</v>
      </c>
      <c r="AM24" s="146" t="s">
        <v>543</v>
      </c>
      <c r="AN24" s="128">
        <v>6.1</v>
      </c>
      <c r="AO24" s="128">
        <v>1.9</v>
      </c>
      <c r="AP24" s="128">
        <v>10</v>
      </c>
      <c r="AQ24" s="128">
        <v>11.6</v>
      </c>
      <c r="AR24" s="128">
        <v>2.7</v>
      </c>
      <c r="AS24" s="128">
        <v>10</v>
      </c>
      <c r="AT24" s="194" t="s">
        <v>52</v>
      </c>
      <c r="AU24" s="194" t="s">
        <v>52</v>
      </c>
      <c r="AV24" s="194" t="s">
        <v>52</v>
      </c>
      <c r="AW24" s="194" t="s">
        <v>52</v>
      </c>
      <c r="AX24" s="194"/>
      <c r="AY24" s="194"/>
      <c r="AZ24" s="128"/>
      <c r="BA24" s="128">
        <v>0</v>
      </c>
      <c r="BB24" s="63"/>
      <c r="BC24" s="63"/>
    </row>
    <row r="25" spans="1:55" ht="17" customHeight="1" x14ac:dyDescent="0.2">
      <c r="C25">
        <v>25</v>
      </c>
      <c r="D25" t="b">
        <f t="shared" si="2"/>
        <v>1</v>
      </c>
      <c r="E25" t="b">
        <f>IF(coder1_YH!G25="","",TRUE)</f>
        <v>1</v>
      </c>
      <c r="F25" t="b">
        <f>IF(coder1_YH!P25="","",TRUE)</f>
        <v>1</v>
      </c>
      <c r="G25" s="117" t="s">
        <v>150</v>
      </c>
      <c r="H25" s="117">
        <v>107</v>
      </c>
      <c r="I25" s="88" t="s">
        <v>47</v>
      </c>
      <c r="J25" s="88" t="s">
        <v>452</v>
      </c>
      <c r="K25" s="130" t="s">
        <v>66</v>
      </c>
      <c r="L25" s="130" t="s">
        <v>49</v>
      </c>
      <c r="M25" s="88" t="s">
        <v>50</v>
      </c>
      <c r="N25" s="283" t="s">
        <v>926</v>
      </c>
      <c r="O25" s="283" t="str">
        <f t="shared" si="0"/>
        <v xml:space="preserve">m </v>
      </c>
      <c r="P25" s="127">
        <v>1</v>
      </c>
      <c r="Q25" s="127" t="s">
        <v>151</v>
      </c>
      <c r="R25" s="353" t="s">
        <v>68</v>
      </c>
      <c r="S25" s="245">
        <f>AVERAGE(10,14)</f>
        <v>12</v>
      </c>
      <c r="T25" s="245">
        <v>1</v>
      </c>
      <c r="U25" s="245">
        <v>1</v>
      </c>
      <c r="V25" s="245" t="s">
        <v>52</v>
      </c>
      <c r="W25" s="245" t="s">
        <v>52</v>
      </c>
      <c r="X25" s="245">
        <f>49/75</f>
        <v>0.65333333333333332</v>
      </c>
      <c r="Y25" s="245">
        <f>1-0.9</f>
        <v>9.9999999999999978E-2</v>
      </c>
      <c r="Z25" s="127" t="s">
        <v>92</v>
      </c>
      <c r="AA25" s="246" t="s">
        <v>152</v>
      </c>
      <c r="AB25" s="127" t="s">
        <v>71</v>
      </c>
      <c r="AC25" s="127" t="s">
        <v>153</v>
      </c>
      <c r="AD25" s="249" t="s">
        <v>57</v>
      </c>
      <c r="AE25" s="127" t="s">
        <v>72</v>
      </c>
      <c r="AF25" s="127" t="s">
        <v>154</v>
      </c>
      <c r="AG25" s="230" t="s">
        <v>52</v>
      </c>
      <c r="AH25" s="127" t="s">
        <v>52</v>
      </c>
      <c r="AI25" s="127" t="s">
        <v>148</v>
      </c>
      <c r="AJ25" s="127" t="s">
        <v>155</v>
      </c>
      <c r="AK25" s="127" t="s">
        <v>95</v>
      </c>
      <c r="AL25" s="60" t="s">
        <v>459</v>
      </c>
      <c r="AM25" s="148" t="s">
        <v>52</v>
      </c>
      <c r="AN25" s="187">
        <v>5.67</v>
      </c>
      <c r="AO25" s="127">
        <v>3.9</v>
      </c>
      <c r="AP25" s="127">
        <v>17</v>
      </c>
      <c r="AQ25" s="127">
        <v>12.72</v>
      </c>
      <c r="AR25" s="127">
        <v>5.18</v>
      </c>
      <c r="AS25" s="127">
        <v>17</v>
      </c>
      <c r="AT25" s="196" t="s">
        <v>52</v>
      </c>
      <c r="AU25" s="196" t="s">
        <v>52</v>
      </c>
      <c r="AV25" s="196" t="s">
        <v>52</v>
      </c>
      <c r="AW25" s="196" t="s">
        <v>52</v>
      </c>
      <c r="AX25" s="196"/>
      <c r="AY25" s="196"/>
      <c r="BA25" s="127">
        <v>0</v>
      </c>
      <c r="BB25" s="60" t="s">
        <v>226</v>
      </c>
      <c r="BC25" s="60" t="s">
        <v>225</v>
      </c>
    </row>
    <row r="26" spans="1:55" ht="17" customHeight="1" x14ac:dyDescent="0.2">
      <c r="C26">
        <v>26</v>
      </c>
      <c r="E26" t="str">
        <f>IF(coder1_YH!G26="","",TRUE)</f>
        <v/>
      </c>
      <c r="F26" t="str">
        <f>IF(coder1_YH!P26="","",TRUE)</f>
        <v/>
      </c>
      <c r="G26" s="117"/>
      <c r="H26" s="117"/>
      <c r="M26" s="130"/>
      <c r="O26" s="283" t="str">
        <f t="shared" si="0"/>
        <v/>
      </c>
      <c r="AG26" s="230"/>
      <c r="AJ26" s="127" t="s">
        <v>156</v>
      </c>
      <c r="AK26" s="127" t="s">
        <v>95</v>
      </c>
      <c r="AL26" s="60" t="s">
        <v>459</v>
      </c>
      <c r="AM26" s="146" t="s">
        <v>52</v>
      </c>
      <c r="AN26" s="187">
        <v>5.67</v>
      </c>
      <c r="AO26" s="127">
        <v>3.9</v>
      </c>
      <c r="AP26" s="127">
        <v>17</v>
      </c>
      <c r="AQ26" s="127">
        <v>13.44</v>
      </c>
      <c r="AR26" s="127">
        <v>4.91</v>
      </c>
      <c r="AS26" s="127">
        <v>17</v>
      </c>
      <c r="AT26" s="194" t="s">
        <v>52</v>
      </c>
      <c r="AU26" s="194" t="s">
        <v>52</v>
      </c>
      <c r="AV26" s="194" t="s">
        <v>52</v>
      </c>
      <c r="AW26" s="194" t="s">
        <v>52</v>
      </c>
      <c r="AX26" s="194"/>
      <c r="AY26" s="194"/>
      <c r="BA26" s="127">
        <v>0</v>
      </c>
    </row>
    <row r="27" spans="1:55" ht="17" customHeight="1" x14ac:dyDescent="0.2">
      <c r="C27">
        <v>27</v>
      </c>
      <c r="E27" t="str">
        <f>IF(coder1_YH!G27="","",TRUE)</f>
        <v/>
      </c>
      <c r="F27" t="b">
        <f>IF(coder1_YH!P27="","",TRUE)</f>
        <v>1</v>
      </c>
      <c r="G27" s="117"/>
      <c r="H27" s="117"/>
      <c r="N27" s="283" t="s">
        <v>926</v>
      </c>
      <c r="O27" s="283" t="str">
        <f t="shared" si="0"/>
        <v xml:space="preserve">m </v>
      </c>
      <c r="P27" s="127">
        <v>2</v>
      </c>
      <c r="Q27" s="127" t="s">
        <v>157</v>
      </c>
      <c r="R27" s="353" t="s">
        <v>68</v>
      </c>
      <c r="S27" s="245">
        <f>AVERAGE(10,14)</f>
        <v>12</v>
      </c>
      <c r="T27" s="245">
        <v>1</v>
      </c>
      <c r="U27" s="245">
        <v>1</v>
      </c>
      <c r="V27" s="245" t="s">
        <v>52</v>
      </c>
      <c r="W27" s="245" t="s">
        <v>52</v>
      </c>
      <c r="X27" s="245">
        <f>49/75</f>
        <v>0.65333333333333332</v>
      </c>
      <c r="Y27" s="245">
        <f>1-0.9</f>
        <v>9.9999999999999978E-2</v>
      </c>
      <c r="Z27" s="127" t="s">
        <v>92</v>
      </c>
      <c r="AA27" s="246" t="s">
        <v>152</v>
      </c>
      <c r="AB27" s="127" t="s">
        <v>71</v>
      </c>
      <c r="AC27" s="127" t="s">
        <v>153</v>
      </c>
      <c r="AD27" s="249" t="s">
        <v>57</v>
      </c>
      <c r="AE27" s="127" t="s">
        <v>72</v>
      </c>
      <c r="AF27" s="127" t="s">
        <v>154</v>
      </c>
      <c r="AG27" s="230" t="s">
        <v>52</v>
      </c>
      <c r="AH27" s="127" t="s">
        <v>52</v>
      </c>
      <c r="AI27" s="127" t="s">
        <v>148</v>
      </c>
      <c r="AJ27" s="127" t="s">
        <v>155</v>
      </c>
      <c r="AK27" s="127" t="s">
        <v>95</v>
      </c>
      <c r="AL27" s="60" t="s">
        <v>459</v>
      </c>
      <c r="AM27" s="146" t="s">
        <v>52</v>
      </c>
      <c r="AN27" s="127">
        <v>6.81</v>
      </c>
      <c r="AO27" s="127">
        <v>4.8099999999999996</v>
      </c>
      <c r="AP27" s="127">
        <v>16</v>
      </c>
      <c r="AQ27" s="127">
        <v>11.41</v>
      </c>
      <c r="AR27" s="127">
        <v>6.61</v>
      </c>
      <c r="AS27" s="127">
        <v>16</v>
      </c>
      <c r="AT27" s="194" t="s">
        <v>52</v>
      </c>
      <c r="AU27" s="194" t="s">
        <v>52</v>
      </c>
      <c r="AV27" s="194" t="s">
        <v>52</v>
      </c>
      <c r="AW27" s="194" t="s">
        <v>52</v>
      </c>
      <c r="AX27" s="194"/>
      <c r="AY27" s="194"/>
      <c r="BA27" s="127">
        <v>0</v>
      </c>
    </row>
    <row r="28" spans="1:55" ht="17" customHeight="1" x14ac:dyDescent="0.2">
      <c r="C28">
        <v>28</v>
      </c>
      <c r="E28" t="str">
        <f>IF(coder1_YH!G28="","",TRUE)</f>
        <v/>
      </c>
      <c r="F28" t="str">
        <f>IF(coder1_YH!P28="","",TRUE)</f>
        <v/>
      </c>
      <c r="G28" s="117"/>
      <c r="H28" s="117"/>
      <c r="M28" s="130"/>
      <c r="O28" s="283" t="str">
        <f t="shared" si="0"/>
        <v/>
      </c>
      <c r="AG28" s="230"/>
      <c r="AJ28" s="127" t="s">
        <v>156</v>
      </c>
      <c r="AK28" s="127" t="s">
        <v>95</v>
      </c>
      <c r="AL28" s="60" t="s">
        <v>459</v>
      </c>
      <c r="AM28" s="146" t="s">
        <v>52</v>
      </c>
      <c r="AN28" s="127">
        <v>6.81</v>
      </c>
      <c r="AO28" s="127">
        <v>4.8099999999999996</v>
      </c>
      <c r="AP28" s="127">
        <v>16</v>
      </c>
      <c r="AQ28" s="127">
        <v>11.56</v>
      </c>
      <c r="AR28" s="127">
        <v>6.55</v>
      </c>
      <c r="AS28" s="127">
        <v>16</v>
      </c>
      <c r="AT28" s="194" t="s">
        <v>52</v>
      </c>
      <c r="AU28" s="194" t="s">
        <v>52</v>
      </c>
      <c r="AV28" s="194" t="s">
        <v>52</v>
      </c>
      <c r="AW28" s="194" t="s">
        <v>52</v>
      </c>
      <c r="AX28" s="194"/>
      <c r="AY28" s="194"/>
      <c r="BA28" s="127">
        <v>0</v>
      </c>
    </row>
    <row r="29" spans="1:55" ht="17" customHeight="1" x14ac:dyDescent="0.2">
      <c r="C29">
        <v>29</v>
      </c>
      <c r="E29" t="str">
        <f>IF(coder1_YH!G29="","",TRUE)</f>
        <v/>
      </c>
      <c r="F29" t="b">
        <f>IF(coder1_YH!P29="","",TRUE)</f>
        <v>1</v>
      </c>
      <c r="G29" s="117"/>
      <c r="H29" s="117"/>
      <c r="N29" s="283" t="s">
        <v>914</v>
      </c>
      <c r="O29" s="283" t="str">
        <f t="shared" si="0"/>
        <v xml:space="preserve">m </v>
      </c>
      <c r="P29" s="127">
        <v>3</v>
      </c>
      <c r="Q29" s="127" t="s">
        <v>158</v>
      </c>
      <c r="R29" s="353" t="s">
        <v>68</v>
      </c>
      <c r="S29" s="245">
        <f>AVERAGE(10,14)</f>
        <v>12</v>
      </c>
      <c r="T29" s="245">
        <v>1</v>
      </c>
      <c r="U29" s="245">
        <v>1</v>
      </c>
      <c r="V29" s="245" t="s">
        <v>52</v>
      </c>
      <c r="W29" s="245" t="s">
        <v>52</v>
      </c>
      <c r="X29" s="245">
        <f>49/75</f>
        <v>0.65333333333333332</v>
      </c>
      <c r="Y29" s="245">
        <f>1-0.9</f>
        <v>9.9999999999999978E-2</v>
      </c>
      <c r="Z29" s="127" t="s">
        <v>92</v>
      </c>
      <c r="AA29" s="246" t="s">
        <v>152</v>
      </c>
      <c r="AB29" s="127" t="s">
        <v>71</v>
      </c>
      <c r="AC29" s="127" t="s">
        <v>153</v>
      </c>
      <c r="AD29" s="249" t="s">
        <v>57</v>
      </c>
      <c r="AE29" s="127" t="s">
        <v>72</v>
      </c>
      <c r="AF29" s="127" t="s">
        <v>154</v>
      </c>
      <c r="AG29" s="230" t="s">
        <v>52</v>
      </c>
      <c r="AH29" s="127" t="s">
        <v>52</v>
      </c>
      <c r="AI29" s="127" t="s">
        <v>148</v>
      </c>
      <c r="AJ29" s="127" t="s">
        <v>155</v>
      </c>
      <c r="AK29" s="127" t="s">
        <v>95</v>
      </c>
      <c r="AL29" s="60" t="s">
        <v>459</v>
      </c>
      <c r="AM29" s="146" t="s">
        <v>52</v>
      </c>
      <c r="AN29" s="127">
        <v>7</v>
      </c>
      <c r="AO29" s="127">
        <v>3.84</v>
      </c>
      <c r="AP29" s="127">
        <v>19</v>
      </c>
      <c r="AQ29" s="127">
        <v>9.73</v>
      </c>
      <c r="AR29" s="127">
        <v>4.49</v>
      </c>
      <c r="AS29" s="127">
        <v>19</v>
      </c>
      <c r="AT29" s="194" t="s">
        <v>52</v>
      </c>
      <c r="AU29" s="194" t="s">
        <v>52</v>
      </c>
      <c r="AV29" s="194" t="s">
        <v>52</v>
      </c>
      <c r="AW29" s="194" t="s">
        <v>52</v>
      </c>
      <c r="AX29" s="194"/>
      <c r="AY29" s="194"/>
      <c r="BA29" s="127">
        <v>0</v>
      </c>
    </row>
    <row r="30" spans="1:55" ht="17" customHeight="1" x14ac:dyDescent="0.2">
      <c r="C30">
        <v>30</v>
      </c>
      <c r="E30" t="str">
        <f>IF(coder1_YH!G30="","",TRUE)</f>
        <v/>
      </c>
      <c r="F30" t="str">
        <f>IF(coder1_YH!P30="","",TRUE)</f>
        <v/>
      </c>
      <c r="G30" s="117"/>
      <c r="H30" s="117"/>
      <c r="M30" s="130"/>
      <c r="O30" s="283" t="str">
        <f t="shared" si="0"/>
        <v/>
      </c>
      <c r="AG30" s="230"/>
      <c r="AJ30" s="127" t="s">
        <v>156</v>
      </c>
      <c r="AK30" s="127" t="s">
        <v>95</v>
      </c>
      <c r="AL30" s="60" t="s">
        <v>459</v>
      </c>
      <c r="AM30" s="146" t="s">
        <v>52</v>
      </c>
      <c r="AN30" s="127">
        <v>7</v>
      </c>
      <c r="AO30" s="127">
        <v>3.84</v>
      </c>
      <c r="AP30" s="127">
        <v>19</v>
      </c>
      <c r="AQ30" s="127">
        <v>9.36</v>
      </c>
      <c r="AR30" s="127">
        <v>5.62</v>
      </c>
      <c r="AS30" s="127">
        <v>19</v>
      </c>
      <c r="AT30" s="194" t="s">
        <v>52</v>
      </c>
      <c r="AU30" s="194" t="s">
        <v>52</v>
      </c>
      <c r="AV30" s="194" t="s">
        <v>52</v>
      </c>
      <c r="AW30" s="194" t="s">
        <v>52</v>
      </c>
      <c r="AX30" s="194"/>
      <c r="AY30" s="194"/>
      <c r="BA30" s="127">
        <v>0</v>
      </c>
    </row>
    <row r="31" spans="1:55" ht="17" customHeight="1" x14ac:dyDescent="0.2">
      <c r="C31">
        <v>31</v>
      </c>
      <c r="E31" t="str">
        <f>IF(coder1_YH!G31="","",TRUE)</f>
        <v/>
      </c>
      <c r="F31" t="b">
        <f>IF(coder1_YH!P31="","",TRUE)</f>
        <v>1</v>
      </c>
      <c r="G31" s="117"/>
      <c r="H31" s="117"/>
      <c r="N31" s="283" t="s">
        <v>914</v>
      </c>
      <c r="O31" s="283" t="str">
        <f t="shared" si="0"/>
        <v>.</v>
      </c>
      <c r="P31" s="127" t="s">
        <v>924</v>
      </c>
      <c r="Q31" s="127" t="s">
        <v>159</v>
      </c>
      <c r="R31" s="353" t="s">
        <v>68</v>
      </c>
      <c r="S31" s="245">
        <f>AVERAGE(10,14)</f>
        <v>12</v>
      </c>
      <c r="T31" s="245">
        <v>1</v>
      </c>
      <c r="U31" s="245">
        <v>1</v>
      </c>
      <c r="V31" s="245" t="s">
        <v>52</v>
      </c>
      <c r="W31" s="245" t="s">
        <v>52</v>
      </c>
      <c r="X31" s="245">
        <f>49/75</f>
        <v>0.65333333333333332</v>
      </c>
      <c r="Y31" s="245">
        <f>1-0.9</f>
        <v>9.9999999999999978E-2</v>
      </c>
      <c r="Z31" s="127" t="s">
        <v>78</v>
      </c>
      <c r="AA31" s="246" t="s">
        <v>935</v>
      </c>
      <c r="AB31" s="127" t="s">
        <v>71</v>
      </c>
      <c r="AC31" s="127" t="s">
        <v>153</v>
      </c>
      <c r="AD31" s="249" t="s">
        <v>57</v>
      </c>
      <c r="AE31" s="127" t="s">
        <v>72</v>
      </c>
      <c r="AF31" s="127" t="s">
        <v>154</v>
      </c>
      <c r="AG31" s="230" t="s">
        <v>52</v>
      </c>
      <c r="AH31" s="127" t="s">
        <v>52</v>
      </c>
      <c r="AI31" s="127" t="s">
        <v>148</v>
      </c>
      <c r="AJ31" s="127" t="s">
        <v>155</v>
      </c>
      <c r="AK31" s="127" t="s">
        <v>95</v>
      </c>
      <c r="AL31" s="60" t="s">
        <v>459</v>
      </c>
      <c r="AM31" s="146" t="s">
        <v>52</v>
      </c>
      <c r="AN31" s="127">
        <v>7.9</v>
      </c>
      <c r="AO31" s="127">
        <v>3.99</v>
      </c>
      <c r="AP31" s="127">
        <v>21</v>
      </c>
      <c r="AQ31" s="127">
        <v>9.81</v>
      </c>
      <c r="AR31" s="127">
        <v>5.34</v>
      </c>
      <c r="AS31" s="127">
        <v>21</v>
      </c>
      <c r="AT31" s="194" t="s">
        <v>52</v>
      </c>
      <c r="AU31" s="194" t="s">
        <v>52</v>
      </c>
      <c r="AV31" s="194" t="s">
        <v>52</v>
      </c>
      <c r="AW31" s="194" t="s">
        <v>52</v>
      </c>
      <c r="AX31" s="194"/>
      <c r="AY31" s="194"/>
      <c r="BA31" s="127">
        <v>0</v>
      </c>
    </row>
    <row r="32" spans="1:55" ht="17" customHeight="1" x14ac:dyDescent="0.2">
      <c r="C32">
        <v>32</v>
      </c>
      <c r="E32" t="str">
        <f>IF(coder1_YH!G32="","",TRUE)</f>
        <v/>
      </c>
      <c r="F32" t="str">
        <f>IF(coder1_YH!P32="","",TRUE)</f>
        <v/>
      </c>
      <c r="G32" s="123"/>
      <c r="H32" s="123"/>
      <c r="I32" s="89"/>
      <c r="J32" s="89"/>
      <c r="K32" s="132"/>
      <c r="L32" s="132"/>
      <c r="M32" s="132"/>
      <c r="N32" s="284"/>
      <c r="O32" s="284" t="str">
        <f t="shared" si="0"/>
        <v/>
      </c>
      <c r="P32" s="128"/>
      <c r="Q32" s="128"/>
      <c r="R32" s="352"/>
      <c r="S32" s="247"/>
      <c r="T32" s="247"/>
      <c r="U32" s="247"/>
      <c r="V32" s="247"/>
      <c r="W32" s="247"/>
      <c r="X32" s="247"/>
      <c r="Y32" s="247"/>
      <c r="Z32" s="128"/>
      <c r="AA32" s="248"/>
      <c r="AB32" s="128"/>
      <c r="AC32" s="128"/>
      <c r="AD32" s="128"/>
      <c r="AE32" s="128"/>
      <c r="AF32" s="128"/>
      <c r="AG32" s="234"/>
      <c r="AH32" s="128"/>
      <c r="AI32" s="128"/>
      <c r="AJ32" s="128" t="s">
        <v>156</v>
      </c>
      <c r="AK32" s="128" t="s">
        <v>95</v>
      </c>
      <c r="AL32" s="60" t="s">
        <v>459</v>
      </c>
      <c r="AM32" s="147" t="s">
        <v>52</v>
      </c>
      <c r="AN32" s="128">
        <v>7.9</v>
      </c>
      <c r="AO32" s="128">
        <v>3.99</v>
      </c>
      <c r="AP32" s="128">
        <v>21</v>
      </c>
      <c r="AQ32" s="128">
        <v>8.66</v>
      </c>
      <c r="AR32" s="128">
        <v>3.95</v>
      </c>
      <c r="AS32" s="128">
        <v>21</v>
      </c>
      <c r="AT32" s="195" t="s">
        <v>52</v>
      </c>
      <c r="AU32" s="195" t="s">
        <v>52</v>
      </c>
      <c r="AV32" s="195" t="s">
        <v>52</v>
      </c>
      <c r="AW32" s="195" t="s">
        <v>52</v>
      </c>
      <c r="AX32" s="195"/>
      <c r="AY32" s="195"/>
      <c r="AZ32" s="128"/>
      <c r="BA32" s="128">
        <v>0</v>
      </c>
      <c r="BB32" s="63"/>
      <c r="BC32" s="63"/>
    </row>
    <row r="33" spans="1:55" ht="17" customHeight="1" x14ac:dyDescent="0.2">
      <c r="C33">
        <v>33</v>
      </c>
      <c r="D33" t="b">
        <f>E33</f>
        <v>1</v>
      </c>
      <c r="E33" t="b">
        <f>IF(coder1_YH!G33="","",TRUE)</f>
        <v>1</v>
      </c>
      <c r="F33" t="b">
        <f>IF(coder1_YH!P33="","",TRUE)</f>
        <v>1</v>
      </c>
      <c r="G33" s="117" t="s">
        <v>160</v>
      </c>
      <c r="H33" s="117">
        <v>108</v>
      </c>
      <c r="I33" s="88" t="s">
        <v>47</v>
      </c>
      <c r="J33" s="88" t="s">
        <v>452</v>
      </c>
      <c r="K33" s="130" t="s">
        <v>66</v>
      </c>
      <c r="L33" s="130" t="s">
        <v>49</v>
      </c>
      <c r="M33" s="88" t="s">
        <v>50</v>
      </c>
      <c r="N33" s="283" t="s">
        <v>915</v>
      </c>
      <c r="O33" s="283" t="str">
        <f t="shared" si="0"/>
        <v>cm</v>
      </c>
      <c r="P33" s="127">
        <v>1</v>
      </c>
      <c r="Q33" s="127" t="s">
        <v>161</v>
      </c>
      <c r="R33" s="354">
        <v>6</v>
      </c>
      <c r="S33" s="245">
        <v>11.5</v>
      </c>
      <c r="T33" s="245">
        <v>1</v>
      </c>
      <c r="U33" s="245">
        <f>(102+51)/462</f>
        <v>0.33116883116883117</v>
      </c>
      <c r="V33" s="245">
        <f>314/462</f>
        <v>0.67965367965367962</v>
      </c>
      <c r="W33" s="245" t="s">
        <v>52</v>
      </c>
      <c r="X33" s="245">
        <f>269/462</f>
        <v>0.58225108225108224</v>
      </c>
      <c r="Y33" s="245">
        <f>58/462</f>
        <v>0.12554112554112554</v>
      </c>
      <c r="Z33" s="187" t="s">
        <v>53</v>
      </c>
      <c r="AA33" s="246" t="s">
        <v>198</v>
      </c>
      <c r="AB33" s="127" t="s">
        <v>71</v>
      </c>
      <c r="AC33" s="127" t="s">
        <v>153</v>
      </c>
      <c r="AD33" s="127" t="s">
        <v>162</v>
      </c>
      <c r="AE33" s="127" t="s">
        <v>58</v>
      </c>
      <c r="AF33" s="237">
        <f>36*5*AH33</f>
        <v>7448.1</v>
      </c>
      <c r="AG33" s="230">
        <v>540</v>
      </c>
      <c r="AH33" s="112">
        <f>55*AVERAGE(0.585,0.8,0.872)</f>
        <v>41.378333333333337</v>
      </c>
      <c r="AI33" s="127" t="s">
        <v>59</v>
      </c>
      <c r="AJ33" s="127" t="s">
        <v>163</v>
      </c>
      <c r="AK33" s="127" t="s">
        <v>61</v>
      </c>
      <c r="AL33" s="60" t="s">
        <v>459</v>
      </c>
      <c r="AM33" s="146" t="s">
        <v>578</v>
      </c>
      <c r="AN33" s="127" t="s">
        <v>52</v>
      </c>
      <c r="AO33" s="127" t="s">
        <v>52</v>
      </c>
      <c r="AP33" s="127" t="s">
        <v>52</v>
      </c>
      <c r="AQ33" s="127">
        <v>32.1</v>
      </c>
      <c r="AR33" s="127">
        <v>14.33</v>
      </c>
      <c r="AS33" s="127">
        <v>462</v>
      </c>
      <c r="AT33" s="194" t="s">
        <v>52</v>
      </c>
      <c r="AU33" s="194" t="s">
        <v>52</v>
      </c>
      <c r="AV33" s="194" t="s">
        <v>52</v>
      </c>
      <c r="AW33" s="194" t="s">
        <v>52</v>
      </c>
      <c r="AX33" s="194"/>
      <c r="AY33" s="194"/>
      <c r="BA33" s="127">
        <v>0</v>
      </c>
      <c r="BB33" s="60" t="s">
        <v>86</v>
      </c>
      <c r="BC33" s="60" t="s">
        <v>86</v>
      </c>
    </row>
    <row r="34" spans="1:55" ht="17" customHeight="1" x14ac:dyDescent="0.2">
      <c r="C34">
        <v>34</v>
      </c>
      <c r="E34" t="str">
        <f>IF(coder1_YH!G34="","",TRUE)</f>
        <v/>
      </c>
      <c r="F34" t="b">
        <f>IF(coder1_YH!P34="","",TRUE)</f>
        <v>1</v>
      </c>
      <c r="G34" s="117"/>
      <c r="H34" s="117"/>
      <c r="I34" s="89"/>
      <c r="K34" s="132"/>
      <c r="L34" s="132"/>
      <c r="M34" s="89"/>
      <c r="N34" s="284" t="s">
        <v>914</v>
      </c>
      <c r="O34" s="284" t="str">
        <f t="shared" si="0"/>
        <v>.</v>
      </c>
      <c r="P34" s="128" t="s">
        <v>924</v>
      </c>
      <c r="Q34" s="128" t="s">
        <v>164</v>
      </c>
      <c r="R34" s="352">
        <v>6</v>
      </c>
      <c r="S34" s="247">
        <v>11.5</v>
      </c>
      <c r="T34" s="247">
        <v>1</v>
      </c>
      <c r="U34" s="247">
        <f>(69+33)/389</f>
        <v>0.26221079691516708</v>
      </c>
      <c r="V34" s="247">
        <f>255/389</f>
        <v>0.65552699228791778</v>
      </c>
      <c r="W34" s="247" t="s">
        <v>52</v>
      </c>
      <c r="X34" s="247">
        <f>225/389</f>
        <v>0.57840616966580982</v>
      </c>
      <c r="Y34" s="247">
        <f>56/389</f>
        <v>0.14395886889460155</v>
      </c>
      <c r="Z34" s="128" t="s">
        <v>78</v>
      </c>
      <c r="AA34" s="248" t="s">
        <v>200</v>
      </c>
      <c r="AB34" s="128" t="s">
        <v>71</v>
      </c>
      <c r="AC34" s="128" t="s">
        <v>78</v>
      </c>
      <c r="AD34" s="128" t="s">
        <v>78</v>
      </c>
      <c r="AE34" s="128" t="s">
        <v>78</v>
      </c>
      <c r="AF34" s="113" t="s">
        <v>78</v>
      </c>
      <c r="AG34" s="234"/>
      <c r="AH34" s="113" t="s">
        <v>78</v>
      </c>
      <c r="AI34" s="128" t="s">
        <v>78</v>
      </c>
      <c r="AJ34" s="128" t="s">
        <v>163</v>
      </c>
      <c r="AK34" s="128" t="s">
        <v>61</v>
      </c>
      <c r="AL34" s="60" t="s">
        <v>459</v>
      </c>
      <c r="AM34" s="146" t="s">
        <v>578</v>
      </c>
      <c r="AN34" s="128" t="s">
        <v>52</v>
      </c>
      <c r="AO34" s="128" t="s">
        <v>52</v>
      </c>
      <c r="AP34" s="128" t="s">
        <v>52</v>
      </c>
      <c r="AQ34" s="128">
        <v>31.6</v>
      </c>
      <c r="AR34" s="128">
        <v>14.11</v>
      </c>
      <c r="AS34" s="128">
        <v>389</v>
      </c>
      <c r="AT34" s="194" t="s">
        <v>52</v>
      </c>
      <c r="AU34" s="194" t="s">
        <v>52</v>
      </c>
      <c r="AV34" s="194" t="s">
        <v>52</v>
      </c>
      <c r="AW34" s="194" t="s">
        <v>52</v>
      </c>
      <c r="AX34" s="194"/>
      <c r="AY34" s="194"/>
      <c r="AZ34" s="128"/>
      <c r="BA34" s="128">
        <v>0</v>
      </c>
      <c r="BB34" s="63"/>
      <c r="BC34" s="63"/>
    </row>
    <row r="35" spans="1:55" ht="17" customHeight="1" x14ac:dyDescent="0.2">
      <c r="C35">
        <v>35</v>
      </c>
      <c r="D35" t="b">
        <f>E35</f>
        <v>1</v>
      </c>
      <c r="E35" t="b">
        <f>IF(coder1_YH!G35="","",TRUE)</f>
        <v>1</v>
      </c>
      <c r="F35" t="b">
        <f>IF(coder1_YH!P35="","",TRUE)</f>
        <v>1</v>
      </c>
      <c r="G35" s="315" t="s">
        <v>165</v>
      </c>
      <c r="H35" s="315">
        <v>109.1</v>
      </c>
      <c r="I35" s="88" t="s">
        <v>47</v>
      </c>
      <c r="J35" s="144" t="s">
        <v>452</v>
      </c>
      <c r="K35" s="130" t="s">
        <v>66</v>
      </c>
      <c r="L35" s="130" t="s">
        <v>49</v>
      </c>
      <c r="M35" s="88" t="s">
        <v>50</v>
      </c>
      <c r="N35" s="283" t="s">
        <v>915</v>
      </c>
      <c r="O35" s="283" t="str">
        <f t="shared" si="0"/>
        <v>cm</v>
      </c>
      <c r="P35" s="127">
        <v>1</v>
      </c>
      <c r="Q35" s="127" t="s">
        <v>167</v>
      </c>
      <c r="R35" s="351">
        <v>6</v>
      </c>
      <c r="S35" s="245">
        <v>11.5</v>
      </c>
      <c r="T35" s="245">
        <v>1</v>
      </c>
      <c r="U35" s="245">
        <f>1-404/605</f>
        <v>0.33223140495867765</v>
      </c>
      <c r="V35" s="245">
        <f>418/605</f>
        <v>0.69090909090909092</v>
      </c>
      <c r="W35" s="250" t="s">
        <v>52</v>
      </c>
      <c r="X35" s="245">
        <f>360/605</f>
        <v>0.5950413223140496</v>
      </c>
      <c r="Y35" s="245">
        <f>1-526/605</f>
        <v>0.13057851239669427</v>
      </c>
      <c r="Z35" s="187" t="s">
        <v>53</v>
      </c>
      <c r="AA35" s="246" t="s">
        <v>202</v>
      </c>
      <c r="AB35" s="127" t="s">
        <v>71</v>
      </c>
      <c r="AC35" s="127" t="s">
        <v>153</v>
      </c>
      <c r="AD35" s="127" t="s">
        <v>162</v>
      </c>
      <c r="AE35" s="127" t="s">
        <v>58</v>
      </c>
      <c r="AF35" s="237">
        <f>36*5*AH35</f>
        <v>9519.5250000000015</v>
      </c>
      <c r="AG35" s="230">
        <v>720</v>
      </c>
      <c r="AH35" s="112">
        <f>AVERAGE(45,90)*AVERAGE(0.585,0.8,0.872,0.877)</f>
        <v>52.886250000000004</v>
      </c>
      <c r="AI35" s="127" t="s">
        <v>59</v>
      </c>
      <c r="AJ35" s="127" t="s">
        <v>168</v>
      </c>
      <c r="AK35" s="127" t="s">
        <v>61</v>
      </c>
      <c r="AL35" s="60" t="s">
        <v>459</v>
      </c>
      <c r="AM35" s="148" t="s">
        <v>578</v>
      </c>
      <c r="AN35" s="127">
        <v>21.11</v>
      </c>
      <c r="AO35" s="127">
        <v>9.49</v>
      </c>
      <c r="AP35" s="127">
        <v>605</v>
      </c>
      <c r="AQ35" s="127">
        <v>32.299999999999997</v>
      </c>
      <c r="AR35" s="127">
        <v>13.92</v>
      </c>
      <c r="AS35" s="127">
        <v>605</v>
      </c>
      <c r="AT35" s="196" t="s">
        <v>52</v>
      </c>
      <c r="AU35" s="196" t="s">
        <v>52</v>
      </c>
      <c r="AV35" s="196" t="s">
        <v>52</v>
      </c>
      <c r="AW35" s="196" t="s">
        <v>52</v>
      </c>
      <c r="AX35" s="196"/>
      <c r="AY35" s="196"/>
      <c r="BA35" s="127">
        <v>1</v>
      </c>
      <c r="BB35" s="60" t="s">
        <v>86</v>
      </c>
      <c r="BC35" s="60" t="s">
        <v>86</v>
      </c>
    </row>
    <row r="36" spans="1:55" ht="17" customHeight="1" x14ac:dyDescent="0.2">
      <c r="C36">
        <v>36</v>
      </c>
      <c r="E36" t="str">
        <f>IF(coder1_YH!G36="","",TRUE)</f>
        <v/>
      </c>
      <c r="F36" t="b">
        <f>IF(coder1_YH!P36="","",TRUE)</f>
        <v>1</v>
      </c>
      <c r="G36" s="117"/>
      <c r="H36" s="117"/>
      <c r="N36" s="283" t="s">
        <v>914</v>
      </c>
      <c r="O36" s="283" t="str">
        <f t="shared" si="0"/>
        <v>.</v>
      </c>
      <c r="P36" s="127" t="s">
        <v>924</v>
      </c>
      <c r="Q36" s="127" t="s">
        <v>170</v>
      </c>
      <c r="R36" s="351">
        <v>6</v>
      </c>
      <c r="S36" s="245">
        <v>11.5</v>
      </c>
      <c r="T36" s="245">
        <v>1</v>
      </c>
      <c r="U36" s="245">
        <f>1-379/530</f>
        <v>0.28490566037735854</v>
      </c>
      <c r="V36" s="245">
        <f>358/530</f>
        <v>0.67547169811320751</v>
      </c>
      <c r="W36" s="245" t="s">
        <v>52</v>
      </c>
      <c r="X36" s="245">
        <f>309/530</f>
        <v>0.58301886792452828</v>
      </c>
      <c r="Y36" s="245">
        <f>1-456/530</f>
        <v>0.13962264150943393</v>
      </c>
      <c r="Z36" s="127" t="s">
        <v>78</v>
      </c>
      <c r="AA36" s="246" t="s">
        <v>204</v>
      </c>
      <c r="AB36" s="127" t="s">
        <v>80</v>
      </c>
      <c r="AC36" s="127" t="s">
        <v>78</v>
      </c>
      <c r="AD36" s="127" t="s">
        <v>78</v>
      </c>
      <c r="AE36" s="127" t="s">
        <v>78</v>
      </c>
      <c r="AF36" s="112" t="s">
        <v>78</v>
      </c>
      <c r="AG36" s="230"/>
      <c r="AH36" s="112" t="s">
        <v>78</v>
      </c>
      <c r="AI36" s="127" t="s">
        <v>78</v>
      </c>
      <c r="AJ36" s="127" t="s">
        <v>168</v>
      </c>
      <c r="AK36" s="127" t="s">
        <v>61</v>
      </c>
      <c r="AL36" s="60" t="s">
        <v>459</v>
      </c>
      <c r="AM36" s="146" t="s">
        <v>578</v>
      </c>
      <c r="AN36" s="127">
        <v>21.66</v>
      </c>
      <c r="AO36" s="127">
        <v>9.32</v>
      </c>
      <c r="AP36" s="127">
        <v>530</v>
      </c>
      <c r="AQ36" s="127">
        <v>30.7</v>
      </c>
      <c r="AR36" s="127">
        <v>13.86</v>
      </c>
      <c r="AS36" s="127">
        <v>530</v>
      </c>
      <c r="AT36" s="194" t="s">
        <v>52</v>
      </c>
      <c r="AU36" s="194" t="s">
        <v>52</v>
      </c>
      <c r="AV36" s="194" t="s">
        <v>52</v>
      </c>
      <c r="AW36" s="194" t="s">
        <v>52</v>
      </c>
      <c r="AX36" s="194"/>
      <c r="AY36" s="194"/>
      <c r="BA36" s="127">
        <v>1</v>
      </c>
    </row>
    <row r="37" spans="1:55" ht="17" customHeight="1" x14ac:dyDescent="0.2">
      <c r="C37">
        <v>37</v>
      </c>
      <c r="E37" t="b">
        <f>IF(coder1_YH!G37="","",TRUE)</f>
        <v>1</v>
      </c>
      <c r="F37" t="b">
        <f>IF(coder1_YH!P37="","",TRUE)</f>
        <v>1</v>
      </c>
      <c r="G37" s="315" t="s">
        <v>165</v>
      </c>
      <c r="H37" s="315">
        <v>109.2</v>
      </c>
      <c r="I37" s="88" t="s">
        <v>47</v>
      </c>
      <c r="J37" s="88" t="s">
        <v>452</v>
      </c>
      <c r="K37" s="130" t="s">
        <v>66</v>
      </c>
      <c r="L37" s="130" t="s">
        <v>49</v>
      </c>
      <c r="M37" s="88" t="s">
        <v>50</v>
      </c>
      <c r="N37" s="283" t="s">
        <v>915</v>
      </c>
      <c r="O37" s="283" t="str">
        <f t="shared" si="0"/>
        <v>cm</v>
      </c>
      <c r="P37" s="127">
        <v>1</v>
      </c>
      <c r="Q37" s="127" t="s">
        <v>172</v>
      </c>
      <c r="R37" s="351">
        <v>9</v>
      </c>
      <c r="S37" s="245">
        <v>14.5</v>
      </c>
      <c r="T37" s="245">
        <v>1</v>
      </c>
      <c r="U37" s="245">
        <f>1-417/593</f>
        <v>0.29679595278246207</v>
      </c>
      <c r="V37" s="245">
        <f>371/593</f>
        <v>0.62563237774030356</v>
      </c>
      <c r="W37" s="245" t="s">
        <v>52</v>
      </c>
      <c r="X37" s="245">
        <f>348/593</f>
        <v>0.58684654300168637</v>
      </c>
      <c r="Y37" s="245">
        <f>1-524/593</f>
        <v>0.11635750421585156</v>
      </c>
      <c r="Z37" s="187" t="s">
        <v>53</v>
      </c>
      <c r="AA37" s="246" t="s">
        <v>202</v>
      </c>
      <c r="AB37" s="127" t="s">
        <v>71</v>
      </c>
      <c r="AC37" s="127" t="s">
        <v>153</v>
      </c>
      <c r="AD37" s="127" t="s">
        <v>162</v>
      </c>
      <c r="AE37" s="127" t="s">
        <v>58</v>
      </c>
      <c r="AF37" s="237">
        <f>36*5*AH37</f>
        <v>9519.5250000000015</v>
      </c>
      <c r="AG37" s="230">
        <v>720</v>
      </c>
      <c r="AH37" s="112">
        <f>AVERAGE(45,90)*AVERAGE(0.585,0.8,0.872,0.877)</f>
        <v>52.886250000000004</v>
      </c>
      <c r="AI37" s="127" t="s">
        <v>59</v>
      </c>
      <c r="AJ37" s="127" t="s">
        <v>168</v>
      </c>
      <c r="AK37" s="127" t="s">
        <v>61</v>
      </c>
      <c r="AL37" s="60" t="s">
        <v>459</v>
      </c>
      <c r="AM37" s="146" t="s">
        <v>578</v>
      </c>
      <c r="AN37" s="127">
        <v>23.59</v>
      </c>
      <c r="AO37" s="127">
        <v>8.0500000000000007</v>
      </c>
      <c r="AP37" s="127">
        <v>593</v>
      </c>
      <c r="AQ37" s="127">
        <v>33.700000000000003</v>
      </c>
      <c r="AR37" s="127">
        <v>14.87</v>
      </c>
      <c r="AS37" s="127">
        <v>593</v>
      </c>
      <c r="AT37" s="194" t="s">
        <v>52</v>
      </c>
      <c r="AU37" s="194" t="s">
        <v>52</v>
      </c>
      <c r="AV37" s="194" t="s">
        <v>52</v>
      </c>
      <c r="AW37" s="194" t="s">
        <v>52</v>
      </c>
      <c r="AX37" s="194"/>
      <c r="AY37" s="194"/>
      <c r="BA37" s="127">
        <v>0</v>
      </c>
    </row>
    <row r="38" spans="1:55" ht="17" customHeight="1" x14ac:dyDescent="0.2">
      <c r="C38">
        <v>38</v>
      </c>
      <c r="E38" t="str">
        <f>IF(coder1_YH!G38="","",TRUE)</f>
        <v/>
      </c>
      <c r="F38" t="b">
        <f>IF(coder1_YH!P38="","",TRUE)</f>
        <v>1</v>
      </c>
      <c r="G38" s="123"/>
      <c r="H38" s="123"/>
      <c r="I38" s="89"/>
      <c r="J38" s="89"/>
      <c r="K38" s="132"/>
      <c r="L38" s="132"/>
      <c r="M38" s="89"/>
      <c r="N38" s="284" t="s">
        <v>914</v>
      </c>
      <c r="O38" s="284" t="str">
        <f t="shared" si="0"/>
        <v>.</v>
      </c>
      <c r="P38" s="128" t="s">
        <v>924</v>
      </c>
      <c r="Q38" s="128" t="s">
        <v>174</v>
      </c>
      <c r="R38" s="352">
        <v>9</v>
      </c>
      <c r="S38" s="247">
        <v>14.5</v>
      </c>
      <c r="T38" s="247">
        <v>1</v>
      </c>
      <c r="U38" s="247">
        <f>1-411/535</f>
        <v>0.23177570093457944</v>
      </c>
      <c r="V38" s="247">
        <f>327/535</f>
        <v>0.61121495327102804</v>
      </c>
      <c r="W38" s="247" t="s">
        <v>52</v>
      </c>
      <c r="X38" s="247">
        <f>295/535</f>
        <v>0.55140186915887845</v>
      </c>
      <c r="Y38" s="247">
        <f>1-464/535</f>
        <v>0.13271028037383181</v>
      </c>
      <c r="Z38" s="128" t="s">
        <v>78</v>
      </c>
      <c r="AA38" s="248" t="s">
        <v>204</v>
      </c>
      <c r="AB38" s="128" t="s">
        <v>80</v>
      </c>
      <c r="AC38" s="128" t="s">
        <v>78</v>
      </c>
      <c r="AD38" s="128" t="s">
        <v>78</v>
      </c>
      <c r="AE38" s="128" t="s">
        <v>78</v>
      </c>
      <c r="AF38" s="128" t="s">
        <v>78</v>
      </c>
      <c r="AG38" s="234"/>
      <c r="AH38" s="128" t="s">
        <v>78</v>
      </c>
      <c r="AI38" s="128" t="s">
        <v>78</v>
      </c>
      <c r="AJ38" s="128" t="s">
        <v>168</v>
      </c>
      <c r="AK38" s="128" t="s">
        <v>61</v>
      </c>
      <c r="AL38" s="60" t="s">
        <v>459</v>
      </c>
      <c r="AM38" s="147" t="s">
        <v>578</v>
      </c>
      <c r="AN38" s="128">
        <v>23.56</v>
      </c>
      <c r="AO38" s="128">
        <v>8.34</v>
      </c>
      <c r="AP38" s="128">
        <v>535</v>
      </c>
      <c r="AQ38" s="128">
        <v>32.299999999999997</v>
      </c>
      <c r="AR38" s="128">
        <v>13.83</v>
      </c>
      <c r="AS38" s="128">
        <v>535</v>
      </c>
      <c r="AT38" s="195" t="s">
        <v>52</v>
      </c>
      <c r="AU38" s="195" t="s">
        <v>52</v>
      </c>
      <c r="AV38" s="195" t="s">
        <v>52</v>
      </c>
      <c r="AW38" s="195" t="s">
        <v>52</v>
      </c>
      <c r="AX38" s="195"/>
      <c r="AY38" s="195"/>
      <c r="AZ38" s="128"/>
      <c r="BA38" s="128">
        <v>0</v>
      </c>
      <c r="BB38" s="63"/>
      <c r="BC38" s="63"/>
    </row>
    <row r="39" spans="1:55" ht="17" customHeight="1" x14ac:dyDescent="0.2">
      <c r="C39">
        <v>39</v>
      </c>
      <c r="D39" t="b">
        <f>E39</f>
        <v>1</v>
      </c>
      <c r="E39" t="b">
        <f>IF(coder1_YH!G39="","",TRUE)</f>
        <v>1</v>
      </c>
      <c r="F39" t="b">
        <f>IF(coder1_YH!P39="","",TRUE)</f>
        <v>1</v>
      </c>
      <c r="G39" s="117" t="s">
        <v>175</v>
      </c>
      <c r="H39" s="117">
        <v>110</v>
      </c>
      <c r="I39" s="88" t="s">
        <v>176</v>
      </c>
      <c r="J39" s="88" t="s">
        <v>452</v>
      </c>
      <c r="K39" s="130" t="s">
        <v>66</v>
      </c>
      <c r="L39" s="130" t="s">
        <v>49</v>
      </c>
      <c r="M39" s="88" t="s">
        <v>50</v>
      </c>
      <c r="N39" s="285" t="s">
        <v>919</v>
      </c>
      <c r="O39" s="283" t="str">
        <f t="shared" si="0"/>
        <v xml:space="preserve">m </v>
      </c>
      <c r="P39" s="127">
        <v>1</v>
      </c>
      <c r="Q39" s="127" t="s">
        <v>177</v>
      </c>
      <c r="R39" s="351">
        <v>5</v>
      </c>
      <c r="S39" s="245">
        <v>9.57</v>
      </c>
      <c r="T39" s="245">
        <v>1</v>
      </c>
      <c r="U39" s="245" t="s">
        <v>52</v>
      </c>
      <c r="V39" s="245">
        <v>1</v>
      </c>
      <c r="W39" s="245" t="s">
        <v>52</v>
      </c>
      <c r="X39" s="245">
        <f>40/76</f>
        <v>0.52631578947368418</v>
      </c>
      <c r="Y39" s="245" t="s">
        <v>52</v>
      </c>
      <c r="Z39" s="127" t="s">
        <v>92</v>
      </c>
      <c r="AA39" s="246" t="s">
        <v>178</v>
      </c>
      <c r="AB39" s="127" t="s">
        <v>71</v>
      </c>
      <c r="AC39" s="184" t="s">
        <v>153</v>
      </c>
      <c r="AD39" s="127" t="s">
        <v>162</v>
      </c>
      <c r="AE39" s="127" t="s">
        <v>58</v>
      </c>
      <c r="AF39" s="237">
        <f>6*5*AH39+2*30</f>
        <v>1860</v>
      </c>
      <c r="AG39" s="230">
        <v>6</v>
      </c>
      <c r="AH39" s="127">
        <v>60</v>
      </c>
      <c r="AI39" s="127" t="s">
        <v>148</v>
      </c>
      <c r="AJ39" s="127" t="s">
        <v>179</v>
      </c>
      <c r="AK39" s="127" t="s">
        <v>61</v>
      </c>
      <c r="AL39" s="60" t="s">
        <v>459</v>
      </c>
      <c r="AM39" s="146" t="s">
        <v>52</v>
      </c>
      <c r="AN39" s="202">
        <v>21</v>
      </c>
      <c r="AO39" s="202">
        <v>3.35</v>
      </c>
      <c r="AP39" s="251">
        <f>76/3</f>
        <v>25.333333333333332</v>
      </c>
      <c r="AQ39" s="202">
        <v>24.54</v>
      </c>
      <c r="AR39" s="202">
        <v>2.98</v>
      </c>
      <c r="AS39" s="251">
        <f>76/3</f>
        <v>25.333333333333332</v>
      </c>
      <c r="AT39" s="194" t="s">
        <v>52</v>
      </c>
      <c r="AU39" s="194" t="s">
        <v>52</v>
      </c>
      <c r="AV39" s="194" t="s">
        <v>52</v>
      </c>
      <c r="AW39" s="194" t="s">
        <v>52</v>
      </c>
      <c r="AX39" s="194"/>
      <c r="AY39" s="194"/>
      <c r="BA39" s="202">
        <v>0</v>
      </c>
      <c r="BB39" s="60" t="s">
        <v>224</v>
      </c>
      <c r="BC39" s="60" t="s">
        <v>210</v>
      </c>
    </row>
    <row r="40" spans="1:55" ht="17" customHeight="1" x14ac:dyDescent="0.2">
      <c r="C40">
        <v>40</v>
      </c>
      <c r="E40" t="str">
        <f>IF(coder1_YH!G40="","",TRUE)</f>
        <v/>
      </c>
      <c r="F40" t="str">
        <f>IF(coder1_YH!P40="","",TRUE)</f>
        <v/>
      </c>
      <c r="G40" s="117"/>
      <c r="H40" s="117"/>
      <c r="M40" s="130"/>
      <c r="O40" s="283" t="str">
        <f t="shared" si="0"/>
        <v/>
      </c>
      <c r="AG40" s="230"/>
      <c r="AJ40" s="127" t="s">
        <v>180</v>
      </c>
      <c r="AK40" s="127" t="s">
        <v>95</v>
      </c>
      <c r="AL40" s="60" t="s">
        <v>459</v>
      </c>
      <c r="AM40" s="146" t="s">
        <v>579</v>
      </c>
      <c r="AN40" s="127">
        <v>34.67</v>
      </c>
      <c r="AO40" s="127">
        <v>24.15</v>
      </c>
      <c r="AP40" s="184">
        <f>76/3</f>
        <v>25.333333333333332</v>
      </c>
      <c r="AQ40" s="127">
        <v>66.63</v>
      </c>
      <c r="AR40" s="127">
        <v>30.28</v>
      </c>
      <c r="AS40" s="184">
        <f>76/3</f>
        <v>25.333333333333332</v>
      </c>
      <c r="AT40" s="194" t="s">
        <v>52</v>
      </c>
      <c r="AU40" s="194" t="s">
        <v>52</v>
      </c>
      <c r="AV40" s="194" t="s">
        <v>52</v>
      </c>
      <c r="AW40" s="194" t="s">
        <v>52</v>
      </c>
      <c r="AX40" s="194"/>
      <c r="AY40" s="194"/>
      <c r="BA40" s="127">
        <v>0</v>
      </c>
    </row>
    <row r="41" spans="1:55" ht="17" customHeight="1" x14ac:dyDescent="0.2">
      <c r="C41">
        <v>41</v>
      </c>
      <c r="E41" t="str">
        <f>IF(coder1_YH!G41="","",TRUE)</f>
        <v/>
      </c>
      <c r="F41" t="b">
        <f>IF(coder1_YH!P41="","",TRUE)</f>
        <v>1</v>
      </c>
      <c r="G41" s="117"/>
      <c r="H41" s="117"/>
      <c r="N41" s="283" t="s">
        <v>914</v>
      </c>
      <c r="O41" s="283" t="str">
        <f t="shared" si="0"/>
        <v xml:space="preserve">m </v>
      </c>
      <c r="P41" s="127">
        <v>2</v>
      </c>
      <c r="Q41" s="127" t="s">
        <v>181</v>
      </c>
      <c r="R41" s="351">
        <v>5</v>
      </c>
      <c r="S41" s="245">
        <v>9.57</v>
      </c>
      <c r="T41" s="245">
        <v>1</v>
      </c>
      <c r="U41" s="245" t="s">
        <v>52</v>
      </c>
      <c r="V41" s="245">
        <v>1</v>
      </c>
      <c r="W41" s="245" t="s">
        <v>52</v>
      </c>
      <c r="X41" s="245">
        <f>40/76</f>
        <v>0.52631578947368418</v>
      </c>
      <c r="Y41" s="245" t="s">
        <v>52</v>
      </c>
      <c r="Z41" s="127" t="s">
        <v>92</v>
      </c>
      <c r="AA41" s="246" t="s">
        <v>178</v>
      </c>
      <c r="AB41" s="127" t="s">
        <v>71</v>
      </c>
      <c r="AC41" s="184" t="s">
        <v>153</v>
      </c>
      <c r="AD41" s="127" t="s">
        <v>162</v>
      </c>
      <c r="AE41" s="127" t="s">
        <v>58</v>
      </c>
      <c r="AF41" s="237">
        <f>6*5*AH41</f>
        <v>1800</v>
      </c>
      <c r="AG41" s="230">
        <v>6</v>
      </c>
      <c r="AH41" s="127">
        <v>60</v>
      </c>
      <c r="AI41" s="127" t="s">
        <v>148</v>
      </c>
      <c r="AJ41" s="127" t="s">
        <v>179</v>
      </c>
      <c r="AK41" s="127" t="s">
        <v>61</v>
      </c>
      <c r="AL41" s="60" t="s">
        <v>459</v>
      </c>
      <c r="AM41" s="146" t="s">
        <v>52</v>
      </c>
      <c r="AN41" s="127">
        <v>17.13</v>
      </c>
      <c r="AO41" s="127">
        <v>7.93</v>
      </c>
      <c r="AP41" s="184">
        <f t="shared" ref="AP41:AP44" si="3">76/3</f>
        <v>25.333333333333332</v>
      </c>
      <c r="AQ41" s="127">
        <v>21.65</v>
      </c>
      <c r="AR41" s="127">
        <v>6.14</v>
      </c>
      <c r="AS41" s="184">
        <f t="shared" ref="AS41:AS44" si="4">76/3</f>
        <v>25.333333333333332</v>
      </c>
      <c r="AT41" s="194" t="s">
        <v>52</v>
      </c>
      <c r="AU41" s="194" t="s">
        <v>52</v>
      </c>
      <c r="AV41" s="194" t="s">
        <v>52</v>
      </c>
      <c r="AW41" s="194" t="s">
        <v>52</v>
      </c>
      <c r="AX41" s="194"/>
      <c r="AY41" s="194"/>
      <c r="BA41" s="127">
        <v>0</v>
      </c>
    </row>
    <row r="42" spans="1:55" ht="17" customHeight="1" x14ac:dyDescent="0.2">
      <c r="C42">
        <v>42</v>
      </c>
      <c r="E42" t="str">
        <f>IF(coder1_YH!G42="","",TRUE)</f>
        <v/>
      </c>
      <c r="F42" t="str">
        <f>IF(coder1_YH!P42="","",TRUE)</f>
        <v/>
      </c>
      <c r="G42" s="117"/>
      <c r="H42" s="117"/>
      <c r="M42" s="130"/>
      <c r="O42" s="283" t="str">
        <f t="shared" si="0"/>
        <v/>
      </c>
      <c r="AG42" s="230"/>
      <c r="AJ42" s="127" t="s">
        <v>180</v>
      </c>
      <c r="AK42" s="127" t="s">
        <v>95</v>
      </c>
      <c r="AL42" s="60" t="s">
        <v>459</v>
      </c>
      <c r="AM42" s="146" t="s">
        <v>579</v>
      </c>
      <c r="AN42" s="127">
        <v>13.84</v>
      </c>
      <c r="AO42" s="127">
        <v>13.17</v>
      </c>
      <c r="AP42" s="184">
        <f t="shared" si="3"/>
        <v>25.333333333333332</v>
      </c>
      <c r="AQ42" s="127">
        <v>30.32</v>
      </c>
      <c r="AR42" s="127">
        <v>22.26</v>
      </c>
      <c r="AS42" s="184">
        <f t="shared" si="4"/>
        <v>25.333333333333332</v>
      </c>
      <c r="AT42" s="194" t="s">
        <v>52</v>
      </c>
      <c r="AU42" s="194" t="s">
        <v>52</v>
      </c>
      <c r="AV42" s="194" t="s">
        <v>52</v>
      </c>
      <c r="AW42" s="194" t="s">
        <v>52</v>
      </c>
      <c r="AX42" s="194"/>
      <c r="AY42" s="194"/>
      <c r="BA42" s="127">
        <v>0</v>
      </c>
    </row>
    <row r="43" spans="1:55" ht="17" customHeight="1" x14ac:dyDescent="0.2">
      <c r="C43">
        <v>43</v>
      </c>
      <c r="E43" t="str">
        <f>IF(coder1_YH!G43="","",TRUE)</f>
        <v/>
      </c>
      <c r="F43" t="b">
        <f>IF(coder1_YH!P43="","",TRUE)</f>
        <v>1</v>
      </c>
      <c r="G43" s="117"/>
      <c r="H43" s="117"/>
      <c r="N43" s="283" t="s">
        <v>914</v>
      </c>
      <c r="O43" s="283" t="str">
        <f t="shared" si="0"/>
        <v>.</v>
      </c>
      <c r="P43" s="127" t="s">
        <v>924</v>
      </c>
      <c r="Q43" s="127" t="s">
        <v>63</v>
      </c>
      <c r="R43" s="351">
        <v>5</v>
      </c>
      <c r="S43" s="245">
        <v>9.57</v>
      </c>
      <c r="T43" s="245">
        <v>1</v>
      </c>
      <c r="U43" s="245" t="s">
        <v>52</v>
      </c>
      <c r="V43" s="245">
        <v>1</v>
      </c>
      <c r="W43" s="245" t="s">
        <v>52</v>
      </c>
      <c r="X43" s="245">
        <f>40/76</f>
        <v>0.52631578947368418</v>
      </c>
      <c r="Y43" s="245" t="s">
        <v>52</v>
      </c>
      <c r="Z43" s="127" t="s">
        <v>78</v>
      </c>
      <c r="AA43" s="246" t="s">
        <v>182</v>
      </c>
      <c r="AB43" s="127" t="s">
        <v>80</v>
      </c>
      <c r="AC43" s="127" t="s">
        <v>78</v>
      </c>
      <c r="AD43" s="127" t="s">
        <v>78</v>
      </c>
      <c r="AE43" s="127" t="s">
        <v>78</v>
      </c>
      <c r="AF43" s="127" t="s">
        <v>78</v>
      </c>
      <c r="AG43" s="230" t="s">
        <v>78</v>
      </c>
      <c r="AH43" s="127" t="s">
        <v>78</v>
      </c>
      <c r="AI43" s="127" t="s">
        <v>78</v>
      </c>
      <c r="AJ43" s="127" t="s">
        <v>179</v>
      </c>
      <c r="AK43" s="127" t="s">
        <v>61</v>
      </c>
      <c r="AL43" s="60" t="s">
        <v>459</v>
      </c>
      <c r="AM43" s="146" t="s">
        <v>52</v>
      </c>
      <c r="AN43" s="127">
        <v>18.05</v>
      </c>
      <c r="AO43" s="127">
        <v>4.9400000000000004</v>
      </c>
      <c r="AP43" s="184">
        <f t="shared" si="3"/>
        <v>25.333333333333332</v>
      </c>
      <c r="AQ43" s="127">
        <v>17.8</v>
      </c>
      <c r="AR43" s="127">
        <v>4.93</v>
      </c>
      <c r="AS43" s="184">
        <f t="shared" si="4"/>
        <v>25.333333333333332</v>
      </c>
      <c r="AT43" s="194" t="s">
        <v>52</v>
      </c>
      <c r="AU43" s="194" t="s">
        <v>52</v>
      </c>
      <c r="AV43" s="194" t="s">
        <v>52</v>
      </c>
      <c r="AW43" s="194" t="s">
        <v>52</v>
      </c>
      <c r="AX43" s="194"/>
      <c r="AY43" s="194"/>
      <c r="BA43" s="127">
        <v>0</v>
      </c>
    </row>
    <row r="44" spans="1:55" ht="17" customHeight="1" x14ac:dyDescent="0.2">
      <c r="C44">
        <v>44</v>
      </c>
      <c r="E44" t="str">
        <f>IF(coder1_YH!G44="","",TRUE)</f>
        <v/>
      </c>
      <c r="F44" t="str">
        <f>IF(coder1_YH!P44="","",TRUE)</f>
        <v/>
      </c>
      <c r="G44" s="123"/>
      <c r="H44" s="123"/>
      <c r="I44" s="89"/>
      <c r="J44" s="89"/>
      <c r="K44" s="132"/>
      <c r="L44" s="132"/>
      <c r="M44" s="132"/>
      <c r="N44" s="284"/>
      <c r="O44" s="284" t="str">
        <f t="shared" si="0"/>
        <v/>
      </c>
      <c r="P44" s="128"/>
      <c r="Q44" s="128"/>
      <c r="R44" s="352"/>
      <c r="S44" s="247"/>
      <c r="T44" s="247"/>
      <c r="U44" s="247"/>
      <c r="V44" s="247"/>
      <c r="W44" s="247"/>
      <c r="X44" s="247"/>
      <c r="Y44" s="247"/>
      <c r="Z44" s="128"/>
      <c r="AA44" s="248"/>
      <c r="AB44" s="128"/>
      <c r="AC44" s="128"/>
      <c r="AD44" s="128"/>
      <c r="AE44" s="128"/>
      <c r="AF44" s="128"/>
      <c r="AG44" s="234"/>
      <c r="AH44" s="128"/>
      <c r="AI44" s="128"/>
      <c r="AJ44" s="128" t="s">
        <v>180</v>
      </c>
      <c r="AK44" s="128" t="s">
        <v>95</v>
      </c>
      <c r="AL44" s="60" t="s">
        <v>459</v>
      </c>
      <c r="AM44" s="147" t="s">
        <v>579</v>
      </c>
      <c r="AN44" s="128">
        <v>30.81</v>
      </c>
      <c r="AO44" s="128">
        <v>28.05</v>
      </c>
      <c r="AP44" s="185">
        <f t="shared" si="3"/>
        <v>25.333333333333332</v>
      </c>
      <c r="AQ44" s="128">
        <v>45.08</v>
      </c>
      <c r="AR44" s="128">
        <v>35.479999999999997</v>
      </c>
      <c r="AS44" s="185">
        <f t="shared" si="4"/>
        <v>25.333333333333332</v>
      </c>
      <c r="AT44" s="204" t="s">
        <v>52</v>
      </c>
      <c r="AU44" s="204" t="s">
        <v>52</v>
      </c>
      <c r="AV44" s="204" t="s">
        <v>52</v>
      </c>
      <c r="AW44" s="204" t="s">
        <v>52</v>
      </c>
      <c r="AX44" s="195"/>
      <c r="AY44" s="195"/>
      <c r="AZ44" s="128"/>
      <c r="BA44" s="128">
        <v>0</v>
      </c>
      <c r="BB44" s="63"/>
      <c r="BC44" s="63"/>
    </row>
    <row r="45" spans="1:55" ht="17" customHeight="1" x14ac:dyDescent="0.2">
      <c r="C45">
        <v>45</v>
      </c>
      <c r="D45" t="b">
        <f>E45</f>
        <v>1</v>
      </c>
      <c r="E45" t="b">
        <f>IF(coder1_YH!G45="","",TRUE)</f>
        <v>1</v>
      </c>
      <c r="F45" t="b">
        <f>IF(coder1_YH!P45="","",TRUE)</f>
        <v>1</v>
      </c>
      <c r="G45" s="117" t="s">
        <v>236</v>
      </c>
      <c r="H45" s="117">
        <v>111</v>
      </c>
      <c r="I45" s="88" t="s">
        <v>237</v>
      </c>
      <c r="J45" s="88" t="s">
        <v>452</v>
      </c>
      <c r="K45" s="130" t="s">
        <v>66</v>
      </c>
      <c r="L45" s="130" t="s">
        <v>49</v>
      </c>
      <c r="M45" s="88" t="s">
        <v>238</v>
      </c>
      <c r="N45" s="285" t="s">
        <v>915</v>
      </c>
      <c r="O45" s="283" t="str">
        <f t="shared" si="0"/>
        <v xml:space="preserve">m </v>
      </c>
      <c r="P45" s="127">
        <v>1</v>
      </c>
      <c r="Q45" s="127" t="s">
        <v>239</v>
      </c>
      <c r="R45" s="351">
        <v>5</v>
      </c>
      <c r="S45" s="245">
        <v>11</v>
      </c>
      <c r="T45" s="245" t="s">
        <v>52</v>
      </c>
      <c r="U45" s="245" t="s">
        <v>52</v>
      </c>
      <c r="V45" s="228">
        <v>1</v>
      </c>
      <c r="W45" s="245">
        <v>1</v>
      </c>
      <c r="X45" s="245">
        <v>0</v>
      </c>
      <c r="Y45" s="245" t="s">
        <v>52</v>
      </c>
      <c r="Z45" s="127" t="s">
        <v>92</v>
      </c>
      <c r="AA45" s="246" t="s">
        <v>240</v>
      </c>
      <c r="AB45" s="127" t="s">
        <v>55</v>
      </c>
      <c r="AC45" s="252" t="s">
        <v>153</v>
      </c>
      <c r="AD45" s="127" t="s">
        <v>162</v>
      </c>
      <c r="AE45" s="127" t="s">
        <v>58</v>
      </c>
      <c r="AF45" s="187">
        <f>16*5*AH45</f>
        <v>4000</v>
      </c>
      <c r="AG45" s="230">
        <v>80</v>
      </c>
      <c r="AH45" s="127">
        <v>50</v>
      </c>
      <c r="AI45" s="127" t="s">
        <v>148</v>
      </c>
      <c r="AJ45" s="127" t="s">
        <v>241</v>
      </c>
      <c r="AK45" s="127" t="s">
        <v>95</v>
      </c>
      <c r="AL45" s="60" t="s">
        <v>459</v>
      </c>
      <c r="AM45" s="146" t="s">
        <v>52</v>
      </c>
      <c r="AN45" s="202" t="s">
        <v>52</v>
      </c>
      <c r="AO45" s="202" t="s">
        <v>52</v>
      </c>
      <c r="AP45" s="202" t="s">
        <v>52</v>
      </c>
      <c r="AQ45" s="127">
        <v>82.22</v>
      </c>
      <c r="AR45" s="127">
        <v>18.12</v>
      </c>
      <c r="AS45" s="127">
        <v>32</v>
      </c>
      <c r="AT45" s="203" t="s">
        <v>52</v>
      </c>
      <c r="AU45" s="203" t="s">
        <v>52</v>
      </c>
      <c r="AV45" s="203" t="s">
        <v>52</v>
      </c>
      <c r="AW45" s="203" t="s">
        <v>52</v>
      </c>
      <c r="AX45" s="194"/>
      <c r="AY45" s="194"/>
      <c r="BA45" s="127">
        <v>0</v>
      </c>
      <c r="BB45" s="60" t="s">
        <v>242</v>
      </c>
      <c r="BC45" s="127"/>
    </row>
    <row r="46" spans="1:55" s="128" customFormat="1" ht="17" customHeight="1" x14ac:dyDescent="0.2">
      <c r="A46"/>
      <c r="B46"/>
      <c r="C46">
        <v>46</v>
      </c>
      <c r="D46"/>
      <c r="E46" t="str">
        <f>IF(coder1_YH!G46="","",TRUE)</f>
        <v/>
      </c>
      <c r="F46" t="b">
        <f>IF(coder1_YH!P46="","",TRUE)</f>
        <v>1</v>
      </c>
      <c r="G46" s="117"/>
      <c r="H46" s="117"/>
      <c r="I46" s="89"/>
      <c r="J46" s="88"/>
      <c r="K46" s="132"/>
      <c r="L46" s="132"/>
      <c r="M46" s="89"/>
      <c r="N46" s="284" t="s">
        <v>914</v>
      </c>
      <c r="O46" s="284" t="str">
        <f t="shared" si="0"/>
        <v>.</v>
      </c>
      <c r="P46" s="128" t="s">
        <v>924</v>
      </c>
      <c r="Q46" s="128" t="s">
        <v>126</v>
      </c>
      <c r="R46" s="352">
        <v>5</v>
      </c>
      <c r="S46" s="247">
        <v>11</v>
      </c>
      <c r="T46" s="247" t="s">
        <v>52</v>
      </c>
      <c r="U46" s="247" t="s">
        <v>52</v>
      </c>
      <c r="V46" s="232">
        <v>1</v>
      </c>
      <c r="W46" s="247">
        <v>1</v>
      </c>
      <c r="X46" s="247">
        <v>0</v>
      </c>
      <c r="Y46" s="247" t="s">
        <v>52</v>
      </c>
      <c r="Z46" s="128" t="s">
        <v>78</v>
      </c>
      <c r="AA46" s="248" t="s">
        <v>243</v>
      </c>
      <c r="AB46" s="128" t="s">
        <v>80</v>
      </c>
      <c r="AC46" s="128" t="s">
        <v>78</v>
      </c>
      <c r="AD46" s="128" t="s">
        <v>78</v>
      </c>
      <c r="AE46" s="128" t="s">
        <v>78</v>
      </c>
      <c r="AF46" s="128" t="s">
        <v>78</v>
      </c>
      <c r="AG46" s="234" t="s">
        <v>78</v>
      </c>
      <c r="AH46" s="128" t="s">
        <v>78</v>
      </c>
      <c r="AI46" s="128" t="s">
        <v>78</v>
      </c>
      <c r="AJ46" s="128" t="s">
        <v>241</v>
      </c>
      <c r="AK46" s="128" t="s">
        <v>95</v>
      </c>
      <c r="AL46" s="60" t="s">
        <v>459</v>
      </c>
      <c r="AM46" s="146" t="s">
        <v>52</v>
      </c>
      <c r="AN46" s="128" t="s">
        <v>52</v>
      </c>
      <c r="AO46" s="128" t="s">
        <v>52</v>
      </c>
      <c r="AP46" s="128" t="s">
        <v>52</v>
      </c>
      <c r="AQ46" s="128">
        <v>47.18</v>
      </c>
      <c r="AR46" s="128">
        <v>23.85</v>
      </c>
      <c r="AS46" s="128">
        <v>34</v>
      </c>
      <c r="AT46" s="203" t="s">
        <v>52</v>
      </c>
      <c r="AU46" s="203" t="s">
        <v>52</v>
      </c>
      <c r="AV46" s="203" t="s">
        <v>52</v>
      </c>
      <c r="AW46" s="203" t="s">
        <v>52</v>
      </c>
      <c r="AX46" s="194"/>
      <c r="AY46" s="194"/>
      <c r="BA46" s="128">
        <v>0</v>
      </c>
      <c r="BB46" s="63"/>
    </row>
    <row r="47" spans="1:55" ht="17" customHeight="1" x14ac:dyDescent="0.2">
      <c r="C47">
        <v>47</v>
      </c>
      <c r="D47" t="b">
        <f>E47</f>
        <v>1</v>
      </c>
      <c r="E47" t="b">
        <f>IF(coder1_YH!G47="","",TRUE)</f>
        <v>1</v>
      </c>
      <c r="F47" t="b">
        <f>IF(coder1_YH!P47="","",TRUE)</f>
        <v>1</v>
      </c>
      <c r="G47" s="315" t="s">
        <v>273</v>
      </c>
      <c r="H47" s="315">
        <v>112</v>
      </c>
      <c r="I47" s="88" t="s">
        <v>244</v>
      </c>
      <c r="J47" s="144" t="s">
        <v>533</v>
      </c>
      <c r="K47" s="130" t="s">
        <v>66</v>
      </c>
      <c r="L47" s="130" t="s">
        <v>49</v>
      </c>
      <c r="M47" s="88" t="s">
        <v>238</v>
      </c>
      <c r="N47" s="283" t="s">
        <v>915</v>
      </c>
      <c r="O47" s="283" t="str">
        <f t="shared" si="0"/>
        <v xml:space="preserve">m </v>
      </c>
      <c r="P47" s="127">
        <v>1</v>
      </c>
      <c r="Q47" s="127" t="s">
        <v>245</v>
      </c>
      <c r="R47" s="351">
        <v>3</v>
      </c>
      <c r="S47" s="250">
        <v>8.5</v>
      </c>
      <c r="T47" s="250" t="s">
        <v>52</v>
      </c>
      <c r="U47" s="250" t="s">
        <v>52</v>
      </c>
      <c r="V47" s="253" t="s">
        <v>52</v>
      </c>
      <c r="W47" s="250" t="s">
        <v>52</v>
      </c>
      <c r="X47" s="250" t="s">
        <v>52</v>
      </c>
      <c r="Y47" s="250">
        <v>0.1</v>
      </c>
      <c r="Z47" s="127" t="s">
        <v>92</v>
      </c>
      <c r="AA47" s="246" t="s">
        <v>246</v>
      </c>
      <c r="AB47" s="127" t="s">
        <v>71</v>
      </c>
      <c r="AC47" s="127" t="s">
        <v>56</v>
      </c>
      <c r="AD47" s="127" t="s">
        <v>162</v>
      </c>
      <c r="AE47" s="127" t="s">
        <v>58</v>
      </c>
      <c r="AF47" s="127" t="s">
        <v>289</v>
      </c>
      <c r="AG47" s="230">
        <v>40</v>
      </c>
      <c r="AH47" s="127" t="s">
        <v>247</v>
      </c>
      <c r="AI47" s="127" t="s">
        <v>59</v>
      </c>
      <c r="AJ47" s="127" t="s">
        <v>248</v>
      </c>
      <c r="AK47" s="127" t="s">
        <v>61</v>
      </c>
      <c r="AL47" s="60" t="s">
        <v>459</v>
      </c>
      <c r="AM47" s="148" t="s">
        <v>580</v>
      </c>
      <c r="AN47" s="127">
        <v>17.8</v>
      </c>
      <c r="AO47" s="127">
        <v>5.58</v>
      </c>
      <c r="AP47" s="198">
        <v>155</v>
      </c>
      <c r="AQ47" s="198">
        <v>21.47</v>
      </c>
      <c r="AR47" s="198">
        <v>5.75</v>
      </c>
      <c r="AS47" s="198">
        <v>155</v>
      </c>
      <c r="AT47" s="211" t="s">
        <v>52</v>
      </c>
      <c r="AU47" s="211" t="s">
        <v>52</v>
      </c>
      <c r="AV47" s="211" t="s">
        <v>52</v>
      </c>
      <c r="AW47" s="211" t="s">
        <v>52</v>
      </c>
      <c r="AX47" s="196"/>
      <c r="AY47" s="196"/>
      <c r="BA47" s="127">
        <v>0</v>
      </c>
      <c r="BB47" s="60" t="s">
        <v>74</v>
      </c>
      <c r="BC47" s="127"/>
    </row>
    <row r="48" spans="1:55" s="128" customFormat="1" ht="17" customHeight="1" x14ac:dyDescent="0.2">
      <c r="A48"/>
      <c r="B48"/>
      <c r="C48">
        <v>48</v>
      </c>
      <c r="D48"/>
      <c r="E48" t="str">
        <f>IF(coder1_YH!G48="","",TRUE)</f>
        <v/>
      </c>
      <c r="F48" t="b">
        <f>IF(coder1_YH!P48="","",TRUE)</f>
        <v>1</v>
      </c>
      <c r="G48" s="123"/>
      <c r="H48" s="123"/>
      <c r="I48" s="89"/>
      <c r="J48" s="89"/>
      <c r="K48" s="132"/>
      <c r="L48" s="132"/>
      <c r="M48" s="89"/>
      <c r="N48" s="284" t="s">
        <v>914</v>
      </c>
      <c r="O48" s="284" t="str">
        <f t="shared" si="0"/>
        <v xml:space="preserve">m </v>
      </c>
      <c r="P48" s="128" t="s">
        <v>924</v>
      </c>
      <c r="Q48" s="128" t="s">
        <v>249</v>
      </c>
      <c r="R48" s="352">
        <v>3</v>
      </c>
      <c r="S48" s="247">
        <v>8.5</v>
      </c>
      <c r="T48" s="247" t="s">
        <v>52</v>
      </c>
      <c r="U48" s="247" t="s">
        <v>52</v>
      </c>
      <c r="V48" s="232" t="s">
        <v>52</v>
      </c>
      <c r="W48" s="247" t="s">
        <v>52</v>
      </c>
      <c r="X48" s="247" t="s">
        <v>52</v>
      </c>
      <c r="Y48" s="247">
        <v>0.1</v>
      </c>
      <c r="Z48" s="128" t="s">
        <v>92</v>
      </c>
      <c r="AA48" s="248" t="s">
        <v>250</v>
      </c>
      <c r="AB48" s="128" t="s">
        <v>80</v>
      </c>
      <c r="AC48" s="128" t="s">
        <v>78</v>
      </c>
      <c r="AD48" s="128" t="s">
        <v>78</v>
      </c>
      <c r="AE48" s="128" t="s">
        <v>78</v>
      </c>
      <c r="AF48" s="128" t="s">
        <v>78</v>
      </c>
      <c r="AG48" s="234" t="s">
        <v>78</v>
      </c>
      <c r="AH48" s="128" t="s">
        <v>78</v>
      </c>
      <c r="AI48" s="128" t="s">
        <v>78</v>
      </c>
      <c r="AJ48" s="128" t="s">
        <v>248</v>
      </c>
      <c r="AK48" s="128" t="s">
        <v>61</v>
      </c>
      <c r="AL48" s="60" t="s">
        <v>459</v>
      </c>
      <c r="AM48" s="147" t="s">
        <v>580</v>
      </c>
      <c r="AN48" s="128">
        <v>18.18</v>
      </c>
      <c r="AO48" s="128">
        <v>5.88</v>
      </c>
      <c r="AP48" s="113">
        <v>172</v>
      </c>
      <c r="AQ48" s="113">
        <v>21.66</v>
      </c>
      <c r="AR48" s="113">
        <v>6.02</v>
      </c>
      <c r="AS48" s="113">
        <v>172</v>
      </c>
      <c r="AT48" s="204" t="s">
        <v>52</v>
      </c>
      <c r="AU48" s="204" t="s">
        <v>52</v>
      </c>
      <c r="AV48" s="204" t="s">
        <v>52</v>
      </c>
      <c r="AW48" s="204" t="s">
        <v>52</v>
      </c>
      <c r="AX48" s="195"/>
      <c r="AY48" s="195"/>
      <c r="BA48" s="128">
        <v>0</v>
      </c>
      <c r="BB48" s="63"/>
    </row>
    <row r="49" spans="1:56" ht="17" customHeight="1" x14ac:dyDescent="0.2">
      <c r="C49">
        <v>49</v>
      </c>
      <c r="D49" t="b">
        <f>E49</f>
        <v>1</v>
      </c>
      <c r="E49" t="b">
        <f>IF(coder1_YH!G49="","",TRUE)</f>
        <v>1</v>
      </c>
      <c r="F49" t="b">
        <f>IF(coder1_YH!P49="","",TRUE)</f>
        <v>1</v>
      </c>
      <c r="G49" s="316" t="s">
        <v>251</v>
      </c>
      <c r="H49" s="316">
        <v>113</v>
      </c>
      <c r="I49" s="88" t="s">
        <v>47</v>
      </c>
      <c r="J49" s="88" t="s">
        <v>452</v>
      </c>
      <c r="K49" s="130" t="s">
        <v>66</v>
      </c>
      <c r="L49" s="130" t="s">
        <v>49</v>
      </c>
      <c r="M49" s="88" t="s">
        <v>238</v>
      </c>
      <c r="N49" s="285" t="s">
        <v>915</v>
      </c>
      <c r="O49" s="283" t="str">
        <f t="shared" si="0"/>
        <v xml:space="preserve">m </v>
      </c>
      <c r="P49" s="127">
        <v>1</v>
      </c>
      <c r="Q49" s="127" t="s">
        <v>252</v>
      </c>
      <c r="R49" s="351">
        <v>4</v>
      </c>
      <c r="S49" s="245">
        <v>9.5</v>
      </c>
      <c r="T49" s="245" t="s">
        <v>52</v>
      </c>
      <c r="U49" s="245" t="s">
        <v>52</v>
      </c>
      <c r="V49" s="228" t="s">
        <v>52</v>
      </c>
      <c r="W49" s="245" t="s">
        <v>52</v>
      </c>
      <c r="X49" s="245" t="s">
        <v>52</v>
      </c>
      <c r="Y49" s="245">
        <f>1-0.68</f>
        <v>0.31999999999999995</v>
      </c>
      <c r="Z49" s="127" t="s">
        <v>92</v>
      </c>
      <c r="AA49" s="246" t="s">
        <v>253</v>
      </c>
      <c r="AB49" s="127" t="s">
        <v>55</v>
      </c>
      <c r="AC49" s="127" t="s">
        <v>153</v>
      </c>
      <c r="AD49" s="127" t="s">
        <v>162</v>
      </c>
      <c r="AE49" s="127" t="s">
        <v>58</v>
      </c>
      <c r="AF49" s="127">
        <f>12*5*AH49</f>
        <v>5400</v>
      </c>
      <c r="AG49" s="230">
        <v>60</v>
      </c>
      <c r="AH49" s="127">
        <v>90</v>
      </c>
      <c r="AI49" s="127" t="s">
        <v>59</v>
      </c>
      <c r="AJ49" s="127" t="s">
        <v>254</v>
      </c>
      <c r="AK49" s="127" t="s">
        <v>61</v>
      </c>
      <c r="AL49" s="118" t="s">
        <v>459</v>
      </c>
      <c r="AM49" s="149" t="s">
        <v>52</v>
      </c>
      <c r="AN49" s="202" t="s">
        <v>52</v>
      </c>
      <c r="AO49" s="202" t="s">
        <v>52</v>
      </c>
      <c r="AP49" s="127" t="s">
        <v>52</v>
      </c>
      <c r="AQ49" s="79">
        <v>516.6</v>
      </c>
      <c r="AR49" s="79">
        <v>28.39</v>
      </c>
      <c r="AS49" s="112">
        <f>492*(5/(5+7+3))</f>
        <v>164</v>
      </c>
      <c r="AT49" s="203" t="s">
        <v>52</v>
      </c>
      <c r="AU49" s="203" t="s">
        <v>52</v>
      </c>
      <c r="AV49" s="203" t="s">
        <v>52</v>
      </c>
      <c r="AW49" s="203" t="s">
        <v>52</v>
      </c>
      <c r="AX49" s="197"/>
      <c r="AY49" s="197"/>
      <c r="BA49" s="127">
        <v>0</v>
      </c>
      <c r="BB49" s="60" t="s">
        <v>255</v>
      </c>
      <c r="BC49" s="127"/>
    </row>
    <row r="50" spans="1:56" ht="17" customHeight="1" x14ac:dyDescent="0.2">
      <c r="A50" t="s">
        <v>987</v>
      </c>
      <c r="B50" s="376" t="s">
        <v>949</v>
      </c>
      <c r="C50">
        <v>50</v>
      </c>
      <c r="E50" t="str">
        <f>IF(coder1_YH!G50="","",TRUE)</f>
        <v/>
      </c>
      <c r="F50" t="str">
        <f>IF(coder1_YH!P50="","",TRUE)</f>
        <v/>
      </c>
      <c r="G50" s="316"/>
      <c r="H50" s="316"/>
      <c r="J50" s="145"/>
      <c r="M50" s="130"/>
      <c r="O50" s="283" t="str">
        <f t="shared" si="0"/>
        <v/>
      </c>
      <c r="V50" s="228"/>
      <c r="AG50" s="230"/>
      <c r="AJ50" s="127" t="s">
        <v>256</v>
      </c>
      <c r="AK50" s="127" t="s">
        <v>95</v>
      </c>
      <c r="AL50" s="118" t="s">
        <v>459</v>
      </c>
      <c r="AM50" s="149" t="s">
        <v>581</v>
      </c>
      <c r="AN50" s="127" t="s">
        <v>52</v>
      </c>
      <c r="AO50" s="127" t="s">
        <v>52</v>
      </c>
      <c r="AP50" s="127" t="s">
        <v>52</v>
      </c>
      <c r="AQ50" s="379">
        <v>4.3</v>
      </c>
      <c r="AR50" s="379">
        <v>0.67</v>
      </c>
      <c r="AS50" s="380">
        <f>492*(5/(5+7+3))</f>
        <v>164</v>
      </c>
      <c r="AT50" s="203" t="s">
        <v>52</v>
      </c>
      <c r="AU50" s="203" t="s">
        <v>52</v>
      </c>
      <c r="AV50" s="203" t="s">
        <v>52</v>
      </c>
      <c r="AW50" s="203" t="s">
        <v>52</v>
      </c>
      <c r="AX50" s="197"/>
      <c r="AY50" s="197"/>
      <c r="BA50" s="127">
        <v>0</v>
      </c>
      <c r="BB50" s="60" t="s">
        <v>74</v>
      </c>
      <c r="BC50" s="127"/>
    </row>
    <row r="51" spans="1:56" ht="17" customHeight="1" x14ac:dyDescent="0.2">
      <c r="C51">
        <v>51</v>
      </c>
      <c r="E51" t="str">
        <f>IF(coder1_YH!G51="","",TRUE)</f>
        <v/>
      </c>
      <c r="F51" t="b">
        <f>IF(coder1_YH!P51="","",TRUE)</f>
        <v>1</v>
      </c>
      <c r="G51" s="316"/>
      <c r="H51" s="316"/>
      <c r="J51" s="145"/>
      <c r="N51" s="283" t="s">
        <v>914</v>
      </c>
      <c r="O51" s="283" t="str">
        <f t="shared" si="0"/>
        <v xml:space="preserve">m </v>
      </c>
      <c r="P51" s="127">
        <v>2</v>
      </c>
      <c r="Q51" s="127" t="s">
        <v>257</v>
      </c>
      <c r="R51" s="351">
        <v>4</v>
      </c>
      <c r="S51" s="245">
        <v>9.5</v>
      </c>
      <c r="T51" s="245" t="s">
        <v>52</v>
      </c>
      <c r="U51" s="245" t="s">
        <v>52</v>
      </c>
      <c r="V51" s="228" t="s">
        <v>52</v>
      </c>
      <c r="W51" s="245" t="s">
        <v>52</v>
      </c>
      <c r="X51" s="245" t="s">
        <v>52</v>
      </c>
      <c r="Y51" s="245">
        <f>1-0.68</f>
        <v>0.31999999999999995</v>
      </c>
      <c r="Z51" s="127" t="s">
        <v>92</v>
      </c>
      <c r="AA51" s="246" t="s">
        <v>258</v>
      </c>
      <c r="AB51" s="127" t="s">
        <v>55</v>
      </c>
      <c r="AC51" s="127" t="s">
        <v>153</v>
      </c>
      <c r="AD51" s="127" t="s">
        <v>162</v>
      </c>
      <c r="AE51" s="127" t="s">
        <v>58</v>
      </c>
      <c r="AF51" s="127">
        <f>12*5*AH51</f>
        <v>5400</v>
      </c>
      <c r="AG51" s="230">
        <v>60</v>
      </c>
      <c r="AH51" s="127">
        <v>90</v>
      </c>
      <c r="AI51" s="127" t="s">
        <v>59</v>
      </c>
      <c r="AJ51" s="127" t="s">
        <v>254</v>
      </c>
      <c r="AK51" s="127" t="s">
        <v>61</v>
      </c>
      <c r="AL51" s="118" t="s">
        <v>459</v>
      </c>
      <c r="AM51" s="149" t="s">
        <v>52</v>
      </c>
      <c r="AN51" s="127" t="s">
        <v>52</v>
      </c>
      <c r="AO51" s="127" t="s">
        <v>52</v>
      </c>
      <c r="AP51" s="127" t="s">
        <v>52</v>
      </c>
      <c r="AQ51" s="79">
        <v>484.86</v>
      </c>
      <c r="AR51" s="79">
        <v>16.78</v>
      </c>
      <c r="AS51" s="112">
        <f>492*(7/(5+7+3))</f>
        <v>229.6</v>
      </c>
      <c r="AT51" s="203" t="s">
        <v>52</v>
      </c>
      <c r="AU51" s="203" t="s">
        <v>52</v>
      </c>
      <c r="AV51" s="203" t="s">
        <v>52</v>
      </c>
      <c r="AW51" s="203" t="s">
        <v>52</v>
      </c>
      <c r="AX51" s="197"/>
      <c r="AY51" s="197"/>
      <c r="BA51" s="127">
        <v>0</v>
      </c>
      <c r="BB51" s="60" t="s">
        <v>259</v>
      </c>
      <c r="BC51" s="127"/>
    </row>
    <row r="52" spans="1:56" ht="17" customHeight="1" x14ac:dyDescent="0.2">
      <c r="C52">
        <v>52</v>
      </c>
      <c r="E52" t="str">
        <f>IF(coder1_YH!G52="","",TRUE)</f>
        <v/>
      </c>
      <c r="F52" t="str">
        <f>IF(coder1_YH!P52="","",TRUE)</f>
        <v/>
      </c>
      <c r="G52" s="316"/>
      <c r="H52" s="316"/>
      <c r="J52" s="145"/>
      <c r="M52" s="130"/>
      <c r="O52" s="283" t="str">
        <f t="shared" si="0"/>
        <v/>
      </c>
      <c r="V52" s="228"/>
      <c r="AG52" s="230"/>
      <c r="AJ52" s="127" t="s">
        <v>256</v>
      </c>
      <c r="AK52" s="127" t="s">
        <v>95</v>
      </c>
      <c r="AL52" s="118" t="s">
        <v>459</v>
      </c>
      <c r="AM52" s="149" t="s">
        <v>581</v>
      </c>
      <c r="AN52" s="127" t="s">
        <v>52</v>
      </c>
      <c r="AO52" s="127" t="s">
        <v>52</v>
      </c>
      <c r="AP52" s="127" t="s">
        <v>52</v>
      </c>
      <c r="AQ52" s="79">
        <v>3</v>
      </c>
      <c r="AR52" s="79">
        <v>0</v>
      </c>
      <c r="AS52" s="112">
        <f>492*(7/(5+7+3))</f>
        <v>229.6</v>
      </c>
      <c r="AT52" s="203" t="s">
        <v>52</v>
      </c>
      <c r="AU52" s="203" t="s">
        <v>52</v>
      </c>
      <c r="AV52" s="203" t="s">
        <v>52</v>
      </c>
      <c r="AW52" s="203" t="s">
        <v>52</v>
      </c>
      <c r="AX52" s="197"/>
      <c r="AY52" s="197"/>
      <c r="BA52" s="127">
        <v>0</v>
      </c>
      <c r="BC52" s="127"/>
    </row>
    <row r="53" spans="1:56" ht="17" customHeight="1" x14ac:dyDescent="0.2">
      <c r="C53">
        <v>53</v>
      </c>
      <c r="E53" t="str">
        <f>IF(coder1_YH!G53="","",TRUE)</f>
        <v/>
      </c>
      <c r="F53" t="b">
        <f>IF(coder1_YH!P53="","",TRUE)</f>
        <v>1</v>
      </c>
      <c r="G53" s="316"/>
      <c r="H53" s="316"/>
      <c r="J53" s="145"/>
      <c r="N53" s="283" t="s">
        <v>914</v>
      </c>
      <c r="O53" s="283" t="str">
        <f t="shared" si="0"/>
        <v>.</v>
      </c>
      <c r="P53" s="127" t="s">
        <v>924</v>
      </c>
      <c r="Q53" s="127" t="s">
        <v>260</v>
      </c>
      <c r="R53" s="351">
        <v>4</v>
      </c>
      <c r="S53" s="245">
        <v>9.5</v>
      </c>
      <c r="T53" s="245" t="s">
        <v>52</v>
      </c>
      <c r="U53" s="245" t="s">
        <v>52</v>
      </c>
      <c r="V53" s="228" t="s">
        <v>52</v>
      </c>
      <c r="W53" s="245" t="s">
        <v>52</v>
      </c>
      <c r="X53" s="245" t="s">
        <v>52</v>
      </c>
      <c r="Y53" s="245">
        <f>1-0.68</f>
        <v>0.31999999999999995</v>
      </c>
      <c r="Z53" s="127" t="s">
        <v>78</v>
      </c>
      <c r="AA53" s="246" t="s">
        <v>261</v>
      </c>
      <c r="AB53" s="127" t="s">
        <v>80</v>
      </c>
      <c r="AC53" s="127" t="s">
        <v>78</v>
      </c>
      <c r="AD53" s="127" t="s">
        <v>78</v>
      </c>
      <c r="AE53" s="127" t="s">
        <v>78</v>
      </c>
      <c r="AF53" s="127" t="s">
        <v>78</v>
      </c>
      <c r="AG53" s="230" t="s">
        <v>78</v>
      </c>
      <c r="AH53" s="127" t="s">
        <v>78</v>
      </c>
      <c r="AI53" s="127" t="s">
        <v>78</v>
      </c>
      <c r="AJ53" s="127" t="s">
        <v>254</v>
      </c>
      <c r="AK53" s="127" t="s">
        <v>61</v>
      </c>
      <c r="AL53" s="118" t="s">
        <v>459</v>
      </c>
      <c r="AM53" s="149" t="s">
        <v>52</v>
      </c>
      <c r="AN53" s="127" t="s">
        <v>52</v>
      </c>
      <c r="AO53" s="127" t="s">
        <v>52</v>
      </c>
      <c r="AP53" s="127" t="s">
        <v>52</v>
      </c>
      <c r="AQ53" s="79">
        <v>484</v>
      </c>
      <c r="AR53" s="79">
        <v>8.7200000000000006</v>
      </c>
      <c r="AS53" s="112">
        <f>492*(3/(5+7+3))</f>
        <v>98.4</v>
      </c>
      <c r="AT53" s="203" t="s">
        <v>52</v>
      </c>
      <c r="AU53" s="203" t="s">
        <v>52</v>
      </c>
      <c r="AV53" s="203" t="s">
        <v>52</v>
      </c>
      <c r="AW53" s="203" t="s">
        <v>52</v>
      </c>
      <c r="AX53" s="197"/>
      <c r="AY53" s="197"/>
      <c r="BA53" s="127">
        <v>0</v>
      </c>
      <c r="BC53" s="127"/>
    </row>
    <row r="54" spans="1:56" s="128" customFormat="1" ht="17" customHeight="1" x14ac:dyDescent="0.2">
      <c r="A54"/>
      <c r="B54"/>
      <c r="C54">
        <v>54</v>
      </c>
      <c r="D54"/>
      <c r="E54" t="str">
        <f>IF(coder1_YH!G54="","",TRUE)</f>
        <v/>
      </c>
      <c r="F54" t="str">
        <f>IF(coder1_YH!P54="","",TRUE)</f>
        <v/>
      </c>
      <c r="G54" s="316"/>
      <c r="H54" s="316"/>
      <c r="I54" s="89"/>
      <c r="J54" s="145"/>
      <c r="K54" s="132"/>
      <c r="L54" s="132"/>
      <c r="M54" s="132"/>
      <c r="N54" s="284"/>
      <c r="O54" s="284" t="str">
        <f t="shared" si="0"/>
        <v/>
      </c>
      <c r="R54" s="352"/>
      <c r="S54" s="247"/>
      <c r="T54" s="247"/>
      <c r="U54" s="247"/>
      <c r="V54" s="232"/>
      <c r="W54" s="247"/>
      <c r="X54" s="247"/>
      <c r="Y54" s="247"/>
      <c r="AA54" s="248"/>
      <c r="AG54" s="234"/>
      <c r="AJ54" s="128" t="s">
        <v>256</v>
      </c>
      <c r="AK54" s="128" t="s">
        <v>95</v>
      </c>
      <c r="AL54" s="118" t="s">
        <v>459</v>
      </c>
      <c r="AM54" s="149" t="s">
        <v>581</v>
      </c>
      <c r="AN54" s="128" t="s">
        <v>52</v>
      </c>
      <c r="AO54" s="128" t="s">
        <v>52</v>
      </c>
      <c r="AP54" s="128" t="s">
        <v>52</v>
      </c>
      <c r="AQ54" s="381">
        <v>2.67</v>
      </c>
      <c r="AR54" s="381">
        <v>0.57999999999999996</v>
      </c>
      <c r="AS54" s="382">
        <f>492*(3/(5+7+3))</f>
        <v>98.4</v>
      </c>
      <c r="AT54" s="203" t="s">
        <v>52</v>
      </c>
      <c r="AU54" s="203" t="s">
        <v>52</v>
      </c>
      <c r="AV54" s="203" t="s">
        <v>52</v>
      </c>
      <c r="AW54" s="203" t="s">
        <v>52</v>
      </c>
      <c r="AX54" s="197"/>
      <c r="AY54" s="197"/>
      <c r="BA54" s="128">
        <v>0</v>
      </c>
      <c r="BB54" s="63"/>
    </row>
    <row r="55" spans="1:56" ht="17" customHeight="1" x14ac:dyDescent="0.2">
      <c r="C55">
        <v>55</v>
      </c>
      <c r="D55" t="b">
        <f>E55</f>
        <v>1</v>
      </c>
      <c r="E55" t="b">
        <f>IF(coder1_YH!G55="","",TRUE)</f>
        <v>1</v>
      </c>
      <c r="F55" t="b">
        <f>IF(coder1_YH!P55="","",TRUE)</f>
        <v>1</v>
      </c>
      <c r="G55" s="315" t="s">
        <v>287</v>
      </c>
      <c r="H55" s="315">
        <v>114</v>
      </c>
      <c r="I55" s="88" t="s">
        <v>262</v>
      </c>
      <c r="J55" s="144" t="s">
        <v>569</v>
      </c>
      <c r="K55" s="130" t="s">
        <v>66</v>
      </c>
      <c r="L55" s="130" t="s">
        <v>49</v>
      </c>
      <c r="M55" s="99" t="s">
        <v>238</v>
      </c>
      <c r="N55" s="283" t="s">
        <v>915</v>
      </c>
      <c r="O55" s="283" t="str">
        <f t="shared" si="0"/>
        <v>cm</v>
      </c>
      <c r="P55" s="127">
        <v>1</v>
      </c>
      <c r="Q55" s="127" t="s">
        <v>263</v>
      </c>
      <c r="R55" s="351">
        <v>1</v>
      </c>
      <c r="S55" s="243">
        <f>7+6/12</f>
        <v>7.5</v>
      </c>
      <c r="T55" s="245">
        <v>0</v>
      </c>
      <c r="U55" s="245">
        <v>0</v>
      </c>
      <c r="V55" s="245">
        <v>0</v>
      </c>
      <c r="W55" s="254">
        <v>0</v>
      </c>
      <c r="X55" s="245">
        <f>13/29</f>
        <v>0.44827586206896552</v>
      </c>
      <c r="Y55" s="254">
        <v>0</v>
      </c>
      <c r="Z55" s="255" t="s">
        <v>53</v>
      </c>
      <c r="AA55" s="246" t="s">
        <v>264</v>
      </c>
      <c r="AB55" s="255" t="s">
        <v>71</v>
      </c>
      <c r="AC55" s="127" t="s">
        <v>153</v>
      </c>
      <c r="AD55" s="127" t="s">
        <v>162</v>
      </c>
      <c r="AE55" s="127" t="s">
        <v>58</v>
      </c>
      <c r="AF55" s="127">
        <f>(4*6)*(5*2)*AH55</f>
        <v>10800</v>
      </c>
      <c r="AG55" s="230">
        <v>120</v>
      </c>
      <c r="AH55" s="184">
        <v>45</v>
      </c>
      <c r="AI55" s="127" t="s">
        <v>148</v>
      </c>
      <c r="AJ55" s="127" t="s">
        <v>265</v>
      </c>
      <c r="AK55" s="127" t="s">
        <v>61</v>
      </c>
      <c r="AL55" s="60" t="s">
        <v>459</v>
      </c>
      <c r="AM55" s="148" t="s">
        <v>582</v>
      </c>
      <c r="AN55" s="127" t="s">
        <v>52</v>
      </c>
      <c r="AO55" s="127" t="s">
        <v>52</v>
      </c>
      <c r="AP55" s="127" t="s">
        <v>52</v>
      </c>
      <c r="AQ55" s="127">
        <v>84.55</v>
      </c>
      <c r="AR55" s="127">
        <v>8.77</v>
      </c>
      <c r="AS55" s="127">
        <v>29</v>
      </c>
      <c r="AT55" s="196" t="s">
        <v>52</v>
      </c>
      <c r="AU55" s="196" t="s">
        <v>52</v>
      </c>
      <c r="AV55" s="196" t="s">
        <v>52</v>
      </c>
      <c r="AW55" s="196" t="s">
        <v>52</v>
      </c>
      <c r="AX55" s="196"/>
      <c r="AY55" s="196"/>
      <c r="BA55" s="127">
        <v>0</v>
      </c>
      <c r="BB55" s="60" t="s">
        <v>266</v>
      </c>
      <c r="BC55" s="127"/>
    </row>
    <row r="56" spans="1:56" s="128" customFormat="1" ht="17" customHeight="1" x14ac:dyDescent="0.2">
      <c r="A56"/>
      <c r="B56"/>
      <c r="C56">
        <v>56</v>
      </c>
      <c r="D56"/>
      <c r="E56" t="str">
        <f>IF(coder1_YH!G56="","",TRUE)</f>
        <v/>
      </c>
      <c r="F56" t="b">
        <f>IF(coder1_YH!P56="","",TRUE)</f>
        <v>1</v>
      </c>
      <c r="G56" s="317"/>
      <c r="H56" s="123"/>
      <c r="I56" s="89"/>
      <c r="J56" s="89"/>
      <c r="K56" s="132"/>
      <c r="L56" s="132"/>
      <c r="M56" s="89"/>
      <c r="N56" s="284" t="s">
        <v>914</v>
      </c>
      <c r="O56" s="284" t="str">
        <f t="shared" si="0"/>
        <v>.</v>
      </c>
      <c r="P56" s="128" t="s">
        <v>924</v>
      </c>
      <c r="Q56" s="128" t="s">
        <v>267</v>
      </c>
      <c r="R56" s="352">
        <v>1</v>
      </c>
      <c r="S56" s="244">
        <f>7+6/12</f>
        <v>7.5</v>
      </c>
      <c r="T56" s="247">
        <v>0</v>
      </c>
      <c r="U56" s="247">
        <v>0</v>
      </c>
      <c r="V56" s="247">
        <v>0</v>
      </c>
      <c r="W56" s="256">
        <v>0</v>
      </c>
      <c r="X56" s="247">
        <f>10/29</f>
        <v>0.34482758620689657</v>
      </c>
      <c r="Y56" s="256">
        <v>0</v>
      </c>
      <c r="Z56" s="128" t="s">
        <v>78</v>
      </c>
      <c r="AA56" s="248" t="s">
        <v>268</v>
      </c>
      <c r="AB56" s="128" t="s">
        <v>80</v>
      </c>
      <c r="AC56" s="128" t="s">
        <v>78</v>
      </c>
      <c r="AD56" s="128" t="s">
        <v>78</v>
      </c>
      <c r="AE56" s="128" t="s">
        <v>78</v>
      </c>
      <c r="AF56" s="128" t="s">
        <v>78</v>
      </c>
      <c r="AG56" s="234" t="s">
        <v>78</v>
      </c>
      <c r="AH56" s="128" t="s">
        <v>78</v>
      </c>
      <c r="AI56" s="128" t="s">
        <v>78</v>
      </c>
      <c r="AJ56" s="128" t="s">
        <v>265</v>
      </c>
      <c r="AK56" s="128" t="s">
        <v>61</v>
      </c>
      <c r="AL56" s="60" t="s">
        <v>459</v>
      </c>
      <c r="AM56" s="147" t="s">
        <v>582</v>
      </c>
      <c r="AN56" s="128" t="s">
        <v>52</v>
      </c>
      <c r="AO56" s="128" t="s">
        <v>52</v>
      </c>
      <c r="AP56" s="128" t="s">
        <v>52</v>
      </c>
      <c r="AQ56" s="128">
        <v>60.67</v>
      </c>
      <c r="AR56" s="128">
        <v>22.73</v>
      </c>
      <c r="AS56" s="128">
        <v>29</v>
      </c>
      <c r="AT56" s="195" t="s">
        <v>52</v>
      </c>
      <c r="AU56" s="195" t="s">
        <v>52</v>
      </c>
      <c r="AV56" s="195" t="s">
        <v>52</v>
      </c>
      <c r="AW56" s="195" t="s">
        <v>52</v>
      </c>
      <c r="AX56" s="195"/>
      <c r="AY56" s="195"/>
      <c r="BA56" s="128">
        <v>0</v>
      </c>
      <c r="BB56" s="63"/>
    </row>
    <row r="57" spans="1:56" ht="17" customHeight="1" x14ac:dyDescent="0.2">
      <c r="C57">
        <v>57</v>
      </c>
      <c r="G57" s="117" t="s">
        <v>342</v>
      </c>
      <c r="H57" s="117">
        <v>115</v>
      </c>
      <c r="I57" s="88" t="s">
        <v>293</v>
      </c>
      <c r="J57" s="88" t="s">
        <v>570</v>
      </c>
      <c r="K57" s="130" t="s">
        <v>66</v>
      </c>
      <c r="L57" s="130" t="s">
        <v>49</v>
      </c>
      <c r="M57" s="88" t="s">
        <v>238</v>
      </c>
      <c r="N57" s="283" t="s">
        <v>1020</v>
      </c>
      <c r="O57" s="283" t="str">
        <f t="shared" si="0"/>
        <v xml:space="preserve">m </v>
      </c>
      <c r="P57" s="127">
        <v>1</v>
      </c>
      <c r="Q57" s="127" t="s">
        <v>294</v>
      </c>
      <c r="R57" s="351" t="s">
        <v>146</v>
      </c>
      <c r="S57" s="245">
        <v>10.5</v>
      </c>
      <c r="T57" s="245" t="s">
        <v>454</v>
      </c>
      <c r="U57" s="245">
        <f>5/103</f>
        <v>4.8543689320388349E-2</v>
      </c>
      <c r="V57" s="245">
        <v>0</v>
      </c>
      <c r="W57" s="245">
        <f>12/103</f>
        <v>0.11650485436893204</v>
      </c>
      <c r="X57" s="245">
        <f>48/(48+55)</f>
        <v>0.46601941747572817</v>
      </c>
      <c r="Y57" s="227" t="s">
        <v>52</v>
      </c>
      <c r="Z57" s="127" t="s">
        <v>92</v>
      </c>
      <c r="AA57" s="246" t="s">
        <v>295</v>
      </c>
      <c r="AB57" s="184" t="s">
        <v>71</v>
      </c>
      <c r="AC57" s="127" t="s">
        <v>153</v>
      </c>
      <c r="AD57" s="127" t="s">
        <v>162</v>
      </c>
      <c r="AE57" s="127" t="s">
        <v>58</v>
      </c>
      <c r="AF57" s="127">
        <f>AG57*AH57</f>
        <v>4050</v>
      </c>
      <c r="AG57" s="127">
        <f>18*5</f>
        <v>90</v>
      </c>
      <c r="AH57" s="127">
        <f>45</f>
        <v>45</v>
      </c>
      <c r="AI57" s="127" t="s">
        <v>59</v>
      </c>
      <c r="AJ57" s="127" t="s">
        <v>296</v>
      </c>
      <c r="AK57" s="127" t="s">
        <v>61</v>
      </c>
      <c r="AL57" s="60" t="s">
        <v>459</v>
      </c>
      <c r="AM57" s="146" t="s">
        <v>583</v>
      </c>
      <c r="AN57" s="257">
        <v>15.47</v>
      </c>
      <c r="AO57" s="257">
        <v>4.43</v>
      </c>
      <c r="AP57" s="257">
        <f>55+48</f>
        <v>103</v>
      </c>
      <c r="AQ57" s="257" t="s">
        <v>52</v>
      </c>
      <c r="AR57" s="257" t="s">
        <v>52</v>
      </c>
      <c r="AS57" s="157">
        <v>89</v>
      </c>
      <c r="AT57" s="194" t="s">
        <v>52</v>
      </c>
      <c r="AU57" s="194" t="s">
        <v>52</v>
      </c>
      <c r="AV57" s="194" t="s">
        <v>52</v>
      </c>
      <c r="AW57" s="194" t="s">
        <v>52</v>
      </c>
      <c r="AX57" s="194"/>
      <c r="AY57" s="194"/>
      <c r="AZ57" s="258"/>
      <c r="BA57" s="127">
        <v>0</v>
      </c>
      <c r="BB57" s="127"/>
      <c r="BD57" s="60"/>
    </row>
    <row r="58" spans="1:56" ht="17" customHeight="1" x14ac:dyDescent="0.2">
      <c r="C58">
        <v>58</v>
      </c>
      <c r="D58" t="b">
        <f>E58</f>
        <v>1</v>
      </c>
      <c r="E58" t="b">
        <f>IF(coder1_YH!G58="","",TRUE)</f>
        <v>1</v>
      </c>
      <c r="F58" t="b">
        <f>IF(coder1_YH!P57="","",TRUE)</f>
        <v>1</v>
      </c>
      <c r="G58" s="117" t="s">
        <v>342</v>
      </c>
      <c r="H58" s="117">
        <v>115</v>
      </c>
      <c r="I58" s="88" t="s">
        <v>293</v>
      </c>
      <c r="J58" s="88" t="s">
        <v>570</v>
      </c>
      <c r="K58" s="130" t="s">
        <v>66</v>
      </c>
      <c r="L58" s="130" t="s">
        <v>49</v>
      </c>
      <c r="M58" s="88" t="s">
        <v>238</v>
      </c>
      <c r="O58" s="283" t="str">
        <f t="shared" si="0"/>
        <v xml:space="preserve">m </v>
      </c>
      <c r="P58" s="127">
        <v>1</v>
      </c>
      <c r="Q58" s="127" t="s">
        <v>294</v>
      </c>
      <c r="R58" s="351" t="s">
        <v>146</v>
      </c>
      <c r="S58" s="245">
        <v>10.5</v>
      </c>
      <c r="T58" s="245" t="s">
        <v>454</v>
      </c>
      <c r="U58" s="245">
        <f t="shared" ref="U58:U60" si="5">5/103</f>
        <v>4.8543689320388349E-2</v>
      </c>
      <c r="V58" s="245">
        <v>0</v>
      </c>
      <c r="W58" s="245">
        <f t="shared" ref="W58:W60" si="6">12/103</f>
        <v>0.11650485436893204</v>
      </c>
      <c r="X58" s="245">
        <f t="shared" ref="X58:X60" si="7">48/(48+55)</f>
        <v>0.46601941747572817</v>
      </c>
      <c r="Y58" s="227" t="s">
        <v>52</v>
      </c>
      <c r="Z58" s="127" t="s">
        <v>92</v>
      </c>
      <c r="AA58" s="246" t="s">
        <v>295</v>
      </c>
      <c r="AB58" s="184" t="s">
        <v>71</v>
      </c>
      <c r="AC58" s="127" t="s">
        <v>153</v>
      </c>
      <c r="AD58" s="127" t="s">
        <v>162</v>
      </c>
      <c r="AE58" s="127" t="s">
        <v>58</v>
      </c>
      <c r="AF58" s="127">
        <f t="shared" ref="AF58:AF60" si="8">AG58*AH58</f>
        <v>4050</v>
      </c>
      <c r="AG58" s="127">
        <f t="shared" ref="AG58:AG60" si="9">18*5</f>
        <v>90</v>
      </c>
      <c r="AH58" s="127">
        <f>45</f>
        <v>45</v>
      </c>
      <c r="AI58" s="127" t="s">
        <v>59</v>
      </c>
      <c r="AJ58" s="127" t="s">
        <v>297</v>
      </c>
      <c r="AK58" s="127" t="s">
        <v>95</v>
      </c>
      <c r="AL58" s="60" t="s">
        <v>459</v>
      </c>
      <c r="AM58" s="146" t="s">
        <v>584</v>
      </c>
      <c r="AN58" s="127" t="s">
        <v>52</v>
      </c>
      <c r="AO58" s="127" t="s">
        <v>52</v>
      </c>
      <c r="AP58" s="127" t="s">
        <v>52</v>
      </c>
      <c r="AQ58" s="127">
        <v>22.04</v>
      </c>
      <c r="AR58" s="127">
        <v>7.19</v>
      </c>
      <c r="AS58" s="157">
        <v>89</v>
      </c>
      <c r="AT58" s="194" t="s">
        <v>52</v>
      </c>
      <c r="AU58" s="194" t="s">
        <v>52</v>
      </c>
      <c r="AV58" s="194" t="s">
        <v>52</v>
      </c>
      <c r="AW58" s="194" t="s">
        <v>52</v>
      </c>
      <c r="AX58" s="194"/>
      <c r="AY58" s="194"/>
      <c r="AZ58" s="258"/>
      <c r="BA58" s="127">
        <v>0</v>
      </c>
      <c r="BB58" s="127"/>
      <c r="BD58" s="60"/>
    </row>
    <row r="59" spans="1:56" ht="17" customHeight="1" x14ac:dyDescent="0.2">
      <c r="C59">
        <v>59</v>
      </c>
      <c r="G59" s="117" t="s">
        <v>342</v>
      </c>
      <c r="H59" s="117">
        <v>115</v>
      </c>
      <c r="I59" s="88" t="s">
        <v>293</v>
      </c>
      <c r="J59" s="88" t="s">
        <v>570</v>
      </c>
      <c r="K59" s="130" t="s">
        <v>66</v>
      </c>
      <c r="L59" s="130" t="s">
        <v>49</v>
      </c>
      <c r="M59" s="88" t="s">
        <v>238</v>
      </c>
      <c r="O59" s="283" t="str">
        <f t="shared" si="0"/>
        <v xml:space="preserve">m </v>
      </c>
      <c r="P59" s="127">
        <v>1</v>
      </c>
      <c r="Q59" s="127" t="s">
        <v>294</v>
      </c>
      <c r="R59" s="351" t="s">
        <v>146</v>
      </c>
      <c r="S59" s="245">
        <v>10.5</v>
      </c>
      <c r="T59" s="245" t="s">
        <v>454</v>
      </c>
      <c r="U59" s="245">
        <f t="shared" si="5"/>
        <v>4.8543689320388349E-2</v>
      </c>
      <c r="V59" s="245">
        <v>0</v>
      </c>
      <c r="W59" s="245">
        <f t="shared" si="6"/>
        <v>0.11650485436893204</v>
      </c>
      <c r="X59" s="245">
        <f t="shared" si="7"/>
        <v>0.46601941747572817</v>
      </c>
      <c r="Y59" s="227" t="s">
        <v>52</v>
      </c>
      <c r="Z59" s="127" t="s">
        <v>92</v>
      </c>
      <c r="AA59" s="246" t="s">
        <v>295</v>
      </c>
      <c r="AB59" s="184" t="s">
        <v>71</v>
      </c>
      <c r="AC59" s="127" t="s">
        <v>153</v>
      </c>
      <c r="AD59" s="127" t="s">
        <v>162</v>
      </c>
      <c r="AE59" s="127" t="s">
        <v>58</v>
      </c>
      <c r="AF59" s="127">
        <f t="shared" si="8"/>
        <v>4050</v>
      </c>
      <c r="AG59" s="127">
        <f t="shared" si="9"/>
        <v>90</v>
      </c>
      <c r="AH59" s="127">
        <f>45</f>
        <v>45</v>
      </c>
      <c r="AI59" s="127" t="s">
        <v>59</v>
      </c>
      <c r="AJ59" s="127" t="s">
        <v>298</v>
      </c>
      <c r="AK59" s="127" t="s">
        <v>61</v>
      </c>
      <c r="AL59" s="60" t="s">
        <v>459</v>
      </c>
      <c r="AM59" s="146" t="s">
        <v>585</v>
      </c>
      <c r="AN59" s="127" t="s">
        <v>52</v>
      </c>
      <c r="AO59" s="127" t="s">
        <v>52</v>
      </c>
      <c r="AP59" s="127" t="s">
        <v>52</v>
      </c>
      <c r="AQ59" s="127">
        <v>6.01</v>
      </c>
      <c r="AR59" s="127">
        <v>2.13</v>
      </c>
      <c r="AS59" s="157">
        <v>89</v>
      </c>
      <c r="AT59" s="194" t="s">
        <v>52</v>
      </c>
      <c r="AU59" s="194" t="s">
        <v>52</v>
      </c>
      <c r="AV59" s="194" t="s">
        <v>52</v>
      </c>
      <c r="AW59" s="194" t="s">
        <v>52</v>
      </c>
      <c r="AX59" s="194"/>
      <c r="AY59" s="194"/>
      <c r="AZ59" s="258"/>
      <c r="BA59" s="127">
        <v>0</v>
      </c>
      <c r="BB59" s="127"/>
      <c r="BD59" s="60"/>
    </row>
    <row r="60" spans="1:56" ht="17" customHeight="1" x14ac:dyDescent="0.2">
      <c r="C60">
        <v>60</v>
      </c>
      <c r="G60" s="117" t="s">
        <v>342</v>
      </c>
      <c r="H60" s="117">
        <v>115</v>
      </c>
      <c r="I60" s="88" t="s">
        <v>293</v>
      </c>
      <c r="J60" s="88" t="s">
        <v>570</v>
      </c>
      <c r="K60" s="130" t="s">
        <v>66</v>
      </c>
      <c r="L60" s="130" t="s">
        <v>49</v>
      </c>
      <c r="M60" s="88" t="s">
        <v>238</v>
      </c>
      <c r="O60" s="283" t="str">
        <f t="shared" si="0"/>
        <v xml:space="preserve">m </v>
      </c>
      <c r="P60" s="127">
        <v>1</v>
      </c>
      <c r="Q60" s="127" t="s">
        <v>294</v>
      </c>
      <c r="R60" s="351" t="s">
        <v>146</v>
      </c>
      <c r="S60" s="245">
        <v>10.5</v>
      </c>
      <c r="T60" s="245" t="s">
        <v>454</v>
      </c>
      <c r="U60" s="245">
        <f t="shared" si="5"/>
        <v>4.8543689320388349E-2</v>
      </c>
      <c r="V60" s="245">
        <v>0</v>
      </c>
      <c r="W60" s="245">
        <f t="shared" si="6"/>
        <v>0.11650485436893204</v>
      </c>
      <c r="X60" s="245">
        <f t="shared" si="7"/>
        <v>0.46601941747572817</v>
      </c>
      <c r="Y60" s="227" t="s">
        <v>52</v>
      </c>
      <c r="Z60" s="127" t="s">
        <v>92</v>
      </c>
      <c r="AA60" s="246" t="s">
        <v>295</v>
      </c>
      <c r="AB60" s="184" t="s">
        <v>71</v>
      </c>
      <c r="AC60" s="127" t="s">
        <v>153</v>
      </c>
      <c r="AD60" s="127" t="s">
        <v>162</v>
      </c>
      <c r="AE60" s="127" t="s">
        <v>58</v>
      </c>
      <c r="AF60" s="127">
        <f t="shared" si="8"/>
        <v>4050</v>
      </c>
      <c r="AG60" s="127">
        <f t="shared" si="9"/>
        <v>90</v>
      </c>
      <c r="AH60" s="127">
        <f>45</f>
        <v>45</v>
      </c>
      <c r="AI60" s="127" t="s">
        <v>59</v>
      </c>
      <c r="AJ60" s="127" t="s">
        <v>299</v>
      </c>
      <c r="AK60" s="127" t="s">
        <v>95</v>
      </c>
      <c r="AL60" s="60" t="s">
        <v>459</v>
      </c>
      <c r="AM60" s="146" t="s">
        <v>584</v>
      </c>
      <c r="AN60" s="127" t="s">
        <v>52</v>
      </c>
      <c r="AO60" s="127" t="s">
        <v>52</v>
      </c>
      <c r="AP60" s="127" t="s">
        <v>52</v>
      </c>
      <c r="AQ60" s="127">
        <v>6.24</v>
      </c>
      <c r="AR60" s="127">
        <v>3.09</v>
      </c>
      <c r="AS60" s="157">
        <v>89</v>
      </c>
      <c r="AT60" s="194" t="s">
        <v>52</v>
      </c>
      <c r="AU60" s="194" t="s">
        <v>52</v>
      </c>
      <c r="AV60" s="194" t="s">
        <v>52</v>
      </c>
      <c r="AW60" s="194" t="s">
        <v>52</v>
      </c>
      <c r="AX60" s="194"/>
      <c r="AY60" s="194"/>
      <c r="AZ60" s="258"/>
      <c r="BA60" s="127">
        <v>0</v>
      </c>
      <c r="BB60" s="127"/>
      <c r="BD60" s="60"/>
    </row>
    <row r="61" spans="1:56" ht="17" customHeight="1" x14ac:dyDescent="0.2">
      <c r="C61">
        <v>61</v>
      </c>
      <c r="G61" s="117" t="s">
        <v>342</v>
      </c>
      <c r="H61" s="117">
        <v>115</v>
      </c>
      <c r="I61" s="88" t="s">
        <v>293</v>
      </c>
      <c r="J61" s="88" t="s">
        <v>570</v>
      </c>
      <c r="K61" s="130" t="s">
        <v>66</v>
      </c>
      <c r="L61" s="130" t="s">
        <v>49</v>
      </c>
      <c r="M61" s="88" t="s">
        <v>238</v>
      </c>
      <c r="N61" s="283" t="s">
        <v>914</v>
      </c>
      <c r="O61" s="283" t="str">
        <f t="shared" si="0"/>
        <v>.</v>
      </c>
      <c r="P61" s="127" t="s">
        <v>924</v>
      </c>
      <c r="Q61" s="127" t="s">
        <v>300</v>
      </c>
      <c r="R61" s="351" t="s">
        <v>146</v>
      </c>
      <c r="S61" s="245">
        <v>10.5</v>
      </c>
      <c r="T61" s="245" t="s">
        <v>454</v>
      </c>
      <c r="U61" s="245">
        <v>1.7699115044247787E-2</v>
      </c>
      <c r="V61" s="245">
        <v>0</v>
      </c>
      <c r="W61" s="245">
        <v>1.7699115044247787E-2</v>
      </c>
      <c r="X61" s="245">
        <f>49/(49+64)</f>
        <v>0.4336283185840708</v>
      </c>
      <c r="Y61" s="227" t="s">
        <v>52</v>
      </c>
      <c r="Z61" s="127" t="s">
        <v>78</v>
      </c>
      <c r="AA61" s="246" t="s">
        <v>301</v>
      </c>
      <c r="AB61" s="259" t="s">
        <v>349</v>
      </c>
      <c r="AC61" s="127" t="s">
        <v>78</v>
      </c>
      <c r="AD61" s="127" t="s">
        <v>78</v>
      </c>
      <c r="AE61" s="127" t="s">
        <v>78</v>
      </c>
      <c r="AF61" s="127" t="s">
        <v>78</v>
      </c>
      <c r="AG61" s="127" t="s">
        <v>78</v>
      </c>
      <c r="AH61" s="127" t="s">
        <v>78</v>
      </c>
      <c r="AI61" s="127" t="s">
        <v>78</v>
      </c>
      <c r="AJ61" s="127" t="s">
        <v>296</v>
      </c>
      <c r="AK61" s="127" t="s">
        <v>61</v>
      </c>
      <c r="AL61" s="60" t="s">
        <v>459</v>
      </c>
      <c r="AM61" s="146" t="s">
        <v>583</v>
      </c>
      <c r="AN61" s="257">
        <v>16.46</v>
      </c>
      <c r="AO61" s="257">
        <v>5.28</v>
      </c>
      <c r="AP61" s="257">
        <f>64+49</f>
        <v>113</v>
      </c>
      <c r="AQ61" s="257" t="s">
        <v>52</v>
      </c>
      <c r="AR61" s="257" t="s">
        <v>52</v>
      </c>
      <c r="AS61" s="157">
        <v>90</v>
      </c>
      <c r="AT61" s="194" t="s">
        <v>52</v>
      </c>
      <c r="AU61" s="194" t="s">
        <v>52</v>
      </c>
      <c r="AV61" s="194" t="s">
        <v>52</v>
      </c>
      <c r="AW61" s="194" t="s">
        <v>52</v>
      </c>
      <c r="AX61" s="194"/>
      <c r="AY61" s="194"/>
      <c r="AZ61" s="258"/>
      <c r="BA61" s="127">
        <v>0</v>
      </c>
      <c r="BB61" s="127"/>
      <c r="BD61" s="60"/>
    </row>
    <row r="62" spans="1:56" ht="17" customHeight="1" x14ac:dyDescent="0.2">
      <c r="C62">
        <v>62</v>
      </c>
      <c r="E62" t="b">
        <f>IF(coder1_YH!G62="","",TRUE)</f>
        <v>1</v>
      </c>
      <c r="F62" t="b">
        <f>IF(coder1_YH!P62="","",TRUE)</f>
        <v>1</v>
      </c>
      <c r="G62" s="117" t="s">
        <v>342</v>
      </c>
      <c r="H62" s="117">
        <v>115</v>
      </c>
      <c r="I62" s="88" t="s">
        <v>293</v>
      </c>
      <c r="J62" s="88" t="s">
        <v>570</v>
      </c>
      <c r="K62" s="130" t="s">
        <v>66</v>
      </c>
      <c r="L62" s="130" t="s">
        <v>49</v>
      </c>
      <c r="M62" s="88" t="s">
        <v>238</v>
      </c>
      <c r="O62" s="283" t="str">
        <f t="shared" si="0"/>
        <v>.</v>
      </c>
      <c r="P62" s="127" t="s">
        <v>924</v>
      </c>
      <c r="Q62" s="127" t="s">
        <v>300</v>
      </c>
      <c r="R62" s="351" t="s">
        <v>146</v>
      </c>
      <c r="S62" s="245">
        <v>10.5</v>
      </c>
      <c r="T62" s="245" t="s">
        <v>454</v>
      </c>
      <c r="U62" s="245">
        <v>1.7699115044247787E-2</v>
      </c>
      <c r="V62" s="245">
        <v>0</v>
      </c>
      <c r="W62" s="245">
        <v>1.7699115044247787E-2</v>
      </c>
      <c r="X62" s="245">
        <f t="shared" ref="X62:X64" si="10">49/(49+64)</f>
        <v>0.4336283185840708</v>
      </c>
      <c r="Y62" s="227" t="s">
        <v>52</v>
      </c>
      <c r="Z62" s="127" t="s">
        <v>78</v>
      </c>
      <c r="AA62" s="246" t="s">
        <v>301</v>
      </c>
      <c r="AB62" s="259" t="s">
        <v>349</v>
      </c>
      <c r="AC62" s="127" t="s">
        <v>78</v>
      </c>
      <c r="AD62" s="127" t="s">
        <v>78</v>
      </c>
      <c r="AE62" s="127" t="s">
        <v>78</v>
      </c>
      <c r="AF62" s="127" t="s">
        <v>78</v>
      </c>
      <c r="AG62" s="127" t="s">
        <v>78</v>
      </c>
      <c r="AH62" s="127" t="s">
        <v>78</v>
      </c>
      <c r="AI62" s="127" t="s">
        <v>78</v>
      </c>
      <c r="AJ62" s="127" t="s">
        <v>297</v>
      </c>
      <c r="AK62" s="127" t="s">
        <v>95</v>
      </c>
      <c r="AL62" s="60" t="s">
        <v>459</v>
      </c>
      <c r="AM62" s="146" t="s">
        <v>584</v>
      </c>
      <c r="AN62" s="127" t="s">
        <v>52</v>
      </c>
      <c r="AO62" s="127" t="s">
        <v>52</v>
      </c>
      <c r="AP62" s="127" t="s">
        <v>52</v>
      </c>
      <c r="AQ62" s="127">
        <v>23.21</v>
      </c>
      <c r="AR62" s="127">
        <v>7.33</v>
      </c>
      <c r="AS62" s="157">
        <v>90</v>
      </c>
      <c r="AT62" s="194" t="s">
        <v>52</v>
      </c>
      <c r="AU62" s="194" t="s">
        <v>52</v>
      </c>
      <c r="AV62" s="194" t="s">
        <v>52</v>
      </c>
      <c r="AW62" s="194" t="s">
        <v>52</v>
      </c>
      <c r="AX62" s="194"/>
      <c r="AY62" s="194"/>
      <c r="AZ62" s="258"/>
      <c r="BA62" s="127">
        <v>0</v>
      </c>
      <c r="BB62" s="127"/>
      <c r="BD62" s="60"/>
    </row>
    <row r="63" spans="1:56" ht="17" customHeight="1" x14ac:dyDescent="0.2">
      <c r="C63">
        <v>63</v>
      </c>
      <c r="G63" s="117" t="s">
        <v>342</v>
      </c>
      <c r="H63" s="117">
        <v>115</v>
      </c>
      <c r="I63" s="88" t="s">
        <v>293</v>
      </c>
      <c r="J63" s="88" t="s">
        <v>570</v>
      </c>
      <c r="K63" s="130" t="s">
        <v>66</v>
      </c>
      <c r="L63" s="130" t="s">
        <v>49</v>
      </c>
      <c r="M63" s="88" t="s">
        <v>238</v>
      </c>
      <c r="O63" s="283" t="str">
        <f t="shared" si="0"/>
        <v>.</v>
      </c>
      <c r="P63" s="127" t="s">
        <v>924</v>
      </c>
      <c r="Q63" s="127" t="s">
        <v>300</v>
      </c>
      <c r="R63" s="351" t="s">
        <v>146</v>
      </c>
      <c r="S63" s="245">
        <v>10.5</v>
      </c>
      <c r="T63" s="245" t="s">
        <v>454</v>
      </c>
      <c r="U63" s="245">
        <v>1.7699115044247787E-2</v>
      </c>
      <c r="V63" s="245">
        <v>0</v>
      </c>
      <c r="W63" s="245">
        <v>1.7699115044247787E-2</v>
      </c>
      <c r="X63" s="245">
        <f t="shared" si="10"/>
        <v>0.4336283185840708</v>
      </c>
      <c r="Y63" s="227" t="s">
        <v>52</v>
      </c>
      <c r="Z63" s="127" t="s">
        <v>78</v>
      </c>
      <c r="AA63" s="246" t="s">
        <v>301</v>
      </c>
      <c r="AB63" s="259" t="s">
        <v>349</v>
      </c>
      <c r="AC63" s="127" t="s">
        <v>78</v>
      </c>
      <c r="AD63" s="127" t="s">
        <v>78</v>
      </c>
      <c r="AE63" s="127" t="s">
        <v>78</v>
      </c>
      <c r="AF63" s="127" t="s">
        <v>78</v>
      </c>
      <c r="AG63" s="127" t="s">
        <v>78</v>
      </c>
      <c r="AH63" s="127" t="s">
        <v>78</v>
      </c>
      <c r="AI63" s="127" t="s">
        <v>78</v>
      </c>
      <c r="AJ63" s="127" t="s">
        <v>298</v>
      </c>
      <c r="AK63" s="127" t="s">
        <v>61</v>
      </c>
      <c r="AL63" s="60" t="s">
        <v>459</v>
      </c>
      <c r="AM63" s="146" t="s">
        <v>585</v>
      </c>
      <c r="AN63" s="127" t="s">
        <v>52</v>
      </c>
      <c r="AO63" s="127" t="s">
        <v>52</v>
      </c>
      <c r="AP63" s="127" t="s">
        <v>52</v>
      </c>
      <c r="AQ63" s="127">
        <v>6.25</v>
      </c>
      <c r="AR63" s="127">
        <v>1.98</v>
      </c>
      <c r="AS63" s="157">
        <v>90</v>
      </c>
      <c r="AT63" s="194" t="s">
        <v>52</v>
      </c>
      <c r="AU63" s="194" t="s">
        <v>52</v>
      </c>
      <c r="AV63" s="194" t="s">
        <v>52</v>
      </c>
      <c r="AW63" s="194" t="s">
        <v>52</v>
      </c>
      <c r="AX63" s="194"/>
      <c r="AY63" s="194"/>
      <c r="AZ63" s="258"/>
      <c r="BA63" s="127">
        <v>0</v>
      </c>
      <c r="BB63" s="127"/>
      <c r="BD63" s="60"/>
    </row>
    <row r="64" spans="1:56" s="128" customFormat="1" ht="17" customHeight="1" x14ac:dyDescent="0.2">
      <c r="A64"/>
      <c r="B64"/>
      <c r="C64">
        <v>64</v>
      </c>
      <c r="D64"/>
      <c r="E64"/>
      <c r="F64"/>
      <c r="G64" s="117" t="s">
        <v>342</v>
      </c>
      <c r="H64" s="117">
        <v>115</v>
      </c>
      <c r="I64" s="88" t="s">
        <v>293</v>
      </c>
      <c r="J64" s="88" t="s">
        <v>570</v>
      </c>
      <c r="K64" s="130" t="s">
        <v>66</v>
      </c>
      <c r="L64" s="130" t="s">
        <v>49</v>
      </c>
      <c r="M64" s="88" t="s">
        <v>238</v>
      </c>
      <c r="N64" s="283"/>
      <c r="O64" s="284" t="str">
        <f t="shared" si="0"/>
        <v>.</v>
      </c>
      <c r="P64" s="127" t="s">
        <v>924</v>
      </c>
      <c r="Q64" s="127" t="s">
        <v>300</v>
      </c>
      <c r="R64" s="351" t="s">
        <v>146</v>
      </c>
      <c r="S64" s="245">
        <v>10.5</v>
      </c>
      <c r="T64" s="245" t="s">
        <v>454</v>
      </c>
      <c r="U64" s="245">
        <v>1.7699115044247787E-2</v>
      </c>
      <c r="V64" s="245">
        <v>0</v>
      </c>
      <c r="W64" s="245">
        <v>1.7699115044247787E-2</v>
      </c>
      <c r="X64" s="245">
        <f t="shared" si="10"/>
        <v>0.4336283185840708</v>
      </c>
      <c r="Y64" s="227" t="s">
        <v>52</v>
      </c>
      <c r="Z64" s="127" t="s">
        <v>78</v>
      </c>
      <c r="AA64" s="246" t="s">
        <v>301</v>
      </c>
      <c r="AB64" s="259" t="s">
        <v>349</v>
      </c>
      <c r="AC64" s="127" t="s">
        <v>78</v>
      </c>
      <c r="AD64" s="127" t="s">
        <v>78</v>
      </c>
      <c r="AE64" s="127" t="s">
        <v>78</v>
      </c>
      <c r="AF64" s="127" t="s">
        <v>78</v>
      </c>
      <c r="AG64" s="127" t="s">
        <v>78</v>
      </c>
      <c r="AH64" s="127" t="s">
        <v>78</v>
      </c>
      <c r="AI64" s="127" t="s">
        <v>78</v>
      </c>
      <c r="AJ64" s="128" t="s">
        <v>299</v>
      </c>
      <c r="AK64" s="128" t="s">
        <v>95</v>
      </c>
      <c r="AL64" s="60" t="s">
        <v>459</v>
      </c>
      <c r="AM64" s="147" t="s">
        <v>584</v>
      </c>
      <c r="AN64" s="128" t="s">
        <v>52</v>
      </c>
      <c r="AO64" s="128" t="s">
        <v>52</v>
      </c>
      <c r="AP64" s="128" t="s">
        <v>52</v>
      </c>
      <c r="AQ64" s="128">
        <v>5.89</v>
      </c>
      <c r="AR64" s="128">
        <v>2.92</v>
      </c>
      <c r="AS64" s="158">
        <v>90</v>
      </c>
      <c r="AT64" s="194" t="s">
        <v>52</v>
      </c>
      <c r="AU64" s="194" t="s">
        <v>52</v>
      </c>
      <c r="AV64" s="194" t="s">
        <v>52</v>
      </c>
      <c r="AW64" s="194" t="s">
        <v>52</v>
      </c>
      <c r="AX64" s="194"/>
      <c r="AY64" s="194"/>
      <c r="AZ64" s="260"/>
      <c r="BA64" s="128">
        <v>0</v>
      </c>
      <c r="BC64" s="63"/>
      <c r="BD64" s="63"/>
    </row>
    <row r="65" spans="1:56" s="295" customFormat="1" ht="17" customHeight="1" x14ac:dyDescent="0.2">
      <c r="A65" t="s">
        <v>995</v>
      </c>
      <c r="B65" t="s">
        <v>949</v>
      </c>
      <c r="C65">
        <v>65</v>
      </c>
      <c r="D65" t="b">
        <f>E65</f>
        <v>1</v>
      </c>
      <c r="E65" t="b">
        <f>IF(coder1_YH!G65="","",TRUE)</f>
        <v>1</v>
      </c>
      <c r="F65" t="b">
        <f>IF(coder1_YH!P65="","",TRUE)</f>
        <v>1</v>
      </c>
      <c r="G65" s="315" t="s">
        <v>350</v>
      </c>
      <c r="H65" s="315">
        <v>116</v>
      </c>
      <c r="I65" s="294" t="s">
        <v>47</v>
      </c>
      <c r="J65" s="294" t="s">
        <v>452</v>
      </c>
      <c r="K65" s="295" t="s">
        <v>66</v>
      </c>
      <c r="L65" s="295" t="s">
        <v>49</v>
      </c>
      <c r="M65" s="294" t="s">
        <v>50</v>
      </c>
      <c r="N65" s="295" t="s">
        <v>949</v>
      </c>
      <c r="O65" s="295" t="s">
        <v>949</v>
      </c>
      <c r="P65" s="295">
        <v>1</v>
      </c>
      <c r="Q65" s="295" t="s">
        <v>302</v>
      </c>
      <c r="R65" s="355" t="s">
        <v>352</v>
      </c>
      <c r="S65" s="296">
        <v>16</v>
      </c>
      <c r="T65" s="296">
        <v>0</v>
      </c>
      <c r="U65" s="296">
        <v>0</v>
      </c>
      <c r="V65" s="296">
        <v>0.6</v>
      </c>
      <c r="W65" s="296">
        <v>0</v>
      </c>
      <c r="X65" s="296">
        <f>1-0.46</f>
        <v>0.54</v>
      </c>
      <c r="Y65" s="296">
        <f>1-0.21</f>
        <v>0.79</v>
      </c>
      <c r="Z65" s="295" t="s">
        <v>92</v>
      </c>
      <c r="AA65" s="297" t="s">
        <v>303</v>
      </c>
      <c r="AB65" s="295" t="s">
        <v>71</v>
      </c>
      <c r="AC65" s="295" t="s">
        <v>153</v>
      </c>
      <c r="AD65" s="295" t="s">
        <v>162</v>
      </c>
      <c r="AE65" s="295" t="s">
        <v>58</v>
      </c>
      <c r="AF65" s="295">
        <f>AG65*AH65</f>
        <v>840</v>
      </c>
      <c r="AG65" s="295">
        <v>14</v>
      </c>
      <c r="AH65" s="295">
        <v>60</v>
      </c>
      <c r="AJ65" s="295" t="s">
        <v>304</v>
      </c>
      <c r="AK65" s="295" t="s">
        <v>61</v>
      </c>
      <c r="AL65" s="294" t="s">
        <v>459</v>
      </c>
      <c r="AM65" s="298" t="s">
        <v>52</v>
      </c>
      <c r="AN65" s="299" t="s">
        <v>52</v>
      </c>
      <c r="AO65" s="299" t="s">
        <v>52</v>
      </c>
      <c r="AP65" s="299" t="s">
        <v>52</v>
      </c>
      <c r="AQ65" s="299">
        <v>560.97</v>
      </c>
      <c r="AR65" s="299">
        <v>20.68</v>
      </c>
      <c r="AS65" s="299">
        <v>38</v>
      </c>
      <c r="AT65" s="300" t="s">
        <v>52</v>
      </c>
      <c r="AU65" s="300" t="s">
        <v>52</v>
      </c>
      <c r="AV65" s="300" t="s">
        <v>52</v>
      </c>
      <c r="AW65" s="300" t="s">
        <v>52</v>
      </c>
      <c r="AX65" s="300"/>
      <c r="AY65" s="300"/>
      <c r="AZ65" s="301"/>
      <c r="BA65" s="295">
        <v>0</v>
      </c>
      <c r="BC65" s="294"/>
      <c r="BD65" s="294"/>
    </row>
    <row r="66" spans="1:56" s="295" customFormat="1" ht="17" customHeight="1" x14ac:dyDescent="0.2">
      <c r="A66" t="s">
        <v>995</v>
      </c>
      <c r="B66" t="s">
        <v>949</v>
      </c>
      <c r="C66">
        <v>66</v>
      </c>
      <c r="D66"/>
      <c r="E66" t="str">
        <f>IF(coder1_YH!G66="","",TRUE)</f>
        <v/>
      </c>
      <c r="F66" t="str">
        <f>IF(coder1_YH!P66="","",TRUE)</f>
        <v/>
      </c>
      <c r="G66" s="117"/>
      <c r="H66" s="117"/>
      <c r="I66" s="294"/>
      <c r="J66" s="294"/>
      <c r="O66" s="295" t="str">
        <f t="shared" si="0"/>
        <v/>
      </c>
      <c r="R66" s="355"/>
      <c r="S66" s="296"/>
      <c r="T66" s="296"/>
      <c r="U66" s="296"/>
      <c r="V66" s="296"/>
      <c r="W66" s="296"/>
      <c r="X66" s="296"/>
      <c r="Y66" s="296"/>
      <c r="AA66" s="297"/>
      <c r="AJ66" s="295" t="s">
        <v>305</v>
      </c>
      <c r="AK66" s="295" t="s">
        <v>95</v>
      </c>
      <c r="AL66" s="294" t="s">
        <v>459</v>
      </c>
      <c r="AM66" s="298" t="s">
        <v>52</v>
      </c>
      <c r="AN66" s="295" t="s">
        <v>52</v>
      </c>
      <c r="AO66" s="295" t="s">
        <v>52</v>
      </c>
      <c r="AP66" s="295" t="s">
        <v>52</v>
      </c>
      <c r="AQ66" s="295">
        <v>68.39</v>
      </c>
      <c r="AR66" s="295">
        <v>13.56</v>
      </c>
      <c r="AS66" s="295">
        <v>31</v>
      </c>
      <c r="AT66" s="302" t="s">
        <v>52</v>
      </c>
      <c r="AU66" s="302" t="s">
        <v>52</v>
      </c>
      <c r="AV66" s="302" t="s">
        <v>52</v>
      </c>
      <c r="AW66" s="302" t="s">
        <v>52</v>
      </c>
      <c r="AX66" s="302"/>
      <c r="AY66" s="302"/>
      <c r="AZ66" s="301"/>
      <c r="BA66" s="295">
        <v>0</v>
      </c>
      <c r="BC66" s="294"/>
      <c r="BD66" s="294"/>
    </row>
    <row r="67" spans="1:56" s="295" customFormat="1" ht="17" customHeight="1" x14ac:dyDescent="0.2">
      <c r="A67" t="s">
        <v>995</v>
      </c>
      <c r="B67" t="s">
        <v>949</v>
      </c>
      <c r="C67">
        <v>67</v>
      </c>
      <c r="D67"/>
      <c r="E67" t="str">
        <f>IF(coder1_YH!G67="","",TRUE)</f>
        <v/>
      </c>
      <c r="F67" t="str">
        <f>IF(coder1_YH!P67="","",TRUE)</f>
        <v/>
      </c>
      <c r="G67" s="117"/>
      <c r="H67" s="117"/>
      <c r="I67" s="294"/>
      <c r="J67" s="294"/>
      <c r="O67" s="295" t="str">
        <f t="shared" ref="O67:O130" si="11">IF(Z67="BAU",".",LEFT(Z67,2))</f>
        <v/>
      </c>
      <c r="R67" s="355"/>
      <c r="S67" s="296"/>
      <c r="T67" s="296"/>
      <c r="U67" s="296"/>
      <c r="V67" s="296"/>
      <c r="W67" s="296"/>
      <c r="X67" s="296"/>
      <c r="Y67" s="296"/>
      <c r="AA67" s="297"/>
      <c r="AJ67" s="295" t="s">
        <v>306</v>
      </c>
      <c r="AK67" s="295" t="s">
        <v>95</v>
      </c>
      <c r="AL67" s="294" t="s">
        <v>459</v>
      </c>
      <c r="AM67" s="298" t="s">
        <v>52</v>
      </c>
      <c r="AN67" s="295" t="s">
        <v>52</v>
      </c>
      <c r="AO67" s="295" t="s">
        <v>52</v>
      </c>
      <c r="AP67" s="295" t="s">
        <v>52</v>
      </c>
      <c r="AQ67" s="295">
        <v>82.1</v>
      </c>
      <c r="AR67" s="295">
        <v>13.02</v>
      </c>
      <c r="AS67" s="295">
        <v>31</v>
      </c>
      <c r="AT67" s="302" t="s">
        <v>52</v>
      </c>
      <c r="AU67" s="302" t="s">
        <v>52</v>
      </c>
      <c r="AV67" s="302" t="s">
        <v>52</v>
      </c>
      <c r="AW67" s="302" t="s">
        <v>52</v>
      </c>
      <c r="AX67" s="302"/>
      <c r="AY67" s="302"/>
      <c r="AZ67" s="301"/>
      <c r="BA67" s="295">
        <v>0</v>
      </c>
      <c r="BC67" s="294"/>
      <c r="BD67" s="294"/>
    </row>
    <row r="68" spans="1:56" s="295" customFormat="1" ht="17" customHeight="1" x14ac:dyDescent="0.2">
      <c r="A68" t="s">
        <v>995</v>
      </c>
      <c r="B68" t="s">
        <v>949</v>
      </c>
      <c r="C68">
        <v>68</v>
      </c>
      <c r="D68"/>
      <c r="E68" t="str">
        <f>IF(coder1_YH!G68="","",TRUE)</f>
        <v/>
      </c>
      <c r="F68" t="str">
        <f>IF(coder1_YH!P68="","",TRUE)</f>
        <v/>
      </c>
      <c r="G68" s="117"/>
      <c r="H68" s="117"/>
      <c r="I68" s="294"/>
      <c r="J68" s="294"/>
      <c r="O68" s="295" t="str">
        <f t="shared" si="11"/>
        <v/>
      </c>
      <c r="R68" s="355"/>
      <c r="S68" s="296"/>
      <c r="T68" s="296"/>
      <c r="U68" s="296"/>
      <c r="V68" s="296"/>
      <c r="W68" s="296"/>
      <c r="X68" s="296"/>
      <c r="Y68" s="296"/>
      <c r="AA68" s="297"/>
      <c r="AJ68" s="295" t="s">
        <v>307</v>
      </c>
      <c r="AK68" s="295" t="s">
        <v>95</v>
      </c>
      <c r="AL68" s="294" t="s">
        <v>459</v>
      </c>
      <c r="AM68" s="298" t="s">
        <v>52</v>
      </c>
      <c r="AN68" s="295" t="s">
        <v>52</v>
      </c>
      <c r="AO68" s="295" t="s">
        <v>52</v>
      </c>
      <c r="AP68" s="295" t="s">
        <v>52</v>
      </c>
      <c r="AQ68" s="295">
        <v>81.94</v>
      </c>
      <c r="AR68" s="295">
        <v>13.58</v>
      </c>
      <c r="AS68" s="295">
        <v>31</v>
      </c>
      <c r="AT68" s="302" t="s">
        <v>52</v>
      </c>
      <c r="AU68" s="302" t="s">
        <v>52</v>
      </c>
      <c r="AV68" s="302" t="s">
        <v>52</v>
      </c>
      <c r="AW68" s="302" t="s">
        <v>52</v>
      </c>
      <c r="AX68" s="302"/>
      <c r="AY68" s="302"/>
      <c r="AZ68" s="301"/>
      <c r="BA68" s="295">
        <v>0</v>
      </c>
      <c r="BC68" s="294"/>
      <c r="BD68" s="294"/>
    </row>
    <row r="69" spans="1:56" s="295" customFormat="1" ht="17" customHeight="1" x14ac:dyDescent="0.2">
      <c r="A69" t="s">
        <v>995</v>
      </c>
      <c r="B69" t="s">
        <v>949</v>
      </c>
      <c r="C69">
        <v>69</v>
      </c>
      <c r="D69"/>
      <c r="E69" t="str">
        <f>IF(coder1_YH!G69="","",TRUE)</f>
        <v/>
      </c>
      <c r="F69" t="str">
        <f>IF(coder1_YH!P69="","",TRUE)</f>
        <v/>
      </c>
      <c r="G69" s="117"/>
      <c r="H69" s="117"/>
      <c r="I69" s="294"/>
      <c r="J69" s="294"/>
      <c r="O69" s="295" t="str">
        <f t="shared" si="11"/>
        <v/>
      </c>
      <c r="R69" s="355"/>
      <c r="S69" s="296"/>
      <c r="T69" s="296"/>
      <c r="U69" s="296"/>
      <c r="V69" s="296"/>
      <c r="W69" s="296"/>
      <c r="X69" s="296"/>
      <c r="Y69" s="296"/>
      <c r="AA69" s="297"/>
      <c r="AJ69" s="295" t="s">
        <v>308</v>
      </c>
      <c r="AK69" s="295" t="s">
        <v>95</v>
      </c>
      <c r="AL69" s="294" t="s">
        <v>459</v>
      </c>
      <c r="AM69" s="298" t="s">
        <v>52</v>
      </c>
      <c r="AN69" s="295" t="s">
        <v>52</v>
      </c>
      <c r="AO69" s="295" t="s">
        <v>52</v>
      </c>
      <c r="AP69" s="295" t="s">
        <v>52</v>
      </c>
      <c r="AQ69" s="295">
        <v>66.290000000000006</v>
      </c>
      <c r="AR69" s="295">
        <v>15.49</v>
      </c>
      <c r="AS69" s="295">
        <v>31</v>
      </c>
      <c r="AT69" s="302" t="s">
        <v>52</v>
      </c>
      <c r="AU69" s="302" t="s">
        <v>52</v>
      </c>
      <c r="AV69" s="302" t="s">
        <v>52</v>
      </c>
      <c r="AW69" s="302" t="s">
        <v>52</v>
      </c>
      <c r="AX69" s="302"/>
      <c r="AY69" s="302"/>
      <c r="AZ69" s="301"/>
      <c r="BA69" s="295">
        <v>0</v>
      </c>
      <c r="BC69" s="294"/>
      <c r="BD69" s="294"/>
    </row>
    <row r="70" spans="1:56" s="295" customFormat="1" ht="17" customHeight="1" x14ac:dyDescent="0.2">
      <c r="A70" t="s">
        <v>995</v>
      </c>
      <c r="B70" t="s">
        <v>949</v>
      </c>
      <c r="C70">
        <v>70</v>
      </c>
      <c r="D70"/>
      <c r="E70" t="str">
        <f>IF(coder1_YH!G70="","",TRUE)</f>
        <v/>
      </c>
      <c r="F70" t="b">
        <f>IF(coder1_YH!P70="","",TRUE)</f>
        <v>1</v>
      </c>
      <c r="G70" s="117"/>
      <c r="H70" s="117"/>
      <c r="I70" s="294"/>
      <c r="J70" s="294"/>
      <c r="M70" s="294"/>
      <c r="N70" s="295" t="s">
        <v>949</v>
      </c>
      <c r="O70" s="295" t="s">
        <v>949</v>
      </c>
      <c r="P70" s="295">
        <v>2</v>
      </c>
      <c r="Q70" s="295" t="s">
        <v>309</v>
      </c>
      <c r="R70" s="355" t="s">
        <v>352</v>
      </c>
      <c r="S70" s="296">
        <v>16</v>
      </c>
      <c r="T70" s="296">
        <v>0</v>
      </c>
      <c r="U70" s="296">
        <v>0</v>
      </c>
      <c r="V70" s="296">
        <v>0.6</v>
      </c>
      <c r="W70" s="296">
        <v>0</v>
      </c>
      <c r="X70" s="296">
        <f>1-0.46</f>
        <v>0.54</v>
      </c>
      <c r="Y70" s="296">
        <f>1-0.21</f>
        <v>0.79</v>
      </c>
      <c r="Z70" s="295" t="s">
        <v>92</v>
      </c>
      <c r="AA70" s="297" t="s">
        <v>310</v>
      </c>
      <c r="AB70" s="295" t="s">
        <v>71</v>
      </c>
      <c r="AC70" s="295" t="s">
        <v>153</v>
      </c>
      <c r="AD70" s="295" t="s">
        <v>162</v>
      </c>
      <c r="AE70" s="295" t="s">
        <v>58</v>
      </c>
      <c r="AF70" s="295">
        <f>AG70*AH70</f>
        <v>840</v>
      </c>
      <c r="AG70" s="295">
        <v>14</v>
      </c>
      <c r="AH70" s="295">
        <v>60</v>
      </c>
      <c r="AJ70" s="295" t="s">
        <v>304</v>
      </c>
      <c r="AK70" s="295" t="s">
        <v>61</v>
      </c>
      <c r="AL70" s="294" t="s">
        <v>459</v>
      </c>
      <c r="AM70" s="298" t="s">
        <v>52</v>
      </c>
      <c r="AN70" s="299" t="s">
        <v>52</v>
      </c>
      <c r="AO70" s="299" t="s">
        <v>52</v>
      </c>
      <c r="AP70" s="299" t="s">
        <v>52</v>
      </c>
      <c r="AQ70" s="299">
        <v>561.75</v>
      </c>
      <c r="AR70" s="299">
        <v>19.93</v>
      </c>
      <c r="AS70" s="299">
        <v>24</v>
      </c>
      <c r="AT70" s="302" t="s">
        <v>52</v>
      </c>
      <c r="AU70" s="302" t="s">
        <v>52</v>
      </c>
      <c r="AV70" s="302" t="s">
        <v>52</v>
      </c>
      <c r="AW70" s="302" t="s">
        <v>52</v>
      </c>
      <c r="AX70" s="302"/>
      <c r="AY70" s="302"/>
      <c r="AZ70" s="301"/>
      <c r="BA70" s="295">
        <v>0</v>
      </c>
      <c r="BC70" s="294"/>
      <c r="BD70" s="294"/>
    </row>
    <row r="71" spans="1:56" s="295" customFormat="1" ht="17" customHeight="1" x14ac:dyDescent="0.2">
      <c r="A71" t="s">
        <v>995</v>
      </c>
      <c r="B71" t="s">
        <v>949</v>
      </c>
      <c r="C71">
        <v>71</v>
      </c>
      <c r="D71"/>
      <c r="E71" t="str">
        <f>IF(coder1_YH!G71="","",TRUE)</f>
        <v/>
      </c>
      <c r="F71" t="str">
        <f>IF(coder1_YH!P71="","",TRUE)</f>
        <v/>
      </c>
      <c r="G71" s="117"/>
      <c r="H71" s="117"/>
      <c r="I71" s="294"/>
      <c r="J71" s="294"/>
      <c r="O71" s="295" t="str">
        <f t="shared" si="11"/>
        <v/>
      </c>
      <c r="R71" s="355"/>
      <c r="S71" s="296"/>
      <c r="T71" s="296"/>
      <c r="U71" s="296"/>
      <c r="V71" s="296"/>
      <c r="W71" s="296"/>
      <c r="X71" s="296"/>
      <c r="Y71" s="296"/>
      <c r="AA71" s="297"/>
      <c r="AJ71" s="295" t="s">
        <v>305</v>
      </c>
      <c r="AK71" s="295" t="s">
        <v>95</v>
      </c>
      <c r="AL71" s="294" t="s">
        <v>459</v>
      </c>
      <c r="AM71" s="298" t="s">
        <v>52</v>
      </c>
      <c r="AN71" s="295" t="s">
        <v>52</v>
      </c>
      <c r="AO71" s="295" t="s">
        <v>52</v>
      </c>
      <c r="AP71" s="295" t="s">
        <v>52</v>
      </c>
      <c r="AQ71" s="295">
        <v>79.47</v>
      </c>
      <c r="AR71" s="295">
        <v>6.85</v>
      </c>
      <c r="AS71" s="295">
        <v>19</v>
      </c>
      <c r="AT71" s="302" t="s">
        <v>52</v>
      </c>
      <c r="AU71" s="302" t="s">
        <v>52</v>
      </c>
      <c r="AV71" s="302" t="s">
        <v>52</v>
      </c>
      <c r="AW71" s="302" t="s">
        <v>52</v>
      </c>
      <c r="AX71" s="302"/>
      <c r="AY71" s="302"/>
      <c r="AZ71" s="301"/>
      <c r="BA71" s="295">
        <v>0</v>
      </c>
      <c r="BC71" s="294"/>
      <c r="BD71" s="294"/>
    </row>
    <row r="72" spans="1:56" s="295" customFormat="1" ht="17" customHeight="1" x14ac:dyDescent="0.2">
      <c r="A72" t="s">
        <v>995</v>
      </c>
      <c r="B72" t="s">
        <v>949</v>
      </c>
      <c r="C72">
        <v>72</v>
      </c>
      <c r="D72"/>
      <c r="E72" t="str">
        <f>IF(coder1_YH!G72="","",TRUE)</f>
        <v/>
      </c>
      <c r="F72" t="str">
        <f>IF(coder1_YH!P72="","",TRUE)</f>
        <v/>
      </c>
      <c r="G72" s="117"/>
      <c r="H72" s="117"/>
      <c r="I72" s="294"/>
      <c r="J72" s="294"/>
      <c r="O72" s="295" t="str">
        <f t="shared" si="11"/>
        <v/>
      </c>
      <c r="R72" s="355"/>
      <c r="S72" s="296"/>
      <c r="T72" s="296"/>
      <c r="U72" s="296"/>
      <c r="V72" s="296"/>
      <c r="W72" s="296"/>
      <c r="X72" s="296"/>
      <c r="Y72" s="296"/>
      <c r="AA72" s="297"/>
      <c r="AJ72" s="295" t="s">
        <v>306</v>
      </c>
      <c r="AK72" s="295" t="s">
        <v>95</v>
      </c>
      <c r="AL72" s="294" t="s">
        <v>459</v>
      </c>
      <c r="AM72" s="298" t="s">
        <v>52</v>
      </c>
      <c r="AN72" s="295" t="s">
        <v>52</v>
      </c>
      <c r="AO72" s="295" t="s">
        <v>52</v>
      </c>
      <c r="AP72" s="295" t="s">
        <v>52</v>
      </c>
      <c r="AQ72" s="295">
        <v>82.63</v>
      </c>
      <c r="AR72" s="295">
        <v>12.18</v>
      </c>
      <c r="AS72" s="295">
        <v>19</v>
      </c>
      <c r="AT72" s="302" t="s">
        <v>52</v>
      </c>
      <c r="AU72" s="302" t="s">
        <v>52</v>
      </c>
      <c r="AV72" s="302" t="s">
        <v>52</v>
      </c>
      <c r="AW72" s="302" t="s">
        <v>52</v>
      </c>
      <c r="AX72" s="302"/>
      <c r="AY72" s="302"/>
      <c r="AZ72" s="301"/>
      <c r="BA72" s="295">
        <v>0</v>
      </c>
      <c r="BC72" s="294"/>
      <c r="BD72" s="294"/>
    </row>
    <row r="73" spans="1:56" s="295" customFormat="1" ht="17" customHeight="1" x14ac:dyDescent="0.2">
      <c r="A73" t="s">
        <v>995</v>
      </c>
      <c r="B73" t="s">
        <v>949</v>
      </c>
      <c r="C73">
        <v>73</v>
      </c>
      <c r="D73"/>
      <c r="E73" t="str">
        <f>IF(coder1_YH!G73="","",TRUE)</f>
        <v/>
      </c>
      <c r="F73" t="str">
        <f>IF(coder1_YH!P73="","",TRUE)</f>
        <v/>
      </c>
      <c r="G73" s="117"/>
      <c r="H73" s="117"/>
      <c r="I73" s="294"/>
      <c r="J73" s="294"/>
      <c r="O73" s="295" t="str">
        <f t="shared" si="11"/>
        <v/>
      </c>
      <c r="R73" s="355"/>
      <c r="S73" s="296"/>
      <c r="T73" s="296"/>
      <c r="U73" s="296"/>
      <c r="V73" s="296"/>
      <c r="W73" s="296"/>
      <c r="X73" s="296"/>
      <c r="Y73" s="296"/>
      <c r="AA73" s="297"/>
      <c r="AJ73" s="295" t="s">
        <v>307</v>
      </c>
      <c r="AK73" s="295" t="s">
        <v>95</v>
      </c>
      <c r="AL73" s="294" t="s">
        <v>459</v>
      </c>
      <c r="AM73" s="298" t="s">
        <v>52</v>
      </c>
      <c r="AN73" s="295" t="s">
        <v>52</v>
      </c>
      <c r="AO73" s="295" t="s">
        <v>52</v>
      </c>
      <c r="AP73" s="295" t="s">
        <v>52</v>
      </c>
      <c r="AQ73" s="295">
        <v>90.53</v>
      </c>
      <c r="AR73" s="295">
        <v>10.26</v>
      </c>
      <c r="AS73" s="295">
        <v>19</v>
      </c>
      <c r="AT73" s="302" t="s">
        <v>52</v>
      </c>
      <c r="AU73" s="302" t="s">
        <v>52</v>
      </c>
      <c r="AV73" s="302" t="s">
        <v>52</v>
      </c>
      <c r="AW73" s="302" t="s">
        <v>52</v>
      </c>
      <c r="AX73" s="302"/>
      <c r="AY73" s="302"/>
      <c r="AZ73" s="301"/>
      <c r="BA73" s="295">
        <v>0</v>
      </c>
      <c r="BC73" s="294"/>
      <c r="BD73" s="294"/>
    </row>
    <row r="74" spans="1:56" s="295" customFormat="1" ht="17" customHeight="1" x14ac:dyDescent="0.2">
      <c r="A74" t="s">
        <v>995</v>
      </c>
      <c r="B74" t="s">
        <v>949</v>
      </c>
      <c r="C74">
        <v>74</v>
      </c>
      <c r="D74"/>
      <c r="E74" t="str">
        <f>IF(coder1_YH!G74="","",TRUE)</f>
        <v/>
      </c>
      <c r="F74" t="str">
        <f>IF(coder1_YH!P74="","",TRUE)</f>
        <v/>
      </c>
      <c r="G74" s="117"/>
      <c r="H74" s="117"/>
      <c r="I74" s="294"/>
      <c r="J74" s="294"/>
      <c r="O74" s="295" t="str">
        <f t="shared" si="11"/>
        <v/>
      </c>
      <c r="R74" s="355"/>
      <c r="S74" s="296"/>
      <c r="T74" s="296"/>
      <c r="U74" s="296"/>
      <c r="V74" s="296"/>
      <c r="W74" s="296"/>
      <c r="X74" s="296"/>
      <c r="Y74" s="296"/>
      <c r="AA74" s="297"/>
      <c r="AJ74" s="295" t="s">
        <v>308</v>
      </c>
      <c r="AK74" s="295" t="s">
        <v>95</v>
      </c>
      <c r="AL74" s="294" t="s">
        <v>459</v>
      </c>
      <c r="AM74" s="298" t="s">
        <v>52</v>
      </c>
      <c r="AN74" s="295" t="s">
        <v>52</v>
      </c>
      <c r="AO74" s="295" t="s">
        <v>52</v>
      </c>
      <c r="AP74" s="295" t="s">
        <v>52</v>
      </c>
      <c r="AQ74" s="295">
        <v>68.42</v>
      </c>
      <c r="AR74" s="295">
        <v>14.63</v>
      </c>
      <c r="AS74" s="295">
        <v>19</v>
      </c>
      <c r="AT74" s="302" t="s">
        <v>52</v>
      </c>
      <c r="AU74" s="302" t="s">
        <v>52</v>
      </c>
      <c r="AV74" s="302" t="s">
        <v>52</v>
      </c>
      <c r="AW74" s="302" t="s">
        <v>52</v>
      </c>
      <c r="AX74" s="302"/>
      <c r="AY74" s="302"/>
      <c r="AZ74" s="301"/>
      <c r="BA74" s="295">
        <v>0</v>
      </c>
      <c r="BC74" s="294"/>
      <c r="BD74" s="294"/>
    </row>
    <row r="75" spans="1:56" s="295" customFormat="1" ht="17" customHeight="1" x14ac:dyDescent="0.2">
      <c r="A75" t="s">
        <v>995</v>
      </c>
      <c r="B75" t="s">
        <v>949</v>
      </c>
      <c r="C75">
        <v>75</v>
      </c>
      <c r="D75"/>
      <c r="E75" t="str">
        <f>IF(coder1_YH!G75="","",TRUE)</f>
        <v/>
      </c>
      <c r="F75" t="b">
        <f>IF(coder1_YH!P75="","",TRUE)</f>
        <v>1</v>
      </c>
      <c r="G75" s="117"/>
      <c r="H75" s="117"/>
      <c r="I75" s="294"/>
      <c r="J75" s="294"/>
      <c r="M75" s="294"/>
      <c r="N75" s="295" t="s">
        <v>949</v>
      </c>
      <c r="O75" s="295" t="s">
        <v>949</v>
      </c>
      <c r="P75" s="295" t="s">
        <v>924</v>
      </c>
      <c r="Q75" s="295" t="s">
        <v>311</v>
      </c>
      <c r="R75" s="355" t="s">
        <v>352</v>
      </c>
      <c r="S75" s="296">
        <v>16</v>
      </c>
      <c r="T75" s="296">
        <v>0</v>
      </c>
      <c r="U75" s="296">
        <v>0</v>
      </c>
      <c r="V75" s="296">
        <v>0.6</v>
      </c>
      <c r="W75" s="296">
        <v>0</v>
      </c>
      <c r="X75" s="296">
        <f>1-0.46</f>
        <v>0.54</v>
      </c>
      <c r="Y75" s="296">
        <f>1-0.21</f>
        <v>0.79</v>
      </c>
      <c r="Z75" s="295" t="s">
        <v>78</v>
      </c>
      <c r="AA75" s="297" t="s">
        <v>312</v>
      </c>
      <c r="AB75" s="303" t="s">
        <v>71</v>
      </c>
      <c r="AC75" s="295" t="s">
        <v>78</v>
      </c>
      <c r="AD75" s="295" t="s">
        <v>78</v>
      </c>
      <c r="AE75" s="295" t="s">
        <v>78</v>
      </c>
      <c r="AF75" s="295" t="s">
        <v>78</v>
      </c>
      <c r="AG75" s="295" t="s">
        <v>78</v>
      </c>
      <c r="AH75" s="295" t="s">
        <v>78</v>
      </c>
      <c r="AI75" s="295" t="s">
        <v>78</v>
      </c>
      <c r="AJ75" s="295" t="s">
        <v>304</v>
      </c>
      <c r="AK75" s="295" t="s">
        <v>61</v>
      </c>
      <c r="AL75" s="294" t="s">
        <v>459</v>
      </c>
      <c r="AM75" s="298" t="s">
        <v>52</v>
      </c>
      <c r="AN75" s="299" t="s">
        <v>52</v>
      </c>
      <c r="AO75" s="299" t="s">
        <v>52</v>
      </c>
      <c r="AP75" s="299" t="s">
        <v>52</v>
      </c>
      <c r="AQ75" s="299">
        <v>549.12</v>
      </c>
      <c r="AR75" s="299">
        <v>22.19</v>
      </c>
      <c r="AS75" s="299">
        <v>43</v>
      </c>
      <c r="AT75" s="302" t="s">
        <v>52</v>
      </c>
      <c r="AU75" s="302" t="s">
        <v>52</v>
      </c>
      <c r="AV75" s="302" t="s">
        <v>52</v>
      </c>
      <c r="AW75" s="302" t="s">
        <v>52</v>
      </c>
      <c r="AX75" s="302"/>
      <c r="AY75" s="302"/>
      <c r="AZ75" s="301"/>
      <c r="BA75" s="295">
        <v>0</v>
      </c>
      <c r="BC75" s="294"/>
      <c r="BD75" s="294"/>
    </row>
    <row r="76" spans="1:56" s="295" customFormat="1" ht="17" customHeight="1" x14ac:dyDescent="0.2">
      <c r="A76" t="s">
        <v>995</v>
      </c>
      <c r="B76" t="s">
        <v>949</v>
      </c>
      <c r="C76">
        <v>76</v>
      </c>
      <c r="D76"/>
      <c r="E76" t="str">
        <f>IF(coder1_YH!G76="","",TRUE)</f>
        <v/>
      </c>
      <c r="F76" t="str">
        <f>IF(coder1_YH!P76="","",TRUE)</f>
        <v/>
      </c>
      <c r="G76" s="117"/>
      <c r="H76" s="117"/>
      <c r="I76" s="294"/>
      <c r="J76" s="294"/>
      <c r="O76" s="295" t="str">
        <f t="shared" si="11"/>
        <v/>
      </c>
      <c r="R76" s="355"/>
      <c r="S76" s="296"/>
      <c r="T76" s="296"/>
      <c r="U76" s="296"/>
      <c r="V76" s="296"/>
      <c r="W76" s="296"/>
      <c r="X76" s="296"/>
      <c r="Y76" s="296"/>
      <c r="AA76" s="297"/>
      <c r="AJ76" s="295" t="s">
        <v>305</v>
      </c>
      <c r="AK76" s="295" t="s">
        <v>95</v>
      </c>
      <c r="AL76" s="294" t="s">
        <v>459</v>
      </c>
      <c r="AM76" s="298" t="s">
        <v>52</v>
      </c>
      <c r="AN76" s="295" t="s">
        <v>52</v>
      </c>
      <c r="AO76" s="295" t="s">
        <v>52</v>
      </c>
      <c r="AP76" s="295" t="s">
        <v>52</v>
      </c>
      <c r="AQ76" s="295">
        <v>64.64</v>
      </c>
      <c r="AR76" s="295">
        <v>17.71</v>
      </c>
      <c r="AS76" s="295">
        <v>56</v>
      </c>
      <c r="AT76" s="302" t="s">
        <v>52</v>
      </c>
      <c r="AU76" s="302" t="s">
        <v>52</v>
      </c>
      <c r="AV76" s="302" t="s">
        <v>52</v>
      </c>
      <c r="AW76" s="302" t="s">
        <v>52</v>
      </c>
      <c r="AX76" s="302"/>
      <c r="AY76" s="302"/>
      <c r="AZ76" s="301"/>
      <c r="BA76" s="295">
        <v>0</v>
      </c>
      <c r="BC76" s="294"/>
      <c r="BD76" s="294"/>
    </row>
    <row r="77" spans="1:56" s="295" customFormat="1" ht="17" customHeight="1" x14ac:dyDescent="0.2">
      <c r="A77" t="s">
        <v>995</v>
      </c>
      <c r="B77" t="s">
        <v>949</v>
      </c>
      <c r="C77">
        <v>77</v>
      </c>
      <c r="D77"/>
      <c r="E77" t="str">
        <f>IF(coder1_YH!G77="","",TRUE)</f>
        <v/>
      </c>
      <c r="F77" t="str">
        <f>IF(coder1_YH!P77="","",TRUE)</f>
        <v/>
      </c>
      <c r="G77" s="117"/>
      <c r="H77" s="117"/>
      <c r="I77" s="294"/>
      <c r="J77" s="294"/>
      <c r="O77" s="295" t="str">
        <f t="shared" si="11"/>
        <v/>
      </c>
      <c r="R77" s="356"/>
      <c r="S77" s="296"/>
      <c r="T77" s="301"/>
      <c r="U77" s="296"/>
      <c r="V77" s="296"/>
      <c r="W77" s="296"/>
      <c r="X77" s="301"/>
      <c r="Y77" s="296"/>
      <c r="AJ77" s="295" t="s">
        <v>306</v>
      </c>
      <c r="AK77" s="295" t="s">
        <v>95</v>
      </c>
      <c r="AL77" s="294" t="s">
        <v>459</v>
      </c>
      <c r="AM77" s="298" t="s">
        <v>52</v>
      </c>
      <c r="AN77" s="295" t="s">
        <v>52</v>
      </c>
      <c r="AO77" s="295" t="s">
        <v>52</v>
      </c>
      <c r="AP77" s="295" t="s">
        <v>52</v>
      </c>
      <c r="AQ77" s="295">
        <v>78.13</v>
      </c>
      <c r="AR77" s="295">
        <v>18.43</v>
      </c>
      <c r="AS77" s="295">
        <v>56</v>
      </c>
      <c r="AT77" s="302" t="s">
        <v>52</v>
      </c>
      <c r="AU77" s="302" t="s">
        <v>52</v>
      </c>
      <c r="AV77" s="302" t="s">
        <v>52</v>
      </c>
      <c r="AW77" s="302" t="s">
        <v>52</v>
      </c>
      <c r="AX77" s="302"/>
      <c r="AY77" s="302"/>
      <c r="AZ77" s="301"/>
      <c r="BA77" s="295">
        <v>0</v>
      </c>
      <c r="BC77" s="294"/>
      <c r="BD77" s="294"/>
    </row>
    <row r="78" spans="1:56" s="295" customFormat="1" ht="17" customHeight="1" x14ac:dyDescent="0.2">
      <c r="A78" t="s">
        <v>995</v>
      </c>
      <c r="B78" t="s">
        <v>949</v>
      </c>
      <c r="C78">
        <v>78</v>
      </c>
      <c r="D78"/>
      <c r="E78" t="str">
        <f>IF(coder1_YH!G78="","",TRUE)</f>
        <v/>
      </c>
      <c r="F78" t="str">
        <f>IF(coder1_YH!P78="","",TRUE)</f>
        <v/>
      </c>
      <c r="G78" s="117"/>
      <c r="H78" s="117"/>
      <c r="I78" s="294"/>
      <c r="J78" s="294"/>
      <c r="O78" s="295" t="str">
        <f t="shared" si="11"/>
        <v/>
      </c>
      <c r="R78" s="356"/>
      <c r="S78" s="296"/>
      <c r="T78" s="301"/>
      <c r="U78" s="296"/>
      <c r="V78" s="296"/>
      <c r="W78" s="296"/>
      <c r="X78" s="301"/>
      <c r="Y78" s="296"/>
      <c r="AJ78" s="295" t="s">
        <v>307</v>
      </c>
      <c r="AK78" s="295" t="s">
        <v>95</v>
      </c>
      <c r="AL78" s="294" t="s">
        <v>459</v>
      </c>
      <c r="AM78" s="298" t="s">
        <v>52</v>
      </c>
      <c r="AN78" s="295" t="s">
        <v>52</v>
      </c>
      <c r="AO78" s="295" t="s">
        <v>52</v>
      </c>
      <c r="AP78" s="295" t="s">
        <v>52</v>
      </c>
      <c r="AQ78" s="295">
        <v>75.45</v>
      </c>
      <c r="AR78" s="295">
        <v>21.69</v>
      </c>
      <c r="AS78" s="295">
        <v>56</v>
      </c>
      <c r="AT78" s="302" t="s">
        <v>52</v>
      </c>
      <c r="AU78" s="302" t="s">
        <v>52</v>
      </c>
      <c r="AV78" s="302" t="s">
        <v>52</v>
      </c>
      <c r="AW78" s="302" t="s">
        <v>52</v>
      </c>
      <c r="AX78" s="302"/>
      <c r="AY78" s="302"/>
      <c r="AZ78" s="301"/>
      <c r="BA78" s="295">
        <v>0</v>
      </c>
      <c r="BC78" s="294"/>
      <c r="BD78" s="294"/>
    </row>
    <row r="79" spans="1:56" s="304" customFormat="1" ht="17" customHeight="1" x14ac:dyDescent="0.2">
      <c r="A79" t="s">
        <v>995</v>
      </c>
      <c r="B79" t="s">
        <v>949</v>
      </c>
      <c r="C79">
        <v>79</v>
      </c>
      <c r="D79"/>
      <c r="E79" t="str">
        <f>IF(coder1_YH!G79="","",TRUE)</f>
        <v/>
      </c>
      <c r="F79" t="str">
        <f>IF(coder1_YH!P79="","",TRUE)</f>
        <v/>
      </c>
      <c r="G79" s="123"/>
      <c r="H79" s="123"/>
      <c r="I79" s="305"/>
      <c r="J79" s="305"/>
      <c r="O79" s="304" t="str">
        <f t="shared" si="11"/>
        <v/>
      </c>
      <c r="R79" s="357"/>
      <c r="S79" s="307"/>
      <c r="T79" s="306"/>
      <c r="U79" s="307"/>
      <c r="V79" s="307"/>
      <c r="W79" s="307"/>
      <c r="X79" s="306"/>
      <c r="Y79" s="307"/>
      <c r="AJ79" s="304" t="s">
        <v>308</v>
      </c>
      <c r="AK79" s="304" t="s">
        <v>95</v>
      </c>
      <c r="AL79" s="294" t="s">
        <v>459</v>
      </c>
      <c r="AM79" s="308" t="s">
        <v>52</v>
      </c>
      <c r="AN79" s="304" t="s">
        <v>52</v>
      </c>
      <c r="AO79" s="304" t="s">
        <v>52</v>
      </c>
      <c r="AP79" s="304" t="s">
        <v>52</v>
      </c>
      <c r="AQ79" s="304">
        <v>56.88</v>
      </c>
      <c r="AR79" s="304">
        <v>20.170000000000002</v>
      </c>
      <c r="AS79" s="304">
        <v>56</v>
      </c>
      <c r="AT79" s="309" t="s">
        <v>52</v>
      </c>
      <c r="AU79" s="309" t="s">
        <v>52</v>
      </c>
      <c r="AV79" s="309" t="s">
        <v>52</v>
      </c>
      <c r="AW79" s="309" t="s">
        <v>52</v>
      </c>
      <c r="AX79" s="309"/>
      <c r="AY79" s="309"/>
      <c r="AZ79" s="306"/>
      <c r="BA79" s="304">
        <v>0</v>
      </c>
      <c r="BC79" s="305"/>
      <c r="BD79" s="305"/>
    </row>
    <row r="80" spans="1:56" ht="17" customHeight="1" x14ac:dyDescent="0.2">
      <c r="C80">
        <v>80</v>
      </c>
      <c r="D80" t="b">
        <f>E80</f>
        <v>1</v>
      </c>
      <c r="E80" t="b">
        <f>IF(coder1_YH!G80="","",TRUE)</f>
        <v>1</v>
      </c>
      <c r="F80" t="b">
        <f>IF(coder1_YH!P80="","",TRUE)</f>
        <v>1</v>
      </c>
      <c r="G80" s="117" t="s">
        <v>1016</v>
      </c>
      <c r="H80" s="117">
        <v>117</v>
      </c>
      <c r="I80" s="88" t="s">
        <v>47</v>
      </c>
      <c r="J80" s="88" t="s">
        <v>452</v>
      </c>
      <c r="K80" s="130" t="s">
        <v>66</v>
      </c>
      <c r="L80" s="130" t="s">
        <v>49</v>
      </c>
      <c r="M80" s="88" t="s">
        <v>238</v>
      </c>
      <c r="N80" s="283" t="s">
        <v>915</v>
      </c>
      <c r="O80" s="283" t="str">
        <f t="shared" si="11"/>
        <v xml:space="preserve">m </v>
      </c>
      <c r="P80" s="127">
        <v>1</v>
      </c>
      <c r="Q80" s="127" t="s">
        <v>313</v>
      </c>
      <c r="R80" s="351" t="s">
        <v>363</v>
      </c>
      <c r="S80" s="245">
        <v>8.5</v>
      </c>
      <c r="T80" s="245" t="s">
        <v>52</v>
      </c>
      <c r="U80" s="227" t="s">
        <v>52</v>
      </c>
      <c r="V80" s="245">
        <f>27/148</f>
        <v>0.18243243243243243</v>
      </c>
      <c r="W80" s="245" t="s">
        <v>52</v>
      </c>
      <c r="X80" s="245">
        <f>71/148</f>
        <v>0.47972972972972971</v>
      </c>
      <c r="Y80" s="227">
        <f>1-112/148</f>
        <v>0.2432432432432432</v>
      </c>
      <c r="Z80" s="245" t="s">
        <v>92</v>
      </c>
      <c r="AA80" s="246" t="s">
        <v>315</v>
      </c>
      <c r="AB80" s="127" t="s">
        <v>71</v>
      </c>
      <c r="AC80" s="127" t="s">
        <v>153</v>
      </c>
      <c r="AD80" s="127" t="s">
        <v>162</v>
      </c>
      <c r="AE80" s="127" t="s">
        <v>58</v>
      </c>
      <c r="AF80" s="127">
        <f>AG80*AH80</f>
        <v>5400</v>
      </c>
      <c r="AG80" s="127">
        <f>12*5</f>
        <v>60</v>
      </c>
      <c r="AH80" s="127">
        <v>90</v>
      </c>
      <c r="AI80" s="127" t="s">
        <v>59</v>
      </c>
      <c r="AJ80" s="127" t="s">
        <v>316</v>
      </c>
      <c r="AK80" s="127" t="s">
        <v>95</v>
      </c>
      <c r="AL80" s="60" t="s">
        <v>459</v>
      </c>
      <c r="AM80" s="146" t="s">
        <v>586</v>
      </c>
      <c r="AN80" s="127">
        <v>3.13</v>
      </c>
      <c r="AO80" s="127">
        <v>1.1000000000000001</v>
      </c>
      <c r="AP80" s="127">
        <v>148</v>
      </c>
      <c r="AQ80" s="127">
        <v>3.65</v>
      </c>
      <c r="AR80" s="127">
        <v>1.04</v>
      </c>
      <c r="AS80" s="202">
        <v>148</v>
      </c>
      <c r="AT80" s="194" t="s">
        <v>52</v>
      </c>
      <c r="AU80" s="194" t="s">
        <v>52</v>
      </c>
      <c r="AV80" s="194" t="s">
        <v>52</v>
      </c>
      <c r="AW80" s="194" t="s">
        <v>52</v>
      </c>
      <c r="AX80" s="194"/>
      <c r="AY80" s="194"/>
      <c r="AZ80" s="261"/>
      <c r="BA80" s="127">
        <v>0</v>
      </c>
      <c r="BB80" s="60" t="s">
        <v>317</v>
      </c>
      <c r="BC80" s="60" t="s">
        <v>86</v>
      </c>
      <c r="BD80" s="60"/>
    </row>
    <row r="81" spans="1:56" ht="17" customHeight="1" x14ac:dyDescent="0.2">
      <c r="C81">
        <v>81</v>
      </c>
      <c r="E81" t="str">
        <f>IF(coder1_YH!G81="","",TRUE)</f>
        <v/>
      </c>
      <c r="F81" t="str">
        <f>IF(coder1_YH!P81="","",TRUE)</f>
        <v/>
      </c>
      <c r="G81" s="117"/>
      <c r="H81" s="117"/>
      <c r="M81" s="130"/>
      <c r="O81" s="283" t="str">
        <f t="shared" si="11"/>
        <v/>
      </c>
      <c r="U81" s="262"/>
      <c r="Y81" s="262"/>
      <c r="Z81" s="245"/>
      <c r="AJ81" s="127" t="s">
        <v>318</v>
      </c>
      <c r="AK81" s="127" t="s">
        <v>95</v>
      </c>
      <c r="AL81" s="60" t="s">
        <v>459</v>
      </c>
      <c r="AM81" s="146" t="s">
        <v>587</v>
      </c>
      <c r="AN81" s="127">
        <v>0.31</v>
      </c>
      <c r="AO81" s="127">
        <v>0.18</v>
      </c>
      <c r="AP81" s="127">
        <v>148</v>
      </c>
      <c r="AQ81" s="127">
        <v>0.56000000000000005</v>
      </c>
      <c r="AR81" s="127">
        <v>0.14000000000000001</v>
      </c>
      <c r="AS81" s="127">
        <v>148</v>
      </c>
      <c r="AT81" s="194" t="s">
        <v>52</v>
      </c>
      <c r="AU81" s="194" t="s">
        <v>52</v>
      </c>
      <c r="AV81" s="194" t="s">
        <v>52</v>
      </c>
      <c r="AW81" s="194" t="s">
        <v>52</v>
      </c>
      <c r="AX81" s="194"/>
      <c r="AY81" s="194"/>
      <c r="AZ81" s="261"/>
      <c r="BA81" s="127">
        <v>0</v>
      </c>
      <c r="BB81"/>
      <c r="BD81" s="60"/>
    </row>
    <row r="82" spans="1:56" ht="17" customHeight="1" x14ac:dyDescent="0.2">
      <c r="C82">
        <v>82</v>
      </c>
      <c r="E82" t="str">
        <f>IF(coder1_YH!G82="","",TRUE)</f>
        <v/>
      </c>
      <c r="F82" t="b">
        <f>IF(coder1_YH!P82="","",TRUE)</f>
        <v>1</v>
      </c>
      <c r="G82" s="117"/>
      <c r="H82" s="117"/>
      <c r="N82" s="283" t="s">
        <v>914</v>
      </c>
      <c r="O82" s="283" t="str">
        <f t="shared" si="11"/>
        <v xml:space="preserve">m </v>
      </c>
      <c r="P82" s="127" t="s">
        <v>924</v>
      </c>
      <c r="Q82" s="127" t="s">
        <v>319</v>
      </c>
      <c r="R82" s="351" t="s">
        <v>363</v>
      </c>
      <c r="S82" s="245">
        <v>8.5</v>
      </c>
      <c r="T82" s="245" t="s">
        <v>52</v>
      </c>
      <c r="U82" s="227" t="s">
        <v>52</v>
      </c>
      <c r="V82" s="245">
        <f>47/213</f>
        <v>0.22065727699530516</v>
      </c>
      <c r="W82" s="245" t="s">
        <v>52</v>
      </c>
      <c r="X82" s="245">
        <f>102/213</f>
        <v>0.47887323943661969</v>
      </c>
      <c r="Y82" s="227">
        <f>1-155/213</f>
        <v>0.27230046948356812</v>
      </c>
      <c r="Z82" s="245" t="s">
        <v>92</v>
      </c>
      <c r="AA82" s="246" t="s">
        <v>320</v>
      </c>
      <c r="AB82" s="127" t="s">
        <v>80</v>
      </c>
      <c r="AC82" s="127" t="s">
        <v>153</v>
      </c>
      <c r="AD82" s="127" t="s">
        <v>162</v>
      </c>
      <c r="AE82" s="127" t="s">
        <v>58</v>
      </c>
      <c r="AF82" s="127">
        <f>AG82*AH82</f>
        <v>5400</v>
      </c>
      <c r="AG82" s="127">
        <f>12*5</f>
        <v>60</v>
      </c>
      <c r="AH82" s="127">
        <v>90</v>
      </c>
      <c r="AI82" s="127" t="s">
        <v>59</v>
      </c>
      <c r="AJ82" s="127" t="s">
        <v>316</v>
      </c>
      <c r="AK82" s="127" t="s">
        <v>95</v>
      </c>
      <c r="AL82" s="60" t="s">
        <v>459</v>
      </c>
      <c r="AM82" s="146" t="s">
        <v>586</v>
      </c>
      <c r="AN82" s="127">
        <v>2.19</v>
      </c>
      <c r="AO82" s="127">
        <v>0.78</v>
      </c>
      <c r="AP82" s="127">
        <v>213</v>
      </c>
      <c r="AQ82" s="127">
        <v>2.87</v>
      </c>
      <c r="AR82" s="127">
        <v>0.51</v>
      </c>
      <c r="AS82" s="127">
        <v>213</v>
      </c>
      <c r="AT82" s="194" t="s">
        <v>52</v>
      </c>
      <c r="AU82" s="194" t="s">
        <v>52</v>
      </c>
      <c r="AV82" s="194" t="s">
        <v>52</v>
      </c>
      <c r="AW82" s="194" t="s">
        <v>52</v>
      </c>
      <c r="AX82" s="194"/>
      <c r="AY82" s="194"/>
      <c r="AZ82" s="261"/>
      <c r="BA82" s="127">
        <v>0</v>
      </c>
      <c r="BB82"/>
      <c r="BC82" s="60" t="s">
        <v>86</v>
      </c>
      <c r="BD82" s="60"/>
    </row>
    <row r="83" spans="1:56" s="128" customFormat="1" ht="17" customHeight="1" x14ac:dyDescent="0.2">
      <c r="A83"/>
      <c r="B83"/>
      <c r="C83">
        <v>83</v>
      </c>
      <c r="D83"/>
      <c r="E83" t="str">
        <f>IF(coder1_YH!G83="","",TRUE)</f>
        <v/>
      </c>
      <c r="F83" t="str">
        <f>IF(coder1_YH!P83="","",TRUE)</f>
        <v/>
      </c>
      <c r="G83" s="123"/>
      <c r="H83" s="117"/>
      <c r="I83" s="89"/>
      <c r="J83" s="88"/>
      <c r="K83" s="132"/>
      <c r="L83" s="132"/>
      <c r="M83" s="132"/>
      <c r="N83" s="284"/>
      <c r="O83" s="284" t="str">
        <f t="shared" si="11"/>
        <v/>
      </c>
      <c r="R83" s="352"/>
      <c r="S83" s="247"/>
      <c r="T83" s="247"/>
      <c r="U83" s="247"/>
      <c r="V83" s="247"/>
      <c r="W83" s="247"/>
      <c r="X83" s="247"/>
      <c r="Y83" s="263"/>
      <c r="Z83" s="247"/>
      <c r="AA83" s="247"/>
      <c r="AE83" s="264"/>
      <c r="AF83" s="264"/>
      <c r="AG83" s="264"/>
      <c r="AJ83" s="128" t="s">
        <v>318</v>
      </c>
      <c r="AK83" s="128" t="s">
        <v>95</v>
      </c>
      <c r="AL83" s="60" t="s">
        <v>459</v>
      </c>
      <c r="AM83" s="146" t="s">
        <v>587</v>
      </c>
      <c r="AN83" s="128">
        <v>0.15</v>
      </c>
      <c r="AO83" s="128">
        <v>0.15</v>
      </c>
      <c r="AP83" s="128">
        <v>213</v>
      </c>
      <c r="AQ83" s="128">
        <v>0.31</v>
      </c>
      <c r="AR83" s="128">
        <v>0.16</v>
      </c>
      <c r="AS83" s="128">
        <v>213</v>
      </c>
      <c r="AT83" s="194" t="s">
        <v>52</v>
      </c>
      <c r="AU83" s="194" t="s">
        <v>52</v>
      </c>
      <c r="AV83" s="194" t="s">
        <v>52</v>
      </c>
      <c r="AW83" s="194" t="s">
        <v>52</v>
      </c>
      <c r="AX83" s="194"/>
      <c r="AY83" s="194"/>
      <c r="AZ83" s="264"/>
      <c r="BA83" s="128">
        <v>0</v>
      </c>
      <c r="BB83" s="265"/>
      <c r="BC83" s="63"/>
      <c r="BD83" s="63"/>
    </row>
    <row r="84" spans="1:56" ht="17" customHeight="1" x14ac:dyDescent="0.2">
      <c r="C84">
        <v>84</v>
      </c>
      <c r="D84" t="b">
        <f>E84</f>
        <v>1</v>
      </c>
      <c r="E84" t="b">
        <f>IF(coder1_YH!G84="","",TRUE)</f>
        <v>1</v>
      </c>
      <c r="F84" t="b">
        <f>IF(coder1_YH!P84="","",TRUE)</f>
        <v>1</v>
      </c>
      <c r="G84" s="117" t="s">
        <v>1017</v>
      </c>
      <c r="H84" s="315">
        <v>118</v>
      </c>
      <c r="I84" s="88" t="s">
        <v>47</v>
      </c>
      <c r="J84" s="88" t="s">
        <v>452</v>
      </c>
      <c r="K84" s="130" t="s">
        <v>66</v>
      </c>
      <c r="L84" s="130" t="s">
        <v>49</v>
      </c>
      <c r="M84" s="88" t="s">
        <v>238</v>
      </c>
      <c r="N84" s="283" t="s">
        <v>915</v>
      </c>
      <c r="O84" s="283" t="str">
        <f t="shared" si="11"/>
        <v xml:space="preserve">m </v>
      </c>
      <c r="P84" s="127">
        <v>1</v>
      </c>
      <c r="Q84" s="127" t="s">
        <v>321</v>
      </c>
      <c r="R84" s="351" t="s">
        <v>363</v>
      </c>
      <c r="S84" s="245">
        <v>8.5</v>
      </c>
      <c r="T84" s="245" t="s">
        <v>52</v>
      </c>
      <c r="U84" s="245">
        <f>29/184</f>
        <v>0.15760869565217392</v>
      </c>
      <c r="V84" s="245" t="s">
        <v>52</v>
      </c>
      <c r="W84" s="245">
        <f>4/195</f>
        <v>2.0512820512820513E-2</v>
      </c>
      <c r="X84" s="245">
        <f>108/191</f>
        <v>0.56544502617801051</v>
      </c>
      <c r="Y84" s="227">
        <f>1-94/180</f>
        <v>0.47777777777777775</v>
      </c>
      <c r="Z84" s="127" t="s">
        <v>92</v>
      </c>
      <c r="AA84" s="246" t="s">
        <v>322</v>
      </c>
      <c r="AB84" s="127" t="s">
        <v>71</v>
      </c>
      <c r="AC84" s="127" t="s">
        <v>153</v>
      </c>
      <c r="AD84" s="127" t="s">
        <v>162</v>
      </c>
      <c r="AE84" s="127" t="s">
        <v>58</v>
      </c>
      <c r="AF84" s="127">
        <f>AG84*AH84</f>
        <v>5400</v>
      </c>
      <c r="AG84" s="127">
        <f>12*5</f>
        <v>60</v>
      </c>
      <c r="AH84" s="127">
        <v>90</v>
      </c>
      <c r="AI84" s="127" t="s">
        <v>59</v>
      </c>
      <c r="AJ84" s="127" t="s">
        <v>323</v>
      </c>
      <c r="AK84" s="127" t="s">
        <v>95</v>
      </c>
      <c r="AL84" s="60" t="s">
        <v>459</v>
      </c>
      <c r="AM84" s="148" t="s">
        <v>587</v>
      </c>
      <c r="AN84" s="127">
        <v>0.33</v>
      </c>
      <c r="AO84" s="127">
        <v>0.11</v>
      </c>
      <c r="AP84" s="127">
        <v>191</v>
      </c>
      <c r="AQ84" s="127">
        <v>0.46</v>
      </c>
      <c r="AR84" s="127">
        <v>9.8000000000000004E-2</v>
      </c>
      <c r="AS84" s="127">
        <v>191</v>
      </c>
      <c r="AT84" s="196" t="s">
        <v>52</v>
      </c>
      <c r="AU84" s="196" t="s">
        <v>52</v>
      </c>
      <c r="AV84" s="196" t="s">
        <v>52</v>
      </c>
      <c r="AW84" s="196" t="s">
        <v>52</v>
      </c>
      <c r="AX84" s="196"/>
      <c r="AY84" s="196"/>
      <c r="AZ84" s="261"/>
      <c r="BA84" s="127">
        <v>0</v>
      </c>
      <c r="BB84" s="60" t="s">
        <v>317</v>
      </c>
      <c r="BC84" s="60" t="s">
        <v>86</v>
      </c>
      <c r="BD84" s="60"/>
    </row>
    <row r="85" spans="1:56" ht="17" customHeight="1" x14ac:dyDescent="0.2">
      <c r="C85">
        <v>85</v>
      </c>
      <c r="E85" t="str">
        <f>IF(coder1_YH!G85="","",TRUE)</f>
        <v/>
      </c>
      <c r="F85" t="str">
        <f>IF(coder1_YH!P85="","",TRUE)</f>
        <v/>
      </c>
      <c r="G85" s="117"/>
      <c r="H85" s="117"/>
      <c r="M85" s="130"/>
      <c r="O85" s="283" t="str">
        <f t="shared" si="11"/>
        <v/>
      </c>
      <c r="AE85" s="261"/>
      <c r="AJ85" s="127" t="s">
        <v>324</v>
      </c>
      <c r="AK85" s="127" t="s">
        <v>61</v>
      </c>
      <c r="AL85" s="60" t="s">
        <v>459</v>
      </c>
      <c r="AM85" s="146" t="s">
        <v>52</v>
      </c>
      <c r="AN85" s="127" t="s">
        <v>52</v>
      </c>
      <c r="AO85" s="127" t="s">
        <v>52</v>
      </c>
      <c r="AP85" s="127" t="s">
        <v>52</v>
      </c>
      <c r="AQ85" s="127">
        <v>498.6</v>
      </c>
      <c r="AR85" s="127">
        <v>22.57</v>
      </c>
      <c r="AS85" s="127">
        <v>191</v>
      </c>
      <c r="AT85" s="194" t="s">
        <v>52</v>
      </c>
      <c r="AU85" s="194" t="s">
        <v>52</v>
      </c>
      <c r="AV85" s="194" t="s">
        <v>52</v>
      </c>
      <c r="AW85" s="194" t="s">
        <v>52</v>
      </c>
      <c r="AX85" s="194"/>
      <c r="AY85" s="194"/>
      <c r="AZ85" s="261"/>
      <c r="BA85" s="127">
        <v>0</v>
      </c>
      <c r="BB85" s="127"/>
      <c r="BD85" s="60"/>
    </row>
    <row r="86" spans="1:56" ht="17" customHeight="1" x14ac:dyDescent="0.2">
      <c r="C86">
        <v>86</v>
      </c>
      <c r="E86" t="str">
        <f>IF(coder1_YH!G86="","",TRUE)</f>
        <v/>
      </c>
      <c r="F86" t="b">
        <f>IF(coder1_YH!P86="","",TRUE)</f>
        <v>1</v>
      </c>
      <c r="G86" s="117"/>
      <c r="H86" s="117"/>
      <c r="N86" s="283" t="s">
        <v>915</v>
      </c>
      <c r="O86" s="283" t="str">
        <f t="shared" si="11"/>
        <v xml:space="preserve">m </v>
      </c>
      <c r="P86" s="127">
        <v>2</v>
      </c>
      <c r="Q86" s="127" t="s">
        <v>325</v>
      </c>
      <c r="R86" s="351" t="s">
        <v>363</v>
      </c>
      <c r="S86" s="245">
        <v>8.5</v>
      </c>
      <c r="T86" s="245" t="s">
        <v>52</v>
      </c>
      <c r="U86" s="266">
        <f>26/248</f>
        <v>0.10483870967741936</v>
      </c>
      <c r="V86" s="245" t="s">
        <v>52</v>
      </c>
      <c r="W86" s="245">
        <f>7/260</f>
        <v>2.6923076923076925E-2</v>
      </c>
      <c r="X86" s="245">
        <f>129/257</f>
        <v>0.50194552529182879</v>
      </c>
      <c r="Y86" s="245">
        <f>109/247</f>
        <v>0.44129554655870445</v>
      </c>
      <c r="Z86" s="127" t="s">
        <v>92</v>
      </c>
      <c r="AA86" s="246" t="s">
        <v>326</v>
      </c>
      <c r="AB86" s="127" t="s">
        <v>80</v>
      </c>
      <c r="AC86" s="127" t="s">
        <v>153</v>
      </c>
      <c r="AD86" s="127" t="s">
        <v>162</v>
      </c>
      <c r="AE86" s="127" t="s">
        <v>58</v>
      </c>
      <c r="AF86" s="127">
        <f>AG86*AH86</f>
        <v>5400</v>
      </c>
      <c r="AG86" s="127">
        <f>12*5</f>
        <v>60</v>
      </c>
      <c r="AH86" s="127">
        <v>90</v>
      </c>
      <c r="AI86" s="127" t="s">
        <v>59</v>
      </c>
      <c r="AJ86" s="127" t="s">
        <v>323</v>
      </c>
      <c r="AK86" s="127" t="s">
        <v>95</v>
      </c>
      <c r="AL86" s="60" t="s">
        <v>459</v>
      </c>
      <c r="AM86" s="146" t="s">
        <v>587</v>
      </c>
      <c r="AN86" s="127">
        <v>0.32</v>
      </c>
      <c r="AO86" s="127">
        <v>7.3999999999999996E-2</v>
      </c>
      <c r="AP86" s="127">
        <v>257</v>
      </c>
      <c r="AQ86" s="127">
        <v>0.38</v>
      </c>
      <c r="AR86" s="127">
        <v>5.3999999999999999E-2</v>
      </c>
      <c r="AS86" s="127">
        <v>257</v>
      </c>
      <c r="AT86" s="194" t="s">
        <v>52</v>
      </c>
      <c r="AU86" s="194" t="s">
        <v>52</v>
      </c>
      <c r="AV86" s="194" t="s">
        <v>52</v>
      </c>
      <c r="AW86" s="194" t="s">
        <v>52</v>
      </c>
      <c r="AX86" s="194"/>
      <c r="AY86" s="194"/>
      <c r="AZ86" s="261"/>
      <c r="BA86" s="127">
        <v>0</v>
      </c>
      <c r="BB86" s="127"/>
      <c r="BC86" s="60" t="s">
        <v>86</v>
      </c>
      <c r="BD86" s="60"/>
    </row>
    <row r="87" spans="1:56" ht="17" customHeight="1" x14ac:dyDescent="0.2">
      <c r="C87">
        <v>87</v>
      </c>
      <c r="E87" t="str">
        <f>IF(coder1_YH!G87="","",TRUE)</f>
        <v/>
      </c>
      <c r="F87" t="str">
        <f>IF(coder1_YH!P87="","",TRUE)</f>
        <v/>
      </c>
      <c r="G87" s="117"/>
      <c r="H87" s="117"/>
      <c r="M87" s="130"/>
      <c r="O87" s="283" t="str">
        <f t="shared" si="11"/>
        <v/>
      </c>
      <c r="U87" s="266"/>
      <c r="AE87" s="261"/>
      <c r="AF87" s="261"/>
      <c r="AG87" s="261"/>
      <c r="AJ87" s="127" t="s">
        <v>324</v>
      </c>
      <c r="AK87" s="127" t="s">
        <v>61</v>
      </c>
      <c r="AL87" s="60" t="s">
        <v>459</v>
      </c>
      <c r="AM87" s="146" t="s">
        <v>52</v>
      </c>
      <c r="AN87" s="127" t="s">
        <v>52</v>
      </c>
      <c r="AO87" s="127" t="s">
        <v>52</v>
      </c>
      <c r="AP87" s="127" t="s">
        <v>52</v>
      </c>
      <c r="AQ87" s="127">
        <v>468.57</v>
      </c>
      <c r="AR87" s="127">
        <v>15.85</v>
      </c>
      <c r="AS87" s="127">
        <v>257</v>
      </c>
      <c r="AT87" s="194" t="s">
        <v>52</v>
      </c>
      <c r="AU87" s="194" t="s">
        <v>52</v>
      </c>
      <c r="AV87" s="194" t="s">
        <v>52</v>
      </c>
      <c r="AW87" s="194" t="s">
        <v>52</v>
      </c>
      <c r="AX87" s="194"/>
      <c r="AY87" s="194"/>
      <c r="AZ87" s="261"/>
      <c r="BA87" s="127">
        <v>0</v>
      </c>
      <c r="BB87" s="127"/>
      <c r="BC87" s="127"/>
      <c r="BD87" s="60"/>
    </row>
    <row r="88" spans="1:56" ht="17" customHeight="1" x14ac:dyDescent="0.2">
      <c r="C88">
        <v>88</v>
      </c>
      <c r="E88" t="str">
        <f>IF(coder1_YH!G88="","",TRUE)</f>
        <v/>
      </c>
      <c r="F88" t="b">
        <f>IF(coder1_YH!P88="","",TRUE)</f>
        <v>1</v>
      </c>
      <c r="G88" s="117"/>
      <c r="H88" s="117"/>
      <c r="N88" s="283" t="s">
        <v>915</v>
      </c>
      <c r="O88" s="283" t="str">
        <f t="shared" si="11"/>
        <v>.</v>
      </c>
      <c r="P88" s="127" t="s">
        <v>924</v>
      </c>
      <c r="Q88" s="127" t="s">
        <v>327</v>
      </c>
      <c r="R88" s="351" t="s">
        <v>363</v>
      </c>
      <c r="S88" s="245">
        <v>8.5</v>
      </c>
      <c r="T88" s="245" t="s">
        <v>52</v>
      </c>
      <c r="U88" s="245">
        <f>12/59</f>
        <v>0.20338983050847459</v>
      </c>
      <c r="V88" s="245" t="s">
        <v>52</v>
      </c>
      <c r="W88" s="245">
        <f>0/83</f>
        <v>0</v>
      </c>
      <c r="X88" s="245">
        <f>42/76</f>
        <v>0.55263157894736847</v>
      </c>
      <c r="Y88" s="245">
        <f>6/59</f>
        <v>0.10169491525423729</v>
      </c>
      <c r="Z88" s="127" t="s">
        <v>78</v>
      </c>
      <c r="AA88" s="246" t="s">
        <v>328</v>
      </c>
      <c r="AB88" s="127" t="s">
        <v>80</v>
      </c>
      <c r="AC88" s="127" t="s">
        <v>153</v>
      </c>
      <c r="AD88" s="127" t="s">
        <v>162</v>
      </c>
      <c r="AE88" s="127" t="s">
        <v>58</v>
      </c>
      <c r="AF88" s="127">
        <f>AG88*AH88</f>
        <v>5400</v>
      </c>
      <c r="AG88" s="127">
        <f>12*5</f>
        <v>60</v>
      </c>
      <c r="AH88" s="127">
        <v>90</v>
      </c>
      <c r="AI88" s="127" t="s">
        <v>59</v>
      </c>
      <c r="AJ88" s="127" t="s">
        <v>323</v>
      </c>
      <c r="AK88" s="127" t="s">
        <v>95</v>
      </c>
      <c r="AL88" s="60" t="s">
        <v>459</v>
      </c>
      <c r="AM88" s="146" t="s">
        <v>587</v>
      </c>
      <c r="AN88" s="127">
        <v>0.32</v>
      </c>
      <c r="AO88" s="127">
        <v>4.9000000000000002E-2</v>
      </c>
      <c r="AP88" s="127">
        <v>76</v>
      </c>
      <c r="AQ88" s="127">
        <v>0.35</v>
      </c>
      <c r="AR88" s="127">
        <v>0.04</v>
      </c>
      <c r="AS88" s="127">
        <v>76</v>
      </c>
      <c r="AT88" s="194" t="s">
        <v>52</v>
      </c>
      <c r="AU88" s="194" t="s">
        <v>52</v>
      </c>
      <c r="AV88" s="194" t="s">
        <v>52</v>
      </c>
      <c r="AW88" s="194" t="s">
        <v>52</v>
      </c>
      <c r="AX88" s="194"/>
      <c r="AY88" s="194"/>
      <c r="AZ88" s="261"/>
      <c r="BA88" s="127">
        <v>0</v>
      </c>
      <c r="BB88" s="127"/>
      <c r="BC88" s="60" t="s">
        <v>86</v>
      </c>
      <c r="BD88" s="60"/>
    </row>
    <row r="89" spans="1:56" s="128" customFormat="1" ht="17" customHeight="1" x14ac:dyDescent="0.2">
      <c r="A89"/>
      <c r="B89"/>
      <c r="C89">
        <v>89</v>
      </c>
      <c r="D89"/>
      <c r="E89" t="str">
        <f>IF(coder1_YH!G89="","",TRUE)</f>
        <v/>
      </c>
      <c r="F89" t="str">
        <f>IF(coder1_YH!P89="","",TRUE)</f>
        <v/>
      </c>
      <c r="G89" s="123"/>
      <c r="H89" s="123"/>
      <c r="I89" s="89"/>
      <c r="J89" s="89"/>
      <c r="K89" s="132"/>
      <c r="L89" s="132"/>
      <c r="M89" s="132"/>
      <c r="N89" s="284"/>
      <c r="O89" s="284" t="str">
        <f t="shared" si="11"/>
        <v/>
      </c>
      <c r="R89" s="350"/>
      <c r="S89" s="232"/>
      <c r="T89" s="232"/>
      <c r="U89" s="232"/>
      <c r="V89" s="232"/>
      <c r="W89" s="232"/>
      <c r="X89" s="232"/>
      <c r="Y89" s="232"/>
      <c r="Z89" s="232"/>
      <c r="AA89" s="232"/>
      <c r="AB89" s="232"/>
      <c r="AC89" s="232"/>
      <c r="AD89" s="232"/>
      <c r="AE89" s="232"/>
      <c r="AF89" s="232"/>
      <c r="AG89" s="232"/>
      <c r="AH89" s="232"/>
      <c r="AI89" s="232"/>
      <c r="AJ89" s="128" t="s">
        <v>324</v>
      </c>
      <c r="AK89" s="128" t="s">
        <v>61</v>
      </c>
      <c r="AL89" s="60" t="s">
        <v>459</v>
      </c>
      <c r="AM89" s="147" t="s">
        <v>52</v>
      </c>
      <c r="AN89" s="128" t="s">
        <v>52</v>
      </c>
      <c r="AO89" s="128" t="s">
        <v>52</v>
      </c>
      <c r="AP89" s="128" t="s">
        <v>52</v>
      </c>
      <c r="AQ89" s="128">
        <v>483.33</v>
      </c>
      <c r="AR89" s="128">
        <v>11.93</v>
      </c>
      <c r="AS89" s="128">
        <v>76</v>
      </c>
      <c r="AT89" s="195" t="s">
        <v>52</v>
      </c>
      <c r="AU89" s="195" t="s">
        <v>52</v>
      </c>
      <c r="AV89" s="195" t="s">
        <v>52</v>
      </c>
      <c r="AW89" s="195" t="s">
        <v>52</v>
      </c>
      <c r="AX89" s="195"/>
      <c r="AY89" s="195"/>
      <c r="AZ89" s="264"/>
      <c r="BA89" s="128">
        <v>0</v>
      </c>
      <c r="BC89" s="63"/>
      <c r="BD89" s="63"/>
    </row>
    <row r="90" spans="1:56" ht="16" customHeight="1" x14ac:dyDescent="0.2">
      <c r="C90">
        <v>90</v>
      </c>
      <c r="D90" t="b">
        <f>E90</f>
        <v>1</v>
      </c>
      <c r="E90" t="b">
        <f>IF(coder1_YH!G90="","",TRUE)</f>
        <v>1</v>
      </c>
      <c r="F90" t="b">
        <f>IF(coder1_YH!P90="","",TRUE)</f>
        <v>1</v>
      </c>
      <c r="G90" s="117" t="s">
        <v>372</v>
      </c>
      <c r="H90" s="117">
        <v>119</v>
      </c>
      <c r="I90" s="88" t="s">
        <v>329</v>
      </c>
      <c r="J90" s="88" t="s">
        <v>571</v>
      </c>
      <c r="K90" s="130" t="s">
        <v>66</v>
      </c>
      <c r="L90" s="130" t="s">
        <v>49</v>
      </c>
      <c r="M90" s="88" t="s">
        <v>50</v>
      </c>
      <c r="N90" s="283" t="s">
        <v>916</v>
      </c>
      <c r="O90" s="283" t="str">
        <f t="shared" si="11"/>
        <v>cm</v>
      </c>
      <c r="P90" s="127">
        <v>1</v>
      </c>
      <c r="Q90" s="127" t="s">
        <v>330</v>
      </c>
      <c r="R90" s="349" t="s">
        <v>83</v>
      </c>
      <c r="S90" s="228">
        <v>10.02</v>
      </c>
      <c r="T90" s="228">
        <v>1</v>
      </c>
      <c r="U90" s="228" t="s">
        <v>52</v>
      </c>
      <c r="V90" s="228" t="s">
        <v>52</v>
      </c>
      <c r="W90" s="228" t="s">
        <v>52</v>
      </c>
      <c r="X90" s="228">
        <f>22/50</f>
        <v>0.44</v>
      </c>
      <c r="Y90" s="228" t="s">
        <v>52</v>
      </c>
      <c r="Z90" s="187" t="s">
        <v>53</v>
      </c>
      <c r="AA90" s="246" t="s">
        <v>331</v>
      </c>
      <c r="AB90" s="228" t="s">
        <v>71</v>
      </c>
      <c r="AC90" s="228" t="s">
        <v>153</v>
      </c>
      <c r="AD90" s="228" t="s">
        <v>57</v>
      </c>
      <c r="AE90" s="228" t="s">
        <v>58</v>
      </c>
      <c r="AF90" s="127">
        <f>AG90*AH90</f>
        <v>720</v>
      </c>
      <c r="AG90" s="228">
        <v>8</v>
      </c>
      <c r="AH90" s="228">
        <v>90</v>
      </c>
      <c r="AI90" s="127" t="s">
        <v>59</v>
      </c>
      <c r="AJ90" s="127" t="s">
        <v>332</v>
      </c>
      <c r="AK90" s="127" t="s">
        <v>95</v>
      </c>
      <c r="AL90" s="60" t="s">
        <v>459</v>
      </c>
      <c r="AM90" s="148" t="s">
        <v>588</v>
      </c>
      <c r="AN90" s="127">
        <v>0.53</v>
      </c>
      <c r="AO90" s="127">
        <f>0.02*SQRT(AP90)</f>
        <v>0.1414213562373095</v>
      </c>
      <c r="AP90" s="127">
        <v>50</v>
      </c>
      <c r="AQ90" s="127">
        <v>0.56000000000000005</v>
      </c>
      <c r="AR90" s="127">
        <f>0.02*SQRT(AS90)</f>
        <v>0.13114877048604001</v>
      </c>
      <c r="AS90" s="127">
        <v>43</v>
      </c>
      <c r="AT90" s="202">
        <v>0.61</v>
      </c>
      <c r="AU90" s="202">
        <f>0.02/SQRT(AV90)</f>
        <v>2.9172998299578914E-3</v>
      </c>
      <c r="AV90" s="202">
        <v>47</v>
      </c>
      <c r="AW90" s="127">
        <v>7</v>
      </c>
      <c r="AX90" s="194"/>
      <c r="AY90" s="194"/>
      <c r="AZ90" s="261"/>
      <c r="BA90" s="184">
        <v>1</v>
      </c>
      <c r="BB90" s="267" t="s">
        <v>333</v>
      </c>
      <c r="BC90" s="60" t="s">
        <v>374</v>
      </c>
    </row>
    <row r="91" spans="1:56" ht="16" customHeight="1" x14ac:dyDescent="0.2">
      <c r="C91">
        <v>91</v>
      </c>
      <c r="E91" t="str">
        <f>IF(coder1_YH!G91="","",TRUE)</f>
        <v/>
      </c>
      <c r="F91" t="b">
        <f>IF(coder1_YH!P91="","",TRUE)</f>
        <v>1</v>
      </c>
      <c r="G91" s="318"/>
      <c r="H91" s="117"/>
      <c r="N91" s="283" t="s">
        <v>915</v>
      </c>
      <c r="O91" s="283" t="str">
        <f t="shared" si="11"/>
        <v>cm</v>
      </c>
      <c r="P91" s="127">
        <v>2</v>
      </c>
      <c r="Q91" s="127" t="s">
        <v>334</v>
      </c>
      <c r="R91" s="349" t="s">
        <v>83</v>
      </c>
      <c r="S91" s="228">
        <v>9.89</v>
      </c>
      <c r="T91" s="228">
        <v>1</v>
      </c>
      <c r="U91" s="228" t="s">
        <v>52</v>
      </c>
      <c r="V91" s="228" t="s">
        <v>52</v>
      </c>
      <c r="W91" s="228" t="s">
        <v>52</v>
      </c>
      <c r="X91" s="228">
        <f>18/49</f>
        <v>0.36734693877551022</v>
      </c>
      <c r="Y91" s="228" t="s">
        <v>52</v>
      </c>
      <c r="Z91" s="187" t="s">
        <v>53</v>
      </c>
      <c r="AA91" s="246" t="s">
        <v>335</v>
      </c>
      <c r="AB91" s="228" t="s">
        <v>71</v>
      </c>
      <c r="AC91" s="228" t="s">
        <v>153</v>
      </c>
      <c r="AD91" s="228" t="s">
        <v>57</v>
      </c>
      <c r="AE91" s="228" t="s">
        <v>58</v>
      </c>
      <c r="AF91" s="127">
        <f>AG91*AH91</f>
        <v>720</v>
      </c>
      <c r="AG91" s="228">
        <v>8</v>
      </c>
      <c r="AH91" s="228">
        <v>90</v>
      </c>
      <c r="AI91" s="127" t="s">
        <v>59</v>
      </c>
      <c r="AJ91" s="127" t="s">
        <v>332</v>
      </c>
      <c r="AK91" s="127" t="s">
        <v>95</v>
      </c>
      <c r="AL91" s="60" t="s">
        <v>459</v>
      </c>
      <c r="AM91" s="146" t="s">
        <v>588</v>
      </c>
      <c r="AN91" s="127">
        <v>0.51</v>
      </c>
      <c r="AO91" s="127">
        <f>0.02*SQRT(AP91)</f>
        <v>0.13856406460551018</v>
      </c>
      <c r="AP91" s="127">
        <v>48</v>
      </c>
      <c r="AQ91" s="127">
        <v>0.56999999999999995</v>
      </c>
      <c r="AR91" s="127">
        <f>0.02*SQRT(AS91)</f>
        <v>0.12328828005937953</v>
      </c>
      <c r="AS91" s="127">
        <v>38</v>
      </c>
      <c r="AT91" s="127">
        <v>0.6</v>
      </c>
      <c r="AU91" s="127">
        <f>0.03/SQRT(AV91)</f>
        <v>4.6852128566581821E-3</v>
      </c>
      <c r="AV91" s="127">
        <v>41</v>
      </c>
      <c r="AW91" s="127">
        <v>7</v>
      </c>
      <c r="AX91" s="194"/>
      <c r="AY91" s="194"/>
      <c r="AZ91" s="261"/>
      <c r="BA91" s="184">
        <v>1</v>
      </c>
      <c r="BB91" s="267" t="s">
        <v>448</v>
      </c>
      <c r="BC91" s="60" t="s">
        <v>374</v>
      </c>
    </row>
    <row r="92" spans="1:56" s="128" customFormat="1" ht="16" customHeight="1" x14ac:dyDescent="0.2">
      <c r="A92"/>
      <c r="B92"/>
      <c r="C92">
        <v>92</v>
      </c>
      <c r="D92"/>
      <c r="E92" t="str">
        <f>IF(coder1_YH!G92="","",TRUE)</f>
        <v/>
      </c>
      <c r="F92" t="b">
        <f>IF(coder1_YH!P92="","",TRUE)</f>
        <v>1</v>
      </c>
      <c r="G92" s="117"/>
      <c r="H92" s="117"/>
      <c r="I92" s="89"/>
      <c r="J92" s="88"/>
      <c r="K92" s="132"/>
      <c r="L92" s="132"/>
      <c r="M92" s="89"/>
      <c r="N92" s="284" t="s">
        <v>914</v>
      </c>
      <c r="O92" s="284" t="str">
        <f t="shared" si="11"/>
        <v>.</v>
      </c>
      <c r="P92" s="128" t="s">
        <v>924</v>
      </c>
      <c r="Q92" s="128" t="s">
        <v>126</v>
      </c>
      <c r="R92" s="350" t="s">
        <v>83</v>
      </c>
      <c r="S92" s="232">
        <v>9.98</v>
      </c>
      <c r="T92" s="232">
        <v>1</v>
      </c>
      <c r="U92" s="232" t="s">
        <v>52</v>
      </c>
      <c r="V92" s="232" t="s">
        <v>52</v>
      </c>
      <c r="W92" s="232" t="s">
        <v>52</v>
      </c>
      <c r="X92" s="232">
        <f>27/59</f>
        <v>0.4576271186440678</v>
      </c>
      <c r="Y92" s="232" t="s">
        <v>52</v>
      </c>
      <c r="Z92" s="128" t="s">
        <v>78</v>
      </c>
      <c r="AA92" s="248" t="s">
        <v>336</v>
      </c>
      <c r="AB92" s="232" t="s">
        <v>80</v>
      </c>
      <c r="AC92" s="128" t="s">
        <v>78</v>
      </c>
      <c r="AD92" s="128" t="s">
        <v>78</v>
      </c>
      <c r="AE92" s="128" t="s">
        <v>78</v>
      </c>
      <c r="AF92" s="128" t="s">
        <v>78</v>
      </c>
      <c r="AG92" s="128" t="s">
        <v>78</v>
      </c>
      <c r="AH92" s="128" t="s">
        <v>78</v>
      </c>
      <c r="AI92" s="128" t="s">
        <v>78</v>
      </c>
      <c r="AJ92" s="128" t="s">
        <v>332</v>
      </c>
      <c r="AK92" s="128" t="s">
        <v>95</v>
      </c>
      <c r="AL92" s="60" t="s">
        <v>459</v>
      </c>
      <c r="AM92" s="147" t="s">
        <v>588</v>
      </c>
      <c r="AN92" s="128">
        <v>0.47</v>
      </c>
      <c r="AO92" s="128">
        <f>0.02*SQRT(AP92)</f>
        <v>0.15099668870541499</v>
      </c>
      <c r="AP92" s="128">
        <v>57</v>
      </c>
      <c r="AQ92" s="128">
        <v>0.53</v>
      </c>
      <c r="AR92" s="128">
        <f>0.02*SQRT(AS92)</f>
        <v>0.13856406460551018</v>
      </c>
      <c r="AS92" s="128">
        <v>48</v>
      </c>
      <c r="AT92" s="128">
        <v>0.56000000000000005</v>
      </c>
      <c r="AU92" s="128">
        <f t="shared" ref="AU92" si="12">0.02/SQRT(AV92)</f>
        <v>2.8284271247461901E-3</v>
      </c>
      <c r="AV92" s="128">
        <v>50</v>
      </c>
      <c r="AW92" s="127">
        <v>7</v>
      </c>
      <c r="AX92" s="194"/>
      <c r="AY92" s="194"/>
      <c r="AZ92" s="264"/>
      <c r="BA92" s="185">
        <v>1</v>
      </c>
      <c r="BB92" s="63"/>
      <c r="BC92" s="63" t="s">
        <v>374</v>
      </c>
    </row>
    <row r="93" spans="1:56" ht="19" customHeight="1" x14ac:dyDescent="0.2">
      <c r="C93">
        <v>93</v>
      </c>
      <c r="D93" t="b">
        <f>E93</f>
        <v>1</v>
      </c>
      <c r="E93" t="b">
        <f>IF(coder1_YH!G93="","",TRUE)</f>
        <v>1</v>
      </c>
      <c r="F93" t="b">
        <f>IF(coder1_YH!P93="","",TRUE)</f>
        <v>1</v>
      </c>
      <c r="G93" s="315" t="s">
        <v>377</v>
      </c>
      <c r="H93" s="315">
        <v>120</v>
      </c>
      <c r="I93" s="88" t="s">
        <v>47</v>
      </c>
      <c r="J93" s="144" t="s">
        <v>452</v>
      </c>
      <c r="K93" s="130" t="s">
        <v>66</v>
      </c>
      <c r="L93" s="130" t="s">
        <v>49</v>
      </c>
      <c r="M93" s="288" t="s">
        <v>50</v>
      </c>
      <c r="N93" s="283" t="s">
        <v>916</v>
      </c>
      <c r="O93" s="283" t="str">
        <f t="shared" si="11"/>
        <v xml:space="preserve">m </v>
      </c>
      <c r="P93" s="127">
        <v>1</v>
      </c>
      <c r="Q93" s="127" t="s">
        <v>337</v>
      </c>
      <c r="R93" s="349" t="s">
        <v>379</v>
      </c>
      <c r="S93" s="228">
        <v>6.5</v>
      </c>
      <c r="T93" s="228" t="s">
        <v>52</v>
      </c>
      <c r="U93" s="228">
        <f>(18+14)/(18+14+191+221)</f>
        <v>7.2072072072072071E-2</v>
      </c>
      <c r="V93" s="228" t="s">
        <v>52</v>
      </c>
      <c r="W93" s="228">
        <f>(35+49)/(35+49+174+186)</f>
        <v>0.1891891891891892</v>
      </c>
      <c r="X93" s="228">
        <f>(110+113)/(99+110+122+113)</f>
        <v>0.50225225225225223</v>
      </c>
      <c r="Y93" s="228">
        <f>1-(47+41)/(69+19+65+47+9+78+25+81+41+10)</f>
        <v>0.80180180180180183</v>
      </c>
      <c r="Z93" s="228" t="s">
        <v>92</v>
      </c>
      <c r="AA93" s="246" t="s">
        <v>338</v>
      </c>
      <c r="AB93" s="228" t="s">
        <v>55</v>
      </c>
      <c r="AC93" s="228" t="s">
        <v>153</v>
      </c>
      <c r="AD93" s="228" t="s">
        <v>162</v>
      </c>
      <c r="AE93" s="228" t="s">
        <v>58</v>
      </c>
      <c r="AF93" s="127">
        <f>AG93*AH93</f>
        <v>600</v>
      </c>
      <c r="AG93" s="228">
        <v>10</v>
      </c>
      <c r="AH93" s="228">
        <v>60</v>
      </c>
      <c r="AI93" s="127" t="s">
        <v>59</v>
      </c>
      <c r="AJ93" s="127" t="s">
        <v>339</v>
      </c>
      <c r="AK93" s="184" t="s">
        <v>95</v>
      </c>
      <c r="AL93" s="60" t="s">
        <v>459</v>
      </c>
      <c r="AM93" s="146" t="s">
        <v>589</v>
      </c>
      <c r="AN93" s="127">
        <v>171.92</v>
      </c>
      <c r="AO93" s="127">
        <v>15.81</v>
      </c>
      <c r="AP93" s="127">
        <v>319</v>
      </c>
      <c r="AQ93" s="127">
        <v>176.59</v>
      </c>
      <c r="AR93" s="127">
        <v>15.58</v>
      </c>
      <c r="AS93" s="127">
        <v>403</v>
      </c>
      <c r="AT93" s="196" t="s">
        <v>52</v>
      </c>
      <c r="AU93" s="196" t="s">
        <v>52</v>
      </c>
      <c r="AV93" s="196" t="s">
        <v>52</v>
      </c>
      <c r="AW93" s="196" t="s">
        <v>52</v>
      </c>
      <c r="AX93" s="196"/>
      <c r="AY93" s="196"/>
      <c r="AZ93" s="261"/>
      <c r="BA93" s="127">
        <v>0</v>
      </c>
      <c r="BB93" s="127"/>
      <c r="BC93" s="60" t="s">
        <v>86</v>
      </c>
      <c r="BD93" s="267"/>
    </row>
    <row r="94" spans="1:56" ht="19" customHeight="1" x14ac:dyDescent="0.2">
      <c r="C94">
        <v>94</v>
      </c>
      <c r="E94" t="str">
        <f>IF(coder1_YH!G94="","",TRUE)</f>
        <v/>
      </c>
      <c r="F94" t="str">
        <f>IF(coder1_YH!P94="","",TRUE)</f>
        <v/>
      </c>
      <c r="G94" s="117"/>
      <c r="H94" s="117"/>
      <c r="M94" s="130"/>
      <c r="O94" s="283" t="str">
        <f t="shared" si="11"/>
        <v/>
      </c>
      <c r="R94" s="349"/>
      <c r="S94" s="228"/>
      <c r="T94" s="228"/>
      <c r="U94" s="228"/>
      <c r="V94" s="228"/>
      <c r="W94" s="228"/>
      <c r="X94" s="228"/>
      <c r="Y94" s="228"/>
      <c r="Z94" s="228"/>
      <c r="AB94" s="228"/>
      <c r="AC94" s="228"/>
      <c r="AD94" s="228"/>
      <c r="AE94" s="228"/>
      <c r="AG94" s="228"/>
      <c r="AH94" s="228"/>
      <c r="AJ94" s="127" t="s">
        <v>340</v>
      </c>
      <c r="AK94" s="127" t="s">
        <v>61</v>
      </c>
      <c r="AL94" s="60" t="s">
        <v>459</v>
      </c>
      <c r="AM94" s="146" t="s">
        <v>590</v>
      </c>
      <c r="AN94" s="127">
        <v>189.37</v>
      </c>
      <c r="AO94" s="127">
        <v>101.26</v>
      </c>
      <c r="AP94" s="127">
        <v>425</v>
      </c>
      <c r="AQ94" s="127">
        <v>188.05</v>
      </c>
      <c r="AR94" s="127">
        <v>85.78</v>
      </c>
      <c r="AS94" s="127">
        <v>431</v>
      </c>
      <c r="AT94" s="194" t="s">
        <v>52</v>
      </c>
      <c r="AU94" s="194" t="s">
        <v>52</v>
      </c>
      <c r="AV94" s="194" t="s">
        <v>52</v>
      </c>
      <c r="AW94" s="194" t="s">
        <v>52</v>
      </c>
      <c r="AX94" s="194"/>
      <c r="AY94" s="194"/>
      <c r="AZ94" s="261"/>
      <c r="BA94" s="127">
        <v>0</v>
      </c>
      <c r="BB94" s="127"/>
      <c r="BD94" s="267"/>
    </row>
    <row r="95" spans="1:56" ht="19" customHeight="1" x14ac:dyDescent="0.2">
      <c r="C95">
        <v>95</v>
      </c>
      <c r="E95" t="str">
        <f>IF(coder1_YH!G95="","",TRUE)</f>
        <v/>
      </c>
      <c r="F95" t="b">
        <f>IF(coder1_YH!P95="","",TRUE)</f>
        <v>1</v>
      </c>
      <c r="G95" s="117"/>
      <c r="H95" s="117"/>
      <c r="N95" s="283" t="s">
        <v>914</v>
      </c>
      <c r="O95" s="283" t="str">
        <f t="shared" si="11"/>
        <v>.</v>
      </c>
      <c r="P95" s="127" t="s">
        <v>924</v>
      </c>
      <c r="Q95" s="127" t="s">
        <v>280</v>
      </c>
      <c r="R95" s="349" t="s">
        <v>379</v>
      </c>
      <c r="S95" s="228">
        <v>6.5</v>
      </c>
      <c r="T95" s="228" t="s">
        <v>52</v>
      </c>
      <c r="U95" s="228">
        <f>13/(13+205)</f>
        <v>5.9633027522935783E-2</v>
      </c>
      <c r="V95" s="228" t="s">
        <v>52</v>
      </c>
      <c r="W95" s="228">
        <f>52/(52+166)</f>
        <v>0.23853211009174313</v>
      </c>
      <c r="X95" s="228">
        <f>100/(100+118)</f>
        <v>0.45871559633027525</v>
      </c>
      <c r="Y95" s="228">
        <f>1-53/(70+16+75+53+4)</f>
        <v>0.75688073394495414</v>
      </c>
      <c r="Z95" s="228" t="s">
        <v>78</v>
      </c>
      <c r="AA95" s="246" t="s">
        <v>341</v>
      </c>
      <c r="AB95" s="228" t="s">
        <v>55</v>
      </c>
      <c r="AC95" s="127" t="s">
        <v>78</v>
      </c>
      <c r="AD95" s="127" t="s">
        <v>78</v>
      </c>
      <c r="AE95" s="127" t="s">
        <v>78</v>
      </c>
      <c r="AF95" s="127" t="s">
        <v>78</v>
      </c>
      <c r="AG95" s="127" t="s">
        <v>78</v>
      </c>
      <c r="AH95" s="127" t="s">
        <v>78</v>
      </c>
      <c r="AI95" s="127" t="s">
        <v>78</v>
      </c>
      <c r="AJ95" s="127" t="s">
        <v>339</v>
      </c>
      <c r="AK95" s="184" t="s">
        <v>95</v>
      </c>
      <c r="AL95" s="60" t="s">
        <v>459</v>
      </c>
      <c r="AM95" s="146" t="s">
        <v>589</v>
      </c>
      <c r="AN95" s="127">
        <v>173.76</v>
      </c>
      <c r="AO95" s="127">
        <v>15.97</v>
      </c>
      <c r="AP95" s="127">
        <v>165</v>
      </c>
      <c r="AQ95" s="127">
        <v>175.88</v>
      </c>
      <c r="AR95" s="127">
        <v>17.13</v>
      </c>
      <c r="AS95" s="127">
        <v>204</v>
      </c>
      <c r="AT95" s="194" t="s">
        <v>52</v>
      </c>
      <c r="AU95" s="194" t="s">
        <v>52</v>
      </c>
      <c r="AV95" s="194" t="s">
        <v>52</v>
      </c>
      <c r="AW95" s="194" t="s">
        <v>52</v>
      </c>
      <c r="AX95" s="194"/>
      <c r="AY95" s="194"/>
      <c r="AZ95" s="261"/>
      <c r="BA95" s="127">
        <v>0</v>
      </c>
      <c r="BB95" s="127"/>
      <c r="BC95" s="60" t="s">
        <v>86</v>
      </c>
      <c r="BD95" s="267"/>
    </row>
    <row r="96" spans="1:56" s="128" customFormat="1" ht="19" customHeight="1" x14ac:dyDescent="0.2">
      <c r="A96"/>
      <c r="B96"/>
      <c r="C96">
        <v>96</v>
      </c>
      <c r="D96"/>
      <c r="E96" t="str">
        <f>IF(coder1_YH!G96="","",TRUE)</f>
        <v/>
      </c>
      <c r="F96" t="str">
        <f>IF(coder1_YH!P96="","",TRUE)</f>
        <v/>
      </c>
      <c r="G96" s="123"/>
      <c r="H96" s="123"/>
      <c r="I96" s="89"/>
      <c r="J96" s="89"/>
      <c r="K96" s="132"/>
      <c r="L96" s="132"/>
      <c r="M96" s="132"/>
      <c r="N96" s="284"/>
      <c r="O96" s="284" t="str">
        <f t="shared" si="11"/>
        <v/>
      </c>
      <c r="R96" s="350"/>
      <c r="S96" s="232"/>
      <c r="T96" s="232"/>
      <c r="U96" s="232"/>
      <c r="V96" s="232"/>
      <c r="W96" s="232"/>
      <c r="X96" s="232"/>
      <c r="Y96" s="232"/>
      <c r="Z96" s="232"/>
      <c r="AA96" s="248"/>
      <c r="AB96" s="232"/>
      <c r="AC96" s="232"/>
      <c r="AD96" s="232"/>
      <c r="AE96" s="232"/>
      <c r="AG96" s="232"/>
      <c r="AH96" s="232"/>
      <c r="AJ96" s="128" t="s">
        <v>340</v>
      </c>
      <c r="AK96" s="128" t="s">
        <v>61</v>
      </c>
      <c r="AL96" s="63" t="s">
        <v>459</v>
      </c>
      <c r="AM96" s="147" t="s">
        <v>590</v>
      </c>
      <c r="AN96" s="128">
        <v>191.19</v>
      </c>
      <c r="AO96" s="185">
        <v>112.27</v>
      </c>
      <c r="AP96" s="128">
        <v>212</v>
      </c>
      <c r="AQ96" s="128">
        <v>186.26</v>
      </c>
      <c r="AR96" s="128">
        <v>93.54</v>
      </c>
      <c r="AS96" s="128">
        <v>214</v>
      </c>
      <c r="AT96" s="195" t="s">
        <v>52</v>
      </c>
      <c r="AU96" s="195" t="s">
        <v>52</v>
      </c>
      <c r="AV96" s="195" t="s">
        <v>52</v>
      </c>
      <c r="AW96" s="195" t="s">
        <v>52</v>
      </c>
      <c r="AX96" s="195"/>
      <c r="AY96" s="195"/>
      <c r="AZ96" s="264"/>
      <c r="BA96" s="128">
        <v>0</v>
      </c>
      <c r="BC96" s="63"/>
      <c r="BD96" s="268"/>
    </row>
    <row r="97" spans="1:55" ht="19" customHeight="1" x14ac:dyDescent="0.2">
      <c r="C97">
        <v>97</v>
      </c>
      <c r="D97" t="b">
        <f>E97</f>
        <v>1</v>
      </c>
      <c r="E97" t="b">
        <f>IF(coder1_YH!G97="","",TRUE)</f>
        <v>1</v>
      </c>
      <c r="F97" t="b">
        <f>IF(coder1_YH!P97="","",TRUE)</f>
        <v>1</v>
      </c>
      <c r="G97" s="116" t="s">
        <v>384</v>
      </c>
      <c r="H97" s="117">
        <v>121</v>
      </c>
      <c r="I97" s="347" t="s">
        <v>416</v>
      </c>
      <c r="J97" s="143" t="s">
        <v>572</v>
      </c>
      <c r="K97" s="88" t="s">
        <v>66</v>
      </c>
      <c r="L97" s="88" t="s">
        <v>49</v>
      </c>
      <c r="M97" s="88" t="s">
        <v>238</v>
      </c>
      <c r="N97" s="283" t="s">
        <v>916</v>
      </c>
      <c r="O97" s="283" t="str">
        <f t="shared" si="11"/>
        <v xml:space="preserve">m </v>
      </c>
      <c r="P97" s="127">
        <v>1</v>
      </c>
      <c r="Q97" s="60" t="s">
        <v>417</v>
      </c>
      <c r="R97" s="358" t="s">
        <v>146</v>
      </c>
      <c r="S97" s="109">
        <v>10.73</v>
      </c>
      <c r="T97" s="245" t="s">
        <v>52</v>
      </c>
      <c r="U97" s="90" t="s">
        <v>52</v>
      </c>
      <c r="V97" s="91">
        <v>0.75</v>
      </c>
      <c r="W97" s="91">
        <v>0</v>
      </c>
      <c r="X97" s="90">
        <f>44/(44+50)</f>
        <v>0.46808510638297873</v>
      </c>
      <c r="Y97" s="91">
        <v>0</v>
      </c>
      <c r="Z97" s="60" t="s">
        <v>92</v>
      </c>
      <c r="AA97" s="92" t="s">
        <v>418</v>
      </c>
      <c r="AB97" s="60" t="s">
        <v>71</v>
      </c>
      <c r="AC97" s="60" t="s">
        <v>153</v>
      </c>
      <c r="AD97" s="60" t="s">
        <v>57</v>
      </c>
      <c r="AE97" s="60" t="s">
        <v>58</v>
      </c>
      <c r="AF97" s="98">
        <f>AG97*AH97</f>
        <v>300</v>
      </c>
      <c r="AG97" s="98">
        <v>5</v>
      </c>
      <c r="AH97" s="60">
        <v>60</v>
      </c>
      <c r="AI97" s="60" t="s">
        <v>148</v>
      </c>
      <c r="AJ97" s="60" t="s">
        <v>437</v>
      </c>
      <c r="AK97" s="60" t="s">
        <v>95</v>
      </c>
      <c r="AL97" s="60" t="s">
        <v>459</v>
      </c>
      <c r="AM97" s="146" t="s">
        <v>591</v>
      </c>
      <c r="AN97" s="60" t="s">
        <v>52</v>
      </c>
      <c r="AO97" s="60" t="s">
        <v>52</v>
      </c>
      <c r="AP97" s="60" t="s">
        <v>52</v>
      </c>
      <c r="AQ97" s="60">
        <v>20.43</v>
      </c>
      <c r="AR97" s="60">
        <v>3.04</v>
      </c>
      <c r="AS97" s="60">
        <v>94</v>
      </c>
      <c r="AT97" s="127">
        <v>19.07</v>
      </c>
      <c r="AU97" s="127">
        <v>3.2919999999999998</v>
      </c>
      <c r="AV97" s="127">
        <v>94</v>
      </c>
      <c r="AW97" s="127">
        <v>3</v>
      </c>
      <c r="AX97" s="194"/>
      <c r="AY97" s="194"/>
      <c r="AZ97" s="60"/>
      <c r="BA97" s="184">
        <v>1</v>
      </c>
      <c r="BB97" s="60" t="s">
        <v>438</v>
      </c>
      <c r="BC97" s="60" t="s">
        <v>97</v>
      </c>
    </row>
    <row r="98" spans="1:55" ht="19" customHeight="1" x14ac:dyDescent="0.2">
      <c r="C98">
        <v>98</v>
      </c>
      <c r="E98" t="str">
        <f>IF(coder1_YH!G98="","",TRUE)</f>
        <v/>
      </c>
      <c r="F98" t="b">
        <f>IF(coder1_YH!P98="","",TRUE)</f>
        <v>1</v>
      </c>
      <c r="G98" s="116"/>
      <c r="H98" s="117"/>
      <c r="K98" s="88"/>
      <c r="L98" s="88"/>
      <c r="N98" s="283" t="s">
        <v>915</v>
      </c>
      <c r="O98" s="283" t="str">
        <f t="shared" si="11"/>
        <v xml:space="preserve">m </v>
      </c>
      <c r="P98" s="127">
        <v>2</v>
      </c>
      <c r="Q98" s="60" t="s">
        <v>419</v>
      </c>
      <c r="R98" s="358" t="s">
        <v>146</v>
      </c>
      <c r="S98" s="90">
        <v>10.69</v>
      </c>
      <c r="T98" s="245" t="s">
        <v>52</v>
      </c>
      <c r="U98" s="90" t="s">
        <v>52</v>
      </c>
      <c r="V98" s="91">
        <v>0.75</v>
      </c>
      <c r="W98" s="91">
        <v>0</v>
      </c>
      <c r="X98" s="90">
        <f>54/(54+45)</f>
        <v>0.54545454545454541</v>
      </c>
      <c r="Y98" s="91">
        <v>0</v>
      </c>
      <c r="Z98" s="60" t="s">
        <v>92</v>
      </c>
      <c r="AA98" s="92" t="s">
        <v>420</v>
      </c>
      <c r="AB98" s="60" t="s">
        <v>71</v>
      </c>
      <c r="AC98" s="60" t="s">
        <v>153</v>
      </c>
      <c r="AD98" s="60" t="s">
        <v>57</v>
      </c>
      <c r="AE98" s="60" t="s">
        <v>58</v>
      </c>
      <c r="AF98" s="98">
        <f>AG98*AH98</f>
        <v>300</v>
      </c>
      <c r="AG98" s="98">
        <v>5</v>
      </c>
      <c r="AH98" s="60">
        <v>60</v>
      </c>
      <c r="AI98" s="60" t="s">
        <v>148</v>
      </c>
      <c r="AJ98" s="60" t="s">
        <v>437</v>
      </c>
      <c r="AK98" s="60" t="s">
        <v>95</v>
      </c>
      <c r="AL98" s="60" t="s">
        <v>459</v>
      </c>
      <c r="AM98" s="146" t="s">
        <v>591</v>
      </c>
      <c r="AN98" s="60" t="s">
        <v>52</v>
      </c>
      <c r="AO98" s="60" t="s">
        <v>52</v>
      </c>
      <c r="AP98" s="60" t="s">
        <v>52</v>
      </c>
      <c r="AQ98" s="60">
        <v>19.38</v>
      </c>
      <c r="AR98" s="60">
        <v>2.8</v>
      </c>
      <c r="AS98" s="60">
        <v>99</v>
      </c>
      <c r="AT98" s="127">
        <v>19.12</v>
      </c>
      <c r="AU98" s="127">
        <v>3.18</v>
      </c>
      <c r="AV98" s="127">
        <v>99</v>
      </c>
      <c r="AW98" s="127">
        <v>3</v>
      </c>
      <c r="AX98" s="194"/>
      <c r="AY98" s="194"/>
      <c r="AZ98" s="60"/>
      <c r="BA98" s="184">
        <v>1</v>
      </c>
      <c r="BC98" s="60" t="s">
        <v>97</v>
      </c>
    </row>
    <row r="99" spans="1:55" ht="19" customHeight="1" x14ac:dyDescent="0.2">
      <c r="C99">
        <v>99</v>
      </c>
      <c r="E99" t="str">
        <f>IF(coder1_YH!G99="","",TRUE)</f>
        <v/>
      </c>
      <c r="F99" t="b">
        <f>IF(coder1_YH!P99="","",TRUE)</f>
        <v>1</v>
      </c>
      <c r="G99" s="116"/>
      <c r="H99" s="117"/>
      <c r="I99" s="89"/>
      <c r="K99" s="89"/>
      <c r="L99" s="89"/>
      <c r="M99" s="89"/>
      <c r="N99" s="284" t="s">
        <v>914</v>
      </c>
      <c r="O99" s="284" t="str">
        <f t="shared" si="11"/>
        <v>.</v>
      </c>
      <c r="P99" s="128" t="s">
        <v>924</v>
      </c>
      <c r="Q99" s="63" t="s">
        <v>421</v>
      </c>
      <c r="R99" s="359" t="s">
        <v>146</v>
      </c>
      <c r="S99" s="93">
        <v>10.69</v>
      </c>
      <c r="T99" s="247" t="s">
        <v>52</v>
      </c>
      <c r="U99" s="93" t="s">
        <v>52</v>
      </c>
      <c r="V99" s="94">
        <v>0.75</v>
      </c>
      <c r="W99" s="94">
        <v>0</v>
      </c>
      <c r="X99" s="93">
        <f>43/(43+43)</f>
        <v>0.5</v>
      </c>
      <c r="Y99" s="94">
        <v>0</v>
      </c>
      <c r="Z99" s="63" t="s">
        <v>78</v>
      </c>
      <c r="AA99" s="95" t="s">
        <v>391</v>
      </c>
      <c r="AB99" s="128" t="s">
        <v>349</v>
      </c>
      <c r="AC99" s="63" t="s">
        <v>78</v>
      </c>
      <c r="AD99" s="63" t="s">
        <v>78</v>
      </c>
      <c r="AE99" s="63" t="s">
        <v>78</v>
      </c>
      <c r="AF99" s="63" t="s">
        <v>78</v>
      </c>
      <c r="AG99" s="63" t="s">
        <v>78</v>
      </c>
      <c r="AH99" s="63" t="s">
        <v>78</v>
      </c>
      <c r="AI99" s="63" t="s">
        <v>78</v>
      </c>
      <c r="AJ99" s="63" t="s">
        <v>437</v>
      </c>
      <c r="AK99" s="63" t="s">
        <v>95</v>
      </c>
      <c r="AL99" s="63" t="s">
        <v>459</v>
      </c>
      <c r="AM99" s="147" t="s">
        <v>591</v>
      </c>
      <c r="AN99" s="63" t="s">
        <v>52</v>
      </c>
      <c r="AO99" s="63" t="s">
        <v>52</v>
      </c>
      <c r="AP99" s="63" t="s">
        <v>52</v>
      </c>
      <c r="AQ99" s="63">
        <v>18.940000000000001</v>
      </c>
      <c r="AR99" s="63">
        <v>3.62</v>
      </c>
      <c r="AS99" s="63">
        <v>86</v>
      </c>
      <c r="AT99" s="127">
        <v>18.329999999999998</v>
      </c>
      <c r="AU99" s="127">
        <v>3.29</v>
      </c>
      <c r="AV99" s="127">
        <v>96</v>
      </c>
      <c r="AW99" s="127">
        <v>3</v>
      </c>
      <c r="AX99" s="194"/>
      <c r="AY99" s="194"/>
      <c r="AZ99" s="63"/>
      <c r="BA99" s="185">
        <v>1</v>
      </c>
      <c r="BB99" s="63"/>
      <c r="BC99" s="63" t="s">
        <v>97</v>
      </c>
    </row>
    <row r="100" spans="1:55" s="295" customFormat="1" ht="19" customHeight="1" x14ac:dyDescent="0.2">
      <c r="A100" s="320" t="s">
        <v>952</v>
      </c>
      <c r="B100" s="320" t="s">
        <v>949</v>
      </c>
      <c r="C100">
        <v>100</v>
      </c>
      <c r="D100" t="b">
        <f>E100</f>
        <v>1</v>
      </c>
      <c r="E100" t="b">
        <f>IF(coder1_YH!G100="","",TRUE)</f>
        <v>1</v>
      </c>
      <c r="F100" t="b">
        <f>IF(coder1_YH!P100="","",TRUE)</f>
        <v>1</v>
      </c>
      <c r="G100" s="326" t="s">
        <v>392</v>
      </c>
      <c r="H100" s="327" t="s">
        <v>920</v>
      </c>
      <c r="I100" s="294" t="s">
        <v>393</v>
      </c>
      <c r="J100" s="328" t="s">
        <v>573</v>
      </c>
      <c r="K100" s="294" t="s">
        <v>66</v>
      </c>
      <c r="L100" s="294" t="s">
        <v>49</v>
      </c>
      <c r="M100" s="294" t="s">
        <v>50</v>
      </c>
      <c r="P100" s="295">
        <v>1</v>
      </c>
      <c r="Q100" s="294" t="s">
        <v>422</v>
      </c>
      <c r="R100" s="360" t="s">
        <v>363</v>
      </c>
      <c r="S100" s="311">
        <v>9.1999999999999993</v>
      </c>
      <c r="T100" s="311" t="s">
        <v>52</v>
      </c>
      <c r="U100" s="311" t="s">
        <v>52</v>
      </c>
      <c r="V100" s="311" t="s">
        <v>52</v>
      </c>
      <c r="W100" s="311">
        <v>0</v>
      </c>
      <c r="X100" s="311">
        <f>47/(47+58)</f>
        <v>0.44761904761904764</v>
      </c>
      <c r="Y100" s="311">
        <v>0</v>
      </c>
      <c r="Z100" s="294" t="s">
        <v>53</v>
      </c>
      <c r="AA100" s="312" t="s">
        <v>395</v>
      </c>
      <c r="AB100" s="329" t="s">
        <v>55</v>
      </c>
      <c r="AC100" s="294" t="s">
        <v>153</v>
      </c>
      <c r="AD100" s="294" t="s">
        <v>396</v>
      </c>
      <c r="AE100" s="294" t="s">
        <v>58</v>
      </c>
      <c r="AF100" s="330">
        <f>AG100*AH100</f>
        <v>640</v>
      </c>
      <c r="AG100" s="330">
        <f>4*8</f>
        <v>32</v>
      </c>
      <c r="AH100" s="294">
        <v>20</v>
      </c>
      <c r="AI100" s="294" t="s">
        <v>59</v>
      </c>
      <c r="AJ100" s="294" t="s">
        <v>439</v>
      </c>
      <c r="AK100" s="294" t="s">
        <v>61</v>
      </c>
      <c r="AL100" s="294" t="s">
        <v>459</v>
      </c>
      <c r="AM100" s="298" t="s">
        <v>592</v>
      </c>
      <c r="AN100" s="294">
        <v>64.22</v>
      </c>
      <c r="AO100" s="294">
        <v>15.87</v>
      </c>
      <c r="AP100" s="294">
        <v>53</v>
      </c>
      <c r="AQ100" s="294">
        <v>71.209999999999994</v>
      </c>
      <c r="AR100" s="294">
        <v>15.24</v>
      </c>
      <c r="AS100" s="294">
        <v>53</v>
      </c>
      <c r="AT100" s="300" t="s">
        <v>52</v>
      </c>
      <c r="AU100" s="300" t="s">
        <v>52</v>
      </c>
      <c r="AV100" s="300" t="s">
        <v>52</v>
      </c>
      <c r="AW100" s="300" t="s">
        <v>52</v>
      </c>
      <c r="AX100" s="300"/>
      <c r="AY100" s="300"/>
      <c r="AZ100" s="294"/>
      <c r="BA100" s="295">
        <v>0</v>
      </c>
      <c r="BB100" s="294"/>
      <c r="BC100" s="294"/>
    </row>
    <row r="101" spans="1:55" s="295" customFormat="1" ht="19" customHeight="1" x14ac:dyDescent="0.2">
      <c r="A101" s="320" t="s">
        <v>952</v>
      </c>
      <c r="B101" s="320" t="s">
        <v>949</v>
      </c>
      <c r="C101">
        <v>101</v>
      </c>
      <c r="D101"/>
      <c r="E101" t="str">
        <f>IF(coder1_YH!G101="","",TRUE)</f>
        <v/>
      </c>
      <c r="F101" t="b">
        <f>IF(coder1_YH!P101="","",TRUE)</f>
        <v>1</v>
      </c>
      <c r="G101" s="331"/>
      <c r="H101" s="332"/>
      <c r="I101" s="305"/>
      <c r="J101" s="305"/>
      <c r="K101" s="305"/>
      <c r="L101" s="305"/>
      <c r="M101" s="305"/>
      <c r="N101" s="304"/>
      <c r="O101" s="304"/>
      <c r="P101" s="304" t="s">
        <v>924</v>
      </c>
      <c r="Q101" s="305" t="s">
        <v>423</v>
      </c>
      <c r="R101" s="361" t="s">
        <v>363</v>
      </c>
      <c r="S101" s="333">
        <v>9.1999999999999993</v>
      </c>
      <c r="T101" s="333" t="s">
        <v>52</v>
      </c>
      <c r="U101" s="333" t="s">
        <v>52</v>
      </c>
      <c r="V101" s="333" t="s">
        <v>52</v>
      </c>
      <c r="W101" s="333">
        <v>0</v>
      </c>
      <c r="X101" s="333">
        <f>47/(47+58)</f>
        <v>0.44761904761904764</v>
      </c>
      <c r="Y101" s="333">
        <v>0</v>
      </c>
      <c r="Z101" s="305" t="s">
        <v>78</v>
      </c>
      <c r="AA101" s="334" t="s">
        <v>424</v>
      </c>
      <c r="AB101" s="335" t="s">
        <v>55</v>
      </c>
      <c r="AC101" s="305" t="s">
        <v>78</v>
      </c>
      <c r="AD101" s="305" t="s">
        <v>78</v>
      </c>
      <c r="AE101" s="305" t="s">
        <v>78</v>
      </c>
      <c r="AF101" s="305" t="s">
        <v>78</v>
      </c>
      <c r="AG101" s="305" t="s">
        <v>78</v>
      </c>
      <c r="AH101" s="305" t="s">
        <v>78</v>
      </c>
      <c r="AI101" s="305" t="s">
        <v>78</v>
      </c>
      <c r="AJ101" s="305" t="s">
        <v>439</v>
      </c>
      <c r="AK101" s="305" t="s">
        <v>61</v>
      </c>
      <c r="AL101" s="305" t="s">
        <v>459</v>
      </c>
      <c r="AM101" s="308" t="s">
        <v>592</v>
      </c>
      <c r="AN101" s="305">
        <v>64.989999999999995</v>
      </c>
      <c r="AO101" s="305">
        <v>20.05</v>
      </c>
      <c r="AP101" s="305">
        <v>52</v>
      </c>
      <c r="AQ101" s="305">
        <v>64.22</v>
      </c>
      <c r="AR101" s="305">
        <v>17.98</v>
      </c>
      <c r="AS101" s="305">
        <v>52</v>
      </c>
      <c r="AT101" s="309" t="s">
        <v>52</v>
      </c>
      <c r="AU101" s="309" t="s">
        <v>52</v>
      </c>
      <c r="AV101" s="309" t="s">
        <v>52</v>
      </c>
      <c r="AW101" s="309" t="s">
        <v>52</v>
      </c>
      <c r="AX101" s="309"/>
      <c r="AY101" s="309"/>
      <c r="AZ101" s="305"/>
      <c r="BA101" s="304">
        <v>0</v>
      </c>
      <c r="BB101" s="305"/>
      <c r="BC101" s="305"/>
    </row>
    <row r="102" spans="1:55" s="295" customFormat="1" ht="19" customHeight="1" x14ac:dyDescent="0.2">
      <c r="A102" s="320" t="s">
        <v>953</v>
      </c>
      <c r="B102" s="320" t="s">
        <v>949</v>
      </c>
      <c r="C102">
        <v>102</v>
      </c>
      <c r="D102" t="b">
        <f>E102</f>
        <v>1</v>
      </c>
      <c r="E102" t="b">
        <f>IF(coder1_YH!G102="","",TRUE)</f>
        <v>1</v>
      </c>
      <c r="F102" t="b">
        <f>IF(coder1_YH!P102="","",TRUE)</f>
        <v>1</v>
      </c>
      <c r="G102" s="310" t="s">
        <v>400</v>
      </c>
      <c r="H102" s="336" t="s">
        <v>780</v>
      </c>
      <c r="I102" s="294" t="s">
        <v>47</v>
      </c>
      <c r="J102" s="294" t="s">
        <v>452</v>
      </c>
      <c r="K102" s="294" t="s">
        <v>66</v>
      </c>
      <c r="L102" s="294" t="s">
        <v>49</v>
      </c>
      <c r="M102" s="294" t="s">
        <v>238</v>
      </c>
      <c r="N102" s="295" t="s">
        <v>915</v>
      </c>
      <c r="O102" s="295" t="str">
        <f t="shared" si="11"/>
        <v xml:space="preserve">m </v>
      </c>
      <c r="P102" s="295">
        <v>1</v>
      </c>
      <c r="Q102" s="294" t="s">
        <v>425</v>
      </c>
      <c r="R102" s="360" t="s">
        <v>402</v>
      </c>
      <c r="S102" s="311">
        <v>11.5</v>
      </c>
      <c r="T102" s="311" t="s">
        <v>52</v>
      </c>
      <c r="U102" s="311" t="s">
        <v>52</v>
      </c>
      <c r="V102" s="311" t="s">
        <v>52</v>
      </c>
      <c r="W102" s="337">
        <f>76/203</f>
        <v>0.37438423645320196</v>
      </c>
      <c r="X102" s="311">
        <v>0.6</v>
      </c>
      <c r="Y102" s="311">
        <v>0.75</v>
      </c>
      <c r="Z102" s="294" t="s">
        <v>92</v>
      </c>
      <c r="AA102" s="312" t="s">
        <v>426</v>
      </c>
      <c r="AB102" s="294" t="s">
        <v>71</v>
      </c>
      <c r="AC102" s="294" t="s">
        <v>153</v>
      </c>
      <c r="AD102" s="294" t="s">
        <v>162</v>
      </c>
      <c r="AE102" s="294" t="s">
        <v>58</v>
      </c>
      <c r="AF102" s="338">
        <f>AG102*AH102</f>
        <v>1187.5</v>
      </c>
      <c r="AG102" s="338">
        <v>25</v>
      </c>
      <c r="AH102" s="338">
        <f>AVERAGE(45,50)</f>
        <v>47.5</v>
      </c>
      <c r="AI102" s="294" t="s">
        <v>59</v>
      </c>
      <c r="AJ102" s="294" t="s">
        <v>440</v>
      </c>
      <c r="AK102" s="294" t="s">
        <v>95</v>
      </c>
      <c r="AL102" s="294" t="s">
        <v>459</v>
      </c>
      <c r="AM102" s="298" t="s">
        <v>593</v>
      </c>
      <c r="AN102" s="294">
        <v>12.48</v>
      </c>
      <c r="AO102" s="294">
        <v>6.1</v>
      </c>
      <c r="AP102" s="294">
        <v>103</v>
      </c>
      <c r="AQ102" s="294">
        <v>15.63</v>
      </c>
      <c r="AR102" s="294">
        <v>5.35</v>
      </c>
      <c r="AS102" s="294">
        <v>103</v>
      </c>
      <c r="AT102" s="302" t="s">
        <v>52</v>
      </c>
      <c r="AU102" s="302" t="s">
        <v>52</v>
      </c>
      <c r="AV102" s="302" t="s">
        <v>52</v>
      </c>
      <c r="AW102" s="302" t="s">
        <v>52</v>
      </c>
      <c r="AX102" s="302"/>
      <c r="AY102" s="302"/>
      <c r="AZ102" s="294"/>
      <c r="BA102" s="295">
        <v>0</v>
      </c>
      <c r="BB102" s="294" t="s">
        <v>441</v>
      </c>
      <c r="BC102" s="294" t="s">
        <v>405</v>
      </c>
    </row>
    <row r="103" spans="1:55" s="295" customFormat="1" ht="19" customHeight="1" x14ac:dyDescent="0.2">
      <c r="A103" s="320" t="s">
        <v>953</v>
      </c>
      <c r="B103" s="320" t="s">
        <v>949</v>
      </c>
      <c r="C103">
        <v>103</v>
      </c>
      <c r="D103"/>
      <c r="E103" t="str">
        <f>IF(coder1_YH!G103="","",TRUE)</f>
        <v/>
      </c>
      <c r="F103" t="b">
        <f>IF(coder1_YH!P103="","",TRUE)</f>
        <v>1</v>
      </c>
      <c r="G103" s="310"/>
      <c r="H103" s="336"/>
      <c r="I103" s="294"/>
      <c r="J103" s="294"/>
      <c r="K103" s="294"/>
      <c r="L103" s="294"/>
      <c r="M103" s="294"/>
      <c r="N103" s="295" t="s">
        <v>914</v>
      </c>
      <c r="O103" s="295" t="str">
        <f t="shared" si="11"/>
        <v>.</v>
      </c>
      <c r="P103" s="295" t="s">
        <v>924</v>
      </c>
      <c r="Q103" s="294" t="s">
        <v>78</v>
      </c>
      <c r="R103" s="360" t="s">
        <v>402</v>
      </c>
      <c r="S103" s="311">
        <v>11.5</v>
      </c>
      <c r="T103" s="311" t="s">
        <v>52</v>
      </c>
      <c r="U103" s="311" t="s">
        <v>52</v>
      </c>
      <c r="V103" s="311" t="s">
        <v>52</v>
      </c>
      <c r="W103" s="337">
        <f>76/203</f>
        <v>0.37438423645320196</v>
      </c>
      <c r="X103" s="311">
        <v>0.6</v>
      </c>
      <c r="Y103" s="311">
        <v>0.75</v>
      </c>
      <c r="Z103" s="294" t="s">
        <v>78</v>
      </c>
      <c r="AA103" s="312" t="s">
        <v>427</v>
      </c>
      <c r="AB103" s="294" t="s">
        <v>80</v>
      </c>
      <c r="AC103" s="294" t="s">
        <v>78</v>
      </c>
      <c r="AD103" s="294" t="s">
        <v>78</v>
      </c>
      <c r="AE103" s="294" t="s">
        <v>78</v>
      </c>
      <c r="AF103" s="294" t="s">
        <v>78</v>
      </c>
      <c r="AG103" s="294" t="s">
        <v>78</v>
      </c>
      <c r="AH103" s="294" t="s">
        <v>78</v>
      </c>
      <c r="AI103" s="294" t="s">
        <v>78</v>
      </c>
      <c r="AJ103" s="294" t="s">
        <v>440</v>
      </c>
      <c r="AK103" s="294" t="s">
        <v>95</v>
      </c>
      <c r="AL103" s="294" t="s">
        <v>459</v>
      </c>
      <c r="AM103" s="298" t="s">
        <v>593</v>
      </c>
      <c r="AN103" s="294">
        <v>12.14</v>
      </c>
      <c r="AO103" s="294">
        <v>6.1</v>
      </c>
      <c r="AP103" s="294">
        <v>100</v>
      </c>
      <c r="AQ103" s="294">
        <v>14.27</v>
      </c>
      <c r="AR103" s="294">
        <v>5.58</v>
      </c>
      <c r="AS103" s="294">
        <v>100</v>
      </c>
      <c r="AT103" s="302" t="s">
        <v>52</v>
      </c>
      <c r="AU103" s="302" t="s">
        <v>52</v>
      </c>
      <c r="AV103" s="302" t="s">
        <v>52</v>
      </c>
      <c r="AW103" s="302" t="s">
        <v>52</v>
      </c>
      <c r="AX103" s="302"/>
      <c r="AY103" s="302"/>
      <c r="AZ103" s="294"/>
      <c r="BA103" s="295">
        <v>0</v>
      </c>
      <c r="BB103" s="294"/>
      <c r="BC103" s="294" t="s">
        <v>405</v>
      </c>
    </row>
    <row r="104" spans="1:55" ht="19" customHeight="1" x14ac:dyDescent="0.2">
      <c r="C104">
        <v>104</v>
      </c>
      <c r="D104" t="b">
        <f>E104</f>
        <v>1</v>
      </c>
      <c r="E104" t="b">
        <f>IF(coder1_YH!G104="","",TRUE)</f>
        <v>1</v>
      </c>
      <c r="F104" t="b">
        <f>IF(coder1_YH!P104="","",TRUE)</f>
        <v>1</v>
      </c>
      <c r="G104" s="116" t="s">
        <v>400</v>
      </c>
      <c r="H104" s="117">
        <v>123.1</v>
      </c>
      <c r="I104" s="88" t="s">
        <v>47</v>
      </c>
      <c r="J104" s="88" t="s">
        <v>452</v>
      </c>
      <c r="K104" s="88" t="s">
        <v>66</v>
      </c>
      <c r="L104" s="88" t="s">
        <v>49</v>
      </c>
      <c r="M104" s="88" t="s">
        <v>238</v>
      </c>
      <c r="N104" s="283" t="s">
        <v>915</v>
      </c>
      <c r="O104" s="283" t="str">
        <f t="shared" si="11"/>
        <v xml:space="preserve">m </v>
      </c>
      <c r="P104" s="157">
        <v>1</v>
      </c>
      <c r="Q104" s="96" t="s">
        <v>428</v>
      </c>
      <c r="R104" s="358" t="s">
        <v>402</v>
      </c>
      <c r="S104" s="90">
        <v>11.5</v>
      </c>
      <c r="T104" s="90" t="s">
        <v>52</v>
      </c>
      <c r="U104" s="90" t="s">
        <v>52</v>
      </c>
      <c r="V104" s="90" t="s">
        <v>52</v>
      </c>
      <c r="W104" s="91">
        <v>1</v>
      </c>
      <c r="X104" s="90">
        <v>0.6</v>
      </c>
      <c r="Y104" s="90">
        <v>0.75</v>
      </c>
      <c r="Z104" s="60" t="s">
        <v>92</v>
      </c>
      <c r="AA104" s="92" t="s">
        <v>426</v>
      </c>
      <c r="AB104" s="60" t="s">
        <v>71</v>
      </c>
      <c r="AC104" s="60" t="s">
        <v>153</v>
      </c>
      <c r="AD104" s="60" t="s">
        <v>162</v>
      </c>
      <c r="AE104" s="60" t="s">
        <v>58</v>
      </c>
      <c r="AF104" s="60">
        <f>AG104*AH104</f>
        <v>1187.5</v>
      </c>
      <c r="AG104" s="60">
        <v>25</v>
      </c>
      <c r="AH104" s="60">
        <f>AVERAGE(45,50)</f>
        <v>47.5</v>
      </c>
      <c r="AI104" s="60" t="s">
        <v>59</v>
      </c>
      <c r="AJ104" s="60" t="s">
        <v>440</v>
      </c>
      <c r="AK104" s="60" t="s">
        <v>95</v>
      </c>
      <c r="AL104" s="60" t="s">
        <v>459</v>
      </c>
      <c r="AM104" s="146" t="s">
        <v>593</v>
      </c>
      <c r="AN104" s="60">
        <v>10.9</v>
      </c>
      <c r="AO104" s="60">
        <v>5.61</v>
      </c>
      <c r="AP104" s="104">
        <f>103*0.37</f>
        <v>38.11</v>
      </c>
      <c r="AQ104" s="60">
        <v>15.04</v>
      </c>
      <c r="AR104" s="60">
        <v>5.36</v>
      </c>
      <c r="AS104" s="104">
        <f>103*0.37</f>
        <v>38.11</v>
      </c>
      <c r="AT104" s="194" t="s">
        <v>52</v>
      </c>
      <c r="AU104" s="194" t="s">
        <v>52</v>
      </c>
      <c r="AV104" s="194" t="s">
        <v>52</v>
      </c>
      <c r="AW104" s="194" t="s">
        <v>52</v>
      </c>
      <c r="AX104" s="194"/>
      <c r="AY104" s="194"/>
      <c r="AZ104" s="60"/>
      <c r="BA104" s="127">
        <v>0</v>
      </c>
      <c r="BC104" s="60" t="s">
        <v>405</v>
      </c>
    </row>
    <row r="105" spans="1:55" ht="19" customHeight="1" x14ac:dyDescent="0.2">
      <c r="C105">
        <v>105</v>
      </c>
      <c r="E105" t="str">
        <f>IF(coder1_YH!G105="","",TRUE)</f>
        <v/>
      </c>
      <c r="F105" t="b">
        <f>IF(coder1_YH!P105="","",TRUE)</f>
        <v>1</v>
      </c>
      <c r="G105" s="116"/>
      <c r="H105" s="117"/>
      <c r="K105" s="88"/>
      <c r="L105" s="88"/>
      <c r="N105" s="283" t="s">
        <v>914</v>
      </c>
      <c r="O105" s="283" t="str">
        <f t="shared" si="11"/>
        <v>.</v>
      </c>
      <c r="P105" s="157" t="s">
        <v>924</v>
      </c>
      <c r="Q105" s="96" t="s">
        <v>429</v>
      </c>
      <c r="R105" s="358" t="s">
        <v>402</v>
      </c>
      <c r="S105" s="90">
        <v>11.5</v>
      </c>
      <c r="T105" s="90" t="s">
        <v>52</v>
      </c>
      <c r="U105" s="90" t="s">
        <v>52</v>
      </c>
      <c r="V105" s="90" t="s">
        <v>52</v>
      </c>
      <c r="W105" s="91">
        <v>1</v>
      </c>
      <c r="X105" s="90">
        <v>0.6</v>
      </c>
      <c r="Y105" s="90">
        <v>0.75</v>
      </c>
      <c r="Z105" s="60" t="s">
        <v>78</v>
      </c>
      <c r="AA105" s="92" t="s">
        <v>427</v>
      </c>
      <c r="AB105" s="60" t="s">
        <v>80</v>
      </c>
      <c r="AC105" s="60" t="s">
        <v>78</v>
      </c>
      <c r="AD105" s="60" t="s">
        <v>78</v>
      </c>
      <c r="AE105" s="60" t="s">
        <v>78</v>
      </c>
      <c r="AF105" s="60" t="s">
        <v>78</v>
      </c>
      <c r="AG105" s="60" t="s">
        <v>78</v>
      </c>
      <c r="AH105" s="60" t="s">
        <v>78</v>
      </c>
      <c r="AI105" s="60" t="s">
        <v>78</v>
      </c>
      <c r="AJ105" s="60" t="s">
        <v>440</v>
      </c>
      <c r="AK105" s="60" t="s">
        <v>95</v>
      </c>
      <c r="AL105" s="60" t="s">
        <v>459</v>
      </c>
      <c r="AM105" s="146" t="s">
        <v>593</v>
      </c>
      <c r="AN105" s="60">
        <v>11.11</v>
      </c>
      <c r="AO105" s="60">
        <v>5.71</v>
      </c>
      <c r="AP105" s="104">
        <f>100*0.37</f>
        <v>37</v>
      </c>
      <c r="AQ105" s="60">
        <v>13.52</v>
      </c>
      <c r="AR105" s="99">
        <v>5.63</v>
      </c>
      <c r="AS105" s="104">
        <f>100*0.37</f>
        <v>37</v>
      </c>
      <c r="AT105" s="194" t="s">
        <v>52</v>
      </c>
      <c r="AU105" s="194" t="s">
        <v>52</v>
      </c>
      <c r="AV105" s="194" t="s">
        <v>52</v>
      </c>
      <c r="AW105" s="194" t="s">
        <v>52</v>
      </c>
      <c r="AX105" s="194"/>
      <c r="AY105" s="194"/>
      <c r="AZ105" s="60"/>
      <c r="BA105" s="127">
        <v>0</v>
      </c>
      <c r="BC105" s="60" t="s">
        <v>405</v>
      </c>
    </row>
    <row r="106" spans="1:55" ht="19" customHeight="1" x14ac:dyDescent="0.2">
      <c r="C106">
        <v>106</v>
      </c>
      <c r="E106" t="b">
        <f>IF(coder1_YH!G106="","",TRUE)</f>
        <v>1</v>
      </c>
      <c r="F106" t="b">
        <f>IF(coder1_YH!P106="","",TRUE)</f>
        <v>1</v>
      </c>
      <c r="G106" s="116" t="s">
        <v>400</v>
      </c>
      <c r="H106" s="117">
        <v>123.2</v>
      </c>
      <c r="I106" s="88" t="s">
        <v>47</v>
      </c>
      <c r="J106" s="88" t="s">
        <v>452</v>
      </c>
      <c r="K106" s="88" t="s">
        <v>66</v>
      </c>
      <c r="L106" s="88" t="s">
        <v>49</v>
      </c>
      <c r="M106" s="88" t="s">
        <v>238</v>
      </c>
      <c r="N106" s="283" t="s">
        <v>915</v>
      </c>
      <c r="O106" s="283" t="str">
        <f t="shared" si="11"/>
        <v xml:space="preserve">m </v>
      </c>
      <c r="P106" s="157">
        <v>1</v>
      </c>
      <c r="Q106" s="96" t="s">
        <v>430</v>
      </c>
      <c r="R106" s="358" t="s">
        <v>402</v>
      </c>
      <c r="S106" s="90">
        <v>11.5</v>
      </c>
      <c r="T106" s="90" t="s">
        <v>52</v>
      </c>
      <c r="U106" s="90" t="s">
        <v>52</v>
      </c>
      <c r="V106" s="90" t="s">
        <v>52</v>
      </c>
      <c r="W106" s="91">
        <v>0</v>
      </c>
      <c r="X106" s="90">
        <v>0.6</v>
      </c>
      <c r="Y106" s="90">
        <v>0.75</v>
      </c>
      <c r="Z106" s="60" t="s">
        <v>92</v>
      </c>
      <c r="AA106" s="92" t="s">
        <v>426</v>
      </c>
      <c r="AB106" s="60" t="s">
        <v>71</v>
      </c>
      <c r="AC106" s="60" t="s">
        <v>153</v>
      </c>
      <c r="AD106" s="60" t="s">
        <v>162</v>
      </c>
      <c r="AE106" s="60" t="s">
        <v>58</v>
      </c>
      <c r="AF106" s="60">
        <f>AG106*AH106</f>
        <v>1187.5</v>
      </c>
      <c r="AG106" s="60">
        <v>25</v>
      </c>
      <c r="AH106" s="60">
        <f>AVERAGE(45,50)</f>
        <v>47.5</v>
      </c>
      <c r="AI106" s="60" t="s">
        <v>59</v>
      </c>
      <c r="AJ106" s="60" t="s">
        <v>440</v>
      </c>
      <c r="AK106" s="60" t="s">
        <v>95</v>
      </c>
      <c r="AL106" s="60" t="s">
        <v>459</v>
      </c>
      <c r="AM106" s="146" t="s">
        <v>593</v>
      </c>
      <c r="AN106" s="60">
        <v>13.51</v>
      </c>
      <c r="AO106" s="60">
        <v>6.32</v>
      </c>
      <c r="AP106" s="104">
        <f>103*0.63</f>
        <v>64.89</v>
      </c>
      <c r="AQ106" s="60">
        <v>16.41</v>
      </c>
      <c r="AR106" s="60">
        <v>5.17</v>
      </c>
      <c r="AS106" s="104">
        <f>103*0.63</f>
        <v>64.89</v>
      </c>
      <c r="AT106" s="194" t="s">
        <v>52</v>
      </c>
      <c r="AU106" s="194" t="s">
        <v>52</v>
      </c>
      <c r="AV106" s="194" t="s">
        <v>52</v>
      </c>
      <c r="AW106" s="194" t="s">
        <v>52</v>
      </c>
      <c r="AX106" s="194"/>
      <c r="AY106" s="194"/>
      <c r="AZ106" s="60"/>
      <c r="BA106" s="127">
        <v>0</v>
      </c>
      <c r="BC106" s="60" t="s">
        <v>405</v>
      </c>
    </row>
    <row r="107" spans="1:55" ht="19" customHeight="1" x14ac:dyDescent="0.2">
      <c r="C107">
        <v>107</v>
      </c>
      <c r="E107" t="str">
        <f>IF(coder1_YH!G107="","",TRUE)</f>
        <v/>
      </c>
      <c r="F107" t="b">
        <f>IF(coder1_YH!P107="","",TRUE)</f>
        <v>1</v>
      </c>
      <c r="G107" s="116"/>
      <c r="H107" s="117"/>
      <c r="I107" s="89"/>
      <c r="K107" s="89"/>
      <c r="L107" s="89"/>
      <c r="M107" s="89"/>
      <c r="N107" s="284" t="s">
        <v>914</v>
      </c>
      <c r="O107" s="284" t="str">
        <f t="shared" si="11"/>
        <v>.</v>
      </c>
      <c r="P107" s="158" t="s">
        <v>924</v>
      </c>
      <c r="Q107" s="97" t="s">
        <v>431</v>
      </c>
      <c r="R107" s="359" t="s">
        <v>402</v>
      </c>
      <c r="S107" s="93">
        <v>11.5</v>
      </c>
      <c r="T107" s="93" t="s">
        <v>52</v>
      </c>
      <c r="U107" s="93" t="s">
        <v>52</v>
      </c>
      <c r="V107" s="93" t="s">
        <v>52</v>
      </c>
      <c r="W107" s="94">
        <v>0</v>
      </c>
      <c r="X107" s="93">
        <v>0.6</v>
      </c>
      <c r="Y107" s="93">
        <v>0.75</v>
      </c>
      <c r="Z107" s="63" t="s">
        <v>78</v>
      </c>
      <c r="AA107" s="95" t="s">
        <v>427</v>
      </c>
      <c r="AB107" s="63" t="s">
        <v>80</v>
      </c>
      <c r="AC107" s="63" t="s">
        <v>78</v>
      </c>
      <c r="AD107" s="63" t="s">
        <v>78</v>
      </c>
      <c r="AE107" s="63" t="s">
        <v>78</v>
      </c>
      <c r="AF107" s="63" t="s">
        <v>78</v>
      </c>
      <c r="AG107" s="63" t="s">
        <v>78</v>
      </c>
      <c r="AH107" s="63" t="s">
        <v>78</v>
      </c>
      <c r="AI107" s="63" t="s">
        <v>78</v>
      </c>
      <c r="AJ107" s="63" t="s">
        <v>440</v>
      </c>
      <c r="AK107" s="63" t="s">
        <v>95</v>
      </c>
      <c r="AL107" s="63" t="s">
        <v>459</v>
      </c>
      <c r="AM107" s="147" t="s">
        <v>593</v>
      </c>
      <c r="AN107" s="63">
        <v>12.53</v>
      </c>
      <c r="AO107" s="63">
        <v>6.02</v>
      </c>
      <c r="AP107" s="105">
        <f>100*0.63</f>
        <v>63</v>
      </c>
      <c r="AQ107" s="63">
        <v>14.61</v>
      </c>
      <c r="AR107" s="63">
        <v>5.6</v>
      </c>
      <c r="AS107" s="105">
        <f>100*0.63</f>
        <v>63</v>
      </c>
      <c r="AT107" s="194" t="s">
        <v>52</v>
      </c>
      <c r="AU107" s="194" t="s">
        <v>52</v>
      </c>
      <c r="AV107" s="194" t="s">
        <v>52</v>
      </c>
      <c r="AW107" s="194" t="s">
        <v>52</v>
      </c>
      <c r="AX107" s="194"/>
      <c r="AY107" s="194"/>
      <c r="AZ107" s="63"/>
      <c r="BA107" s="128">
        <v>0</v>
      </c>
      <c r="BB107" s="63"/>
      <c r="BC107" s="63" t="s">
        <v>405</v>
      </c>
    </row>
    <row r="108" spans="1:55" ht="19" customHeight="1" x14ac:dyDescent="0.2">
      <c r="C108">
        <v>108</v>
      </c>
      <c r="D108" t="b">
        <f>E108</f>
        <v>1</v>
      </c>
      <c r="E108" t="b">
        <f>IF(coder1_YH!G108="","",TRUE)</f>
        <v>1</v>
      </c>
      <c r="F108" t="b">
        <f>IF(coder1_YH!P108="","",TRUE)</f>
        <v>1</v>
      </c>
      <c r="G108" s="143" t="s">
        <v>922</v>
      </c>
      <c r="H108" s="315">
        <v>124</v>
      </c>
      <c r="I108" s="88" t="s">
        <v>416</v>
      </c>
      <c r="J108" s="143" t="s">
        <v>572</v>
      </c>
      <c r="K108" s="88" t="s">
        <v>66</v>
      </c>
      <c r="L108" s="88" t="s">
        <v>49</v>
      </c>
      <c r="M108" s="88" t="s">
        <v>50</v>
      </c>
      <c r="N108" s="283" t="s">
        <v>915</v>
      </c>
      <c r="O108" s="283" t="str">
        <f t="shared" si="11"/>
        <v xml:space="preserve">m </v>
      </c>
      <c r="P108" s="127">
        <v>1</v>
      </c>
      <c r="Q108" s="60" t="s">
        <v>432</v>
      </c>
      <c r="R108" s="358" t="s">
        <v>433</v>
      </c>
      <c r="S108" s="90">
        <v>14</v>
      </c>
      <c r="T108" s="90">
        <v>1</v>
      </c>
      <c r="U108" s="109" t="s">
        <v>52</v>
      </c>
      <c r="V108" s="90" t="s">
        <v>52</v>
      </c>
      <c r="W108" s="90" t="s">
        <v>52</v>
      </c>
      <c r="X108" s="109">
        <f>88/168</f>
        <v>0.52380952380952384</v>
      </c>
      <c r="Y108" s="90" t="s">
        <v>52</v>
      </c>
      <c r="Z108" s="60" t="s">
        <v>92</v>
      </c>
      <c r="AA108" s="92" t="s">
        <v>434</v>
      </c>
      <c r="AB108" s="134" t="s">
        <v>456</v>
      </c>
      <c r="AC108" s="60" t="s">
        <v>153</v>
      </c>
      <c r="AD108" s="60" t="s">
        <v>457</v>
      </c>
      <c r="AE108" s="60" t="s">
        <v>58</v>
      </c>
      <c r="AF108" s="96">
        <f>AG108*AH108</f>
        <v>640</v>
      </c>
      <c r="AG108" s="96">
        <f>2*8</f>
        <v>16</v>
      </c>
      <c r="AH108" s="96">
        <v>40</v>
      </c>
      <c r="AI108" s="60" t="s">
        <v>59</v>
      </c>
      <c r="AJ108" s="60" t="s">
        <v>442</v>
      </c>
      <c r="AK108" s="60" t="s">
        <v>61</v>
      </c>
      <c r="AL108" s="60" t="s">
        <v>459</v>
      </c>
      <c r="AM108" s="150" t="s">
        <v>594</v>
      </c>
      <c r="AN108" s="112">
        <v>50.3</v>
      </c>
      <c r="AO108" s="112">
        <v>9.89</v>
      </c>
      <c r="AP108" s="112">
        <v>168</v>
      </c>
      <c r="AQ108" s="112">
        <v>55.62</v>
      </c>
      <c r="AR108" s="112">
        <v>8.2200000000000006</v>
      </c>
      <c r="AS108" s="112">
        <v>168</v>
      </c>
      <c r="AT108" s="211" t="s">
        <v>52</v>
      </c>
      <c r="AU108" s="211" t="s">
        <v>52</v>
      </c>
      <c r="AV108" s="211" t="s">
        <v>52</v>
      </c>
      <c r="AW108" s="211" t="s">
        <v>52</v>
      </c>
      <c r="AX108" s="198"/>
      <c r="AY108" s="198"/>
      <c r="AZ108" s="60"/>
      <c r="BA108" s="60"/>
    </row>
    <row r="109" spans="1:55" ht="19" customHeight="1" x14ac:dyDescent="0.2">
      <c r="C109">
        <v>109</v>
      </c>
      <c r="E109" t="str">
        <f>IF(coder1_YH!G109="","",TRUE)</f>
        <v/>
      </c>
      <c r="F109" t="b">
        <f>IF(coder1_YH!P109="","",TRUE)</f>
        <v>1</v>
      </c>
      <c r="G109" s="122"/>
      <c r="H109" s="123"/>
      <c r="I109" s="89"/>
      <c r="J109" s="122"/>
      <c r="K109" s="89"/>
      <c r="L109" s="89"/>
      <c r="M109" s="89"/>
      <c r="N109" s="284" t="s">
        <v>914</v>
      </c>
      <c r="O109" s="284" t="str">
        <f t="shared" si="11"/>
        <v>.</v>
      </c>
      <c r="P109" s="128" t="s">
        <v>924</v>
      </c>
      <c r="Q109" s="63" t="s">
        <v>435</v>
      </c>
      <c r="R109" s="359" t="s">
        <v>433</v>
      </c>
      <c r="S109" s="93">
        <v>14</v>
      </c>
      <c r="T109" s="93">
        <v>1</v>
      </c>
      <c r="U109" s="179" t="s">
        <v>52</v>
      </c>
      <c r="V109" s="93" t="s">
        <v>52</v>
      </c>
      <c r="W109" s="93" t="s">
        <v>52</v>
      </c>
      <c r="X109" s="179">
        <f>102/174</f>
        <v>0.58620689655172409</v>
      </c>
      <c r="Y109" s="93" t="s">
        <v>52</v>
      </c>
      <c r="Z109" s="63" t="s">
        <v>78</v>
      </c>
      <c r="AA109" s="95" t="s">
        <v>436</v>
      </c>
      <c r="AB109" s="63" t="s">
        <v>80</v>
      </c>
      <c r="AC109" s="63" t="s">
        <v>78</v>
      </c>
      <c r="AD109" s="63" t="s">
        <v>78</v>
      </c>
      <c r="AE109" s="63" t="s">
        <v>78</v>
      </c>
      <c r="AF109" s="63" t="s">
        <v>78</v>
      </c>
      <c r="AG109" s="63" t="s">
        <v>78</v>
      </c>
      <c r="AH109" s="63" t="s">
        <v>78</v>
      </c>
      <c r="AI109" s="63" t="s">
        <v>78</v>
      </c>
      <c r="AJ109" s="63" t="s">
        <v>442</v>
      </c>
      <c r="AK109" s="63" t="s">
        <v>61</v>
      </c>
      <c r="AL109" s="63" t="s">
        <v>459</v>
      </c>
      <c r="AM109" s="151" t="s">
        <v>594</v>
      </c>
      <c r="AN109" s="113">
        <v>49.71</v>
      </c>
      <c r="AO109" s="113">
        <v>10.119999999999999</v>
      </c>
      <c r="AP109" s="113">
        <v>174</v>
      </c>
      <c r="AQ109" s="113">
        <v>44.57</v>
      </c>
      <c r="AR109" s="113">
        <v>8.4499999999999993</v>
      </c>
      <c r="AS109" s="113">
        <v>174</v>
      </c>
      <c r="AT109" s="204" t="s">
        <v>52</v>
      </c>
      <c r="AU109" s="204" t="s">
        <v>52</v>
      </c>
      <c r="AV109" s="204" t="s">
        <v>52</v>
      </c>
      <c r="AW109" s="204" t="s">
        <v>52</v>
      </c>
      <c r="AX109" s="113"/>
      <c r="AY109" s="113"/>
      <c r="AZ109" s="63"/>
      <c r="BA109" s="63"/>
      <c r="BB109" s="63"/>
    </row>
    <row r="110" spans="1:55" s="60" customFormat="1" ht="19" customHeight="1" x14ac:dyDescent="0.2">
      <c r="A110"/>
      <c r="B110"/>
      <c r="C110">
        <v>110</v>
      </c>
      <c r="D110" t="b">
        <f>E110</f>
        <v>1</v>
      </c>
      <c r="E110" t="b">
        <f>IF(coder1_YH!G110="","",TRUE)</f>
        <v>1</v>
      </c>
      <c r="F110" t="b">
        <f>IF(coder1_YH!P110="","",TRUE)</f>
        <v>1</v>
      </c>
      <c r="G110" s="116" t="s">
        <v>1000</v>
      </c>
      <c r="H110" s="117">
        <v>125.1</v>
      </c>
      <c r="I110" s="116" t="s">
        <v>47</v>
      </c>
      <c r="J110" s="88" t="s">
        <v>452</v>
      </c>
      <c r="K110" s="88" t="s">
        <v>66</v>
      </c>
      <c r="L110" s="88" t="s">
        <v>49</v>
      </c>
      <c r="M110" s="88" t="s">
        <v>238</v>
      </c>
      <c r="N110" s="283" t="s">
        <v>915</v>
      </c>
      <c r="O110" s="283" t="str">
        <f t="shared" si="11"/>
        <v xml:space="preserve">m </v>
      </c>
      <c r="P110" s="127">
        <v>1</v>
      </c>
      <c r="Q110" s="209" t="s">
        <v>453</v>
      </c>
      <c r="R110" s="358">
        <v>3</v>
      </c>
      <c r="S110" s="90">
        <v>8.5</v>
      </c>
      <c r="T110" s="90" t="s">
        <v>454</v>
      </c>
      <c r="U110" s="90" t="s">
        <v>454</v>
      </c>
      <c r="V110" s="90" t="s">
        <v>52</v>
      </c>
      <c r="W110" s="90" t="s">
        <v>52</v>
      </c>
      <c r="X110" s="90">
        <v>0.53731343283582089</v>
      </c>
      <c r="Y110" s="90" t="s">
        <v>52</v>
      </c>
      <c r="Z110" s="60" t="s">
        <v>92</v>
      </c>
      <c r="AA110" s="92" t="s">
        <v>455</v>
      </c>
      <c r="AB110" s="60" t="s">
        <v>456</v>
      </c>
      <c r="AC110" s="60" t="s">
        <v>153</v>
      </c>
      <c r="AD110" s="60" t="s">
        <v>457</v>
      </c>
      <c r="AE110" s="60" t="s">
        <v>58</v>
      </c>
      <c r="AF110" s="165" t="s">
        <v>52</v>
      </c>
      <c r="AG110" s="165" t="s">
        <v>706</v>
      </c>
      <c r="AH110" s="165" t="s">
        <v>52</v>
      </c>
      <c r="AI110" s="60" t="s">
        <v>59</v>
      </c>
      <c r="AJ110" s="60" t="s">
        <v>458</v>
      </c>
      <c r="AK110" s="60" t="s">
        <v>95</v>
      </c>
      <c r="AL110" s="60" t="s">
        <v>459</v>
      </c>
      <c r="AM110" s="146" t="s">
        <v>52</v>
      </c>
      <c r="AN110" s="119" t="s">
        <v>52</v>
      </c>
      <c r="AO110" s="119" t="s">
        <v>52</v>
      </c>
      <c r="AP110" s="119" t="s">
        <v>52</v>
      </c>
      <c r="AQ110" s="120">
        <v>6.28</v>
      </c>
      <c r="AR110" s="120">
        <v>1.33</v>
      </c>
      <c r="AS110" s="120">
        <v>32</v>
      </c>
      <c r="AT110" s="212" t="s">
        <v>52</v>
      </c>
      <c r="AU110" s="212" t="s">
        <v>52</v>
      </c>
      <c r="AV110" s="212" t="s">
        <v>52</v>
      </c>
      <c r="AW110" s="212" t="s">
        <v>52</v>
      </c>
      <c r="AX110" s="120"/>
      <c r="AY110" s="120"/>
    </row>
    <row r="111" spans="1:55" s="60" customFormat="1" ht="19" customHeight="1" x14ac:dyDescent="0.2">
      <c r="A111"/>
      <c r="B111"/>
      <c r="C111">
        <v>111</v>
      </c>
      <c r="D111"/>
      <c r="E111" t="str">
        <f>IF(coder1_YH!G111="","",TRUE)</f>
        <v/>
      </c>
      <c r="F111" t="str">
        <f>IF(coder1_YH!P111="","",TRUE)</f>
        <v/>
      </c>
      <c r="G111" s="116"/>
      <c r="H111" s="117"/>
      <c r="I111" s="116"/>
      <c r="J111" s="88"/>
      <c r="K111" s="88"/>
      <c r="L111" s="88"/>
      <c r="M111" s="88"/>
      <c r="N111" s="283"/>
      <c r="O111" s="283" t="str">
        <f t="shared" si="11"/>
        <v/>
      </c>
      <c r="P111" s="127"/>
      <c r="Q111" s="209"/>
      <c r="R111" s="358"/>
      <c r="S111" s="90"/>
      <c r="T111" s="90"/>
      <c r="U111" s="90"/>
      <c r="V111" s="90"/>
      <c r="W111" s="90"/>
      <c r="X111" s="90"/>
      <c r="Y111" s="90"/>
      <c r="AA111" s="92"/>
      <c r="AF111" s="118"/>
      <c r="AG111" s="118"/>
      <c r="AH111" s="118"/>
      <c r="AJ111" s="60" t="s">
        <v>460</v>
      </c>
      <c r="AK111" s="60" t="s">
        <v>95</v>
      </c>
      <c r="AL111" s="60" t="s">
        <v>459</v>
      </c>
      <c r="AM111" s="146" t="s">
        <v>52</v>
      </c>
      <c r="AN111" s="119" t="s">
        <v>52</v>
      </c>
      <c r="AO111" s="119" t="s">
        <v>52</v>
      </c>
      <c r="AP111" s="119" t="s">
        <v>52</v>
      </c>
      <c r="AQ111" s="120">
        <v>6.03</v>
      </c>
      <c r="AR111" s="120">
        <v>1.73</v>
      </c>
      <c r="AS111" s="120">
        <v>32</v>
      </c>
      <c r="AT111" s="212" t="s">
        <v>52</v>
      </c>
      <c r="AU111" s="212" t="s">
        <v>52</v>
      </c>
      <c r="AV111" s="212" t="s">
        <v>52</v>
      </c>
      <c r="AW111" s="212" t="s">
        <v>52</v>
      </c>
      <c r="AX111" s="120"/>
      <c r="AY111" s="120"/>
    </row>
    <row r="112" spans="1:55" s="60" customFormat="1" ht="19" customHeight="1" x14ac:dyDescent="0.2">
      <c r="A112"/>
      <c r="B112"/>
      <c r="C112">
        <v>112</v>
      </c>
      <c r="D112"/>
      <c r="E112" t="str">
        <f>IF(coder1_YH!G112="","",TRUE)</f>
        <v/>
      </c>
      <c r="F112" t="str">
        <f>IF(coder1_YH!P112="","",TRUE)</f>
        <v/>
      </c>
      <c r="G112" s="116"/>
      <c r="H112" s="117"/>
      <c r="I112" s="116"/>
      <c r="J112" s="88"/>
      <c r="K112" s="88"/>
      <c r="L112" s="88"/>
      <c r="M112" s="88"/>
      <c r="N112" s="283"/>
      <c r="O112" s="283" t="str">
        <f t="shared" si="11"/>
        <v/>
      </c>
      <c r="P112" s="127"/>
      <c r="Q112" s="209"/>
      <c r="R112" s="358"/>
      <c r="S112" s="90"/>
      <c r="T112" s="90"/>
      <c r="U112" s="90"/>
      <c r="V112" s="90"/>
      <c r="W112" s="90"/>
      <c r="X112" s="90"/>
      <c r="Y112" s="90"/>
      <c r="AA112" s="92"/>
      <c r="AF112" s="118"/>
      <c r="AG112" s="118"/>
      <c r="AH112" s="118"/>
      <c r="AJ112" s="60" t="s">
        <v>461</v>
      </c>
      <c r="AK112" s="60" t="s">
        <v>61</v>
      </c>
      <c r="AL112" s="60" t="s">
        <v>459</v>
      </c>
      <c r="AM112" s="146" t="s">
        <v>52</v>
      </c>
      <c r="AN112" s="120">
        <v>47.79</v>
      </c>
      <c r="AO112" s="120">
        <v>25.35</v>
      </c>
      <c r="AP112" s="120">
        <v>32</v>
      </c>
      <c r="AQ112" s="119" t="s">
        <v>52</v>
      </c>
      <c r="AR112" s="119" t="s">
        <v>52</v>
      </c>
      <c r="AS112" s="119" t="s">
        <v>52</v>
      </c>
      <c r="AT112" s="212" t="s">
        <v>52</v>
      </c>
      <c r="AU112" s="212" t="s">
        <v>52</v>
      </c>
      <c r="AV112" s="212" t="s">
        <v>52</v>
      </c>
      <c r="AW112" s="212" t="s">
        <v>52</v>
      </c>
      <c r="AX112" s="119"/>
      <c r="AY112" s="119"/>
    </row>
    <row r="113" spans="1:51" s="60" customFormat="1" ht="19" customHeight="1" x14ac:dyDescent="0.2">
      <c r="A113"/>
      <c r="B113"/>
      <c r="C113">
        <v>113</v>
      </c>
      <c r="D113"/>
      <c r="E113" t="str">
        <f>IF(coder1_YH!G113="","",TRUE)</f>
        <v/>
      </c>
      <c r="F113" t="b">
        <f>IF(coder1_YH!P113="","",TRUE)</f>
        <v>1</v>
      </c>
      <c r="G113" s="116"/>
      <c r="H113" s="117"/>
      <c r="I113" s="116"/>
      <c r="J113" s="88"/>
      <c r="K113" s="88"/>
      <c r="L113" s="88"/>
      <c r="M113" s="88"/>
      <c r="N113" s="283" t="s">
        <v>914</v>
      </c>
      <c r="O113" s="283" t="str">
        <f t="shared" si="11"/>
        <v xml:space="preserve">m </v>
      </c>
      <c r="P113" s="127" t="s">
        <v>924</v>
      </c>
      <c r="Q113" s="209" t="s">
        <v>462</v>
      </c>
      <c r="R113" s="358">
        <v>3</v>
      </c>
      <c r="S113" s="90">
        <v>8.5</v>
      </c>
      <c r="T113" s="90" t="s">
        <v>454</v>
      </c>
      <c r="U113" s="90" t="s">
        <v>454</v>
      </c>
      <c r="V113" s="90" t="s">
        <v>52</v>
      </c>
      <c r="W113" s="90" t="s">
        <v>52</v>
      </c>
      <c r="X113" s="90">
        <v>0.5757575757575758</v>
      </c>
      <c r="Y113" s="90" t="s">
        <v>52</v>
      </c>
      <c r="Z113" s="60" t="s">
        <v>92</v>
      </c>
      <c r="AA113" s="121" t="s">
        <v>463</v>
      </c>
      <c r="AB113" s="118" t="s">
        <v>464</v>
      </c>
      <c r="AC113" s="60" t="s">
        <v>153</v>
      </c>
      <c r="AD113" s="60" t="s">
        <v>457</v>
      </c>
      <c r="AE113" s="60" t="s">
        <v>58</v>
      </c>
      <c r="AF113" s="134" t="s">
        <v>78</v>
      </c>
      <c r="AG113" s="134" t="s">
        <v>78</v>
      </c>
      <c r="AH113" s="134" t="s">
        <v>78</v>
      </c>
      <c r="AI113" s="60" t="s">
        <v>78</v>
      </c>
      <c r="AJ113" s="60" t="s">
        <v>458</v>
      </c>
      <c r="AK113" s="60" t="s">
        <v>95</v>
      </c>
      <c r="AL113" s="60" t="s">
        <v>459</v>
      </c>
      <c r="AM113" s="146" t="s">
        <v>52</v>
      </c>
      <c r="AN113" s="119" t="s">
        <v>52</v>
      </c>
      <c r="AO113" s="119" t="s">
        <v>52</v>
      </c>
      <c r="AP113" s="119" t="s">
        <v>52</v>
      </c>
      <c r="AQ113" s="120">
        <v>5.57</v>
      </c>
      <c r="AR113" s="120">
        <v>1.64</v>
      </c>
      <c r="AS113" s="120">
        <v>28</v>
      </c>
      <c r="AT113" s="212" t="s">
        <v>52</v>
      </c>
      <c r="AU113" s="212" t="s">
        <v>52</v>
      </c>
      <c r="AV113" s="212" t="s">
        <v>52</v>
      </c>
      <c r="AW113" s="212" t="s">
        <v>52</v>
      </c>
      <c r="AX113" s="120"/>
      <c r="AY113" s="120"/>
    </row>
    <row r="114" spans="1:51" s="60" customFormat="1" ht="19" customHeight="1" x14ac:dyDescent="0.2">
      <c r="A114"/>
      <c r="B114"/>
      <c r="C114">
        <v>114</v>
      </c>
      <c r="D114"/>
      <c r="E114" t="str">
        <f>IF(coder1_YH!G114="","",TRUE)</f>
        <v/>
      </c>
      <c r="F114" t="str">
        <f>IF(coder1_YH!P114="","",TRUE)</f>
        <v/>
      </c>
      <c r="G114" s="116"/>
      <c r="H114" s="117"/>
      <c r="I114" s="116"/>
      <c r="J114" s="88"/>
      <c r="K114" s="88"/>
      <c r="L114" s="88"/>
      <c r="M114" s="88"/>
      <c r="N114" s="283"/>
      <c r="O114" s="283" t="str">
        <f t="shared" si="11"/>
        <v/>
      </c>
      <c r="P114" s="127"/>
      <c r="Q114" s="209"/>
      <c r="R114" s="358"/>
      <c r="S114" s="90"/>
      <c r="T114" s="90"/>
      <c r="U114" s="90"/>
      <c r="V114" s="90"/>
      <c r="W114" s="90"/>
      <c r="X114" s="90"/>
      <c r="Y114" s="90"/>
      <c r="AA114" s="92"/>
      <c r="AF114" s="134"/>
      <c r="AG114" s="134"/>
      <c r="AH114" s="134"/>
      <c r="AJ114" s="60" t="s">
        <v>460</v>
      </c>
      <c r="AK114" s="60" t="s">
        <v>95</v>
      </c>
      <c r="AL114" s="60" t="s">
        <v>459</v>
      </c>
      <c r="AM114" s="146" t="s">
        <v>52</v>
      </c>
      <c r="AN114" s="119" t="s">
        <v>52</v>
      </c>
      <c r="AO114" s="119" t="s">
        <v>52</v>
      </c>
      <c r="AP114" s="119" t="s">
        <v>52</v>
      </c>
      <c r="AQ114" s="120">
        <v>5.59</v>
      </c>
      <c r="AR114" s="120">
        <v>1.64</v>
      </c>
      <c r="AS114" s="120">
        <v>28</v>
      </c>
      <c r="AT114" s="212" t="s">
        <v>52</v>
      </c>
      <c r="AU114" s="212" t="s">
        <v>52</v>
      </c>
      <c r="AV114" s="212" t="s">
        <v>52</v>
      </c>
      <c r="AW114" s="212" t="s">
        <v>52</v>
      </c>
      <c r="AX114" s="120"/>
      <c r="AY114" s="120"/>
    </row>
    <row r="115" spans="1:51" s="60" customFormat="1" ht="19" customHeight="1" x14ac:dyDescent="0.2">
      <c r="A115"/>
      <c r="B115"/>
      <c r="C115">
        <v>115</v>
      </c>
      <c r="D115"/>
      <c r="E115" t="str">
        <f>IF(coder1_YH!G115="","",TRUE)</f>
        <v/>
      </c>
      <c r="F115" t="str">
        <f>IF(coder1_YH!P115="","",TRUE)</f>
        <v/>
      </c>
      <c r="G115" s="116"/>
      <c r="H115" s="117"/>
      <c r="I115" s="116"/>
      <c r="J115" s="88"/>
      <c r="K115" s="88"/>
      <c r="L115" s="88"/>
      <c r="M115" s="88"/>
      <c r="N115" s="283"/>
      <c r="O115" s="283" t="str">
        <f t="shared" si="11"/>
        <v/>
      </c>
      <c r="P115" s="127"/>
      <c r="Q115" s="209"/>
      <c r="R115" s="358"/>
      <c r="S115" s="90"/>
      <c r="T115" s="90"/>
      <c r="U115" s="90"/>
      <c r="V115" s="90"/>
      <c r="W115" s="90"/>
      <c r="X115" s="90"/>
      <c r="Y115" s="90"/>
      <c r="AA115" s="92"/>
      <c r="AF115" s="134"/>
      <c r="AG115" s="134"/>
      <c r="AH115" s="134"/>
      <c r="AJ115" s="60" t="s">
        <v>461</v>
      </c>
      <c r="AK115" s="60" t="s">
        <v>61</v>
      </c>
      <c r="AL115" s="60" t="s">
        <v>459</v>
      </c>
      <c r="AM115" s="146" t="s">
        <v>52</v>
      </c>
      <c r="AN115" s="120">
        <v>43.32</v>
      </c>
      <c r="AO115" s="120">
        <v>34.25</v>
      </c>
      <c r="AP115" s="120">
        <v>28</v>
      </c>
      <c r="AQ115" s="119" t="s">
        <v>52</v>
      </c>
      <c r="AR115" s="119" t="s">
        <v>52</v>
      </c>
      <c r="AS115" s="119" t="s">
        <v>52</v>
      </c>
      <c r="AT115" s="212" t="s">
        <v>52</v>
      </c>
      <c r="AU115" s="212" t="s">
        <v>52</v>
      </c>
      <c r="AV115" s="212" t="s">
        <v>52</v>
      </c>
      <c r="AW115" s="212" t="s">
        <v>52</v>
      </c>
      <c r="AX115" s="119"/>
      <c r="AY115" s="119"/>
    </row>
    <row r="116" spans="1:51" s="60" customFormat="1" ht="19" customHeight="1" x14ac:dyDescent="0.2">
      <c r="A116"/>
      <c r="B116"/>
      <c r="C116">
        <v>116</v>
      </c>
      <c r="D116"/>
      <c r="E116" t="b">
        <f>IF(coder1_YH!G116="","",TRUE)</f>
        <v>1</v>
      </c>
      <c r="F116" t="b">
        <f>IF(coder1_YH!P116="","",TRUE)</f>
        <v>1</v>
      </c>
      <c r="G116" s="116" t="s">
        <v>1000</v>
      </c>
      <c r="H116" s="117">
        <f>H110+0.1</f>
        <v>125.19999999999999</v>
      </c>
      <c r="I116" s="116" t="s">
        <v>47</v>
      </c>
      <c r="J116" s="88" t="s">
        <v>452</v>
      </c>
      <c r="K116" s="88" t="s">
        <v>66</v>
      </c>
      <c r="L116" s="88" t="s">
        <v>49</v>
      </c>
      <c r="M116" s="88" t="s">
        <v>238</v>
      </c>
      <c r="N116" s="283" t="s">
        <v>915</v>
      </c>
      <c r="O116" s="283" t="str">
        <f t="shared" si="11"/>
        <v xml:space="preserve">m </v>
      </c>
      <c r="P116" s="127">
        <v>1</v>
      </c>
      <c r="Q116" s="209" t="s">
        <v>465</v>
      </c>
      <c r="R116" s="358">
        <v>3</v>
      </c>
      <c r="S116" s="90">
        <v>8.5</v>
      </c>
      <c r="T116" s="90" t="s">
        <v>454</v>
      </c>
      <c r="U116" s="90" t="s">
        <v>454</v>
      </c>
      <c r="V116" s="90" t="s">
        <v>52</v>
      </c>
      <c r="W116" s="90" t="s">
        <v>52</v>
      </c>
      <c r="X116" s="90">
        <v>0.53731343283582089</v>
      </c>
      <c r="Y116" s="90" t="s">
        <v>52</v>
      </c>
      <c r="Z116" s="60" t="s">
        <v>92</v>
      </c>
      <c r="AA116" s="92" t="s">
        <v>455</v>
      </c>
      <c r="AB116" s="60" t="s">
        <v>456</v>
      </c>
      <c r="AC116" s="60" t="s">
        <v>153</v>
      </c>
      <c r="AD116" s="60" t="s">
        <v>457</v>
      </c>
      <c r="AE116" s="60" t="s">
        <v>58</v>
      </c>
      <c r="AF116" s="165" t="s">
        <v>52</v>
      </c>
      <c r="AG116" s="165" t="s">
        <v>706</v>
      </c>
      <c r="AH116" s="165" t="s">
        <v>52</v>
      </c>
      <c r="AI116" s="60" t="s">
        <v>59</v>
      </c>
      <c r="AJ116" s="60" t="s">
        <v>466</v>
      </c>
      <c r="AK116" s="60" t="s">
        <v>95</v>
      </c>
      <c r="AL116" s="60" t="s">
        <v>459</v>
      </c>
      <c r="AM116" s="146" t="s">
        <v>52</v>
      </c>
      <c r="AN116" s="119" t="s">
        <v>52</v>
      </c>
      <c r="AO116" s="119" t="s">
        <v>52</v>
      </c>
      <c r="AP116" s="119" t="s">
        <v>52</v>
      </c>
      <c r="AQ116" s="120">
        <v>8.09</v>
      </c>
      <c r="AR116" s="120">
        <v>1.59</v>
      </c>
      <c r="AS116" s="120">
        <v>33</v>
      </c>
      <c r="AT116" s="212" t="s">
        <v>52</v>
      </c>
      <c r="AU116" s="212" t="s">
        <v>52</v>
      </c>
      <c r="AV116" s="212" t="s">
        <v>52</v>
      </c>
      <c r="AW116" s="212" t="s">
        <v>52</v>
      </c>
      <c r="AX116" s="120"/>
      <c r="AY116" s="120"/>
    </row>
    <row r="117" spans="1:51" s="60" customFormat="1" ht="19" customHeight="1" x14ac:dyDescent="0.2">
      <c r="A117"/>
      <c r="B117"/>
      <c r="C117">
        <v>117</v>
      </c>
      <c r="D117"/>
      <c r="E117" t="str">
        <f>IF(coder1_YH!G117="","",TRUE)</f>
        <v/>
      </c>
      <c r="F117" t="str">
        <f>IF(coder1_YH!P117="","",TRUE)</f>
        <v/>
      </c>
      <c r="G117" s="116"/>
      <c r="H117" s="117"/>
      <c r="I117" s="116"/>
      <c r="J117" s="88"/>
      <c r="K117" s="88"/>
      <c r="L117" s="88"/>
      <c r="M117" s="88"/>
      <c r="N117" s="283"/>
      <c r="O117" s="283" t="str">
        <f t="shared" si="11"/>
        <v/>
      </c>
      <c r="P117" s="127"/>
      <c r="Q117" s="209"/>
      <c r="R117" s="358"/>
      <c r="S117" s="90"/>
      <c r="T117" s="90"/>
      <c r="U117" s="90"/>
      <c r="V117" s="90"/>
      <c r="W117" s="90"/>
      <c r="X117" s="90"/>
      <c r="Y117" s="90"/>
      <c r="AA117" s="92"/>
      <c r="AF117" s="118"/>
      <c r="AG117" s="118"/>
      <c r="AH117" s="118"/>
      <c r="AJ117" s="60" t="s">
        <v>467</v>
      </c>
      <c r="AK117" s="60" t="s">
        <v>95</v>
      </c>
      <c r="AL117" s="60" t="s">
        <v>459</v>
      </c>
      <c r="AM117" s="146" t="s">
        <v>52</v>
      </c>
      <c r="AN117" s="119" t="s">
        <v>52</v>
      </c>
      <c r="AO117" s="119" t="s">
        <v>52</v>
      </c>
      <c r="AP117" s="119" t="s">
        <v>52</v>
      </c>
      <c r="AQ117" s="120">
        <v>4.76</v>
      </c>
      <c r="AR117" s="120">
        <v>1.2</v>
      </c>
      <c r="AS117" s="120">
        <v>33</v>
      </c>
      <c r="AT117" s="212" t="s">
        <v>52</v>
      </c>
      <c r="AU117" s="212" t="s">
        <v>52</v>
      </c>
      <c r="AV117" s="212" t="s">
        <v>52</v>
      </c>
      <c r="AW117" s="212" t="s">
        <v>52</v>
      </c>
      <c r="AX117" s="120"/>
      <c r="AY117" s="120"/>
    </row>
    <row r="118" spans="1:51" s="60" customFormat="1" ht="19" customHeight="1" x14ac:dyDescent="0.2">
      <c r="A118"/>
      <c r="B118"/>
      <c r="C118">
        <v>118</v>
      </c>
      <c r="D118"/>
      <c r="E118" t="str">
        <f>IF(coder1_YH!G118="","",TRUE)</f>
        <v/>
      </c>
      <c r="F118" t="str">
        <f>IF(coder1_YH!P118="","",TRUE)</f>
        <v/>
      </c>
      <c r="G118" s="116"/>
      <c r="H118" s="117"/>
      <c r="I118" s="116"/>
      <c r="J118" s="88"/>
      <c r="K118" s="88"/>
      <c r="L118" s="88"/>
      <c r="M118" s="88"/>
      <c r="N118" s="283"/>
      <c r="O118" s="283" t="str">
        <f t="shared" si="11"/>
        <v/>
      </c>
      <c r="P118" s="127"/>
      <c r="Q118" s="209"/>
      <c r="R118" s="358"/>
      <c r="S118" s="90"/>
      <c r="T118" s="90"/>
      <c r="U118" s="90"/>
      <c r="V118" s="90"/>
      <c r="W118" s="90"/>
      <c r="X118" s="90"/>
      <c r="Y118" s="90"/>
      <c r="AA118" s="92"/>
      <c r="AF118" s="118"/>
      <c r="AG118" s="118"/>
      <c r="AH118" s="118"/>
      <c r="AJ118" s="60" t="s">
        <v>461</v>
      </c>
      <c r="AK118" s="60" t="s">
        <v>61</v>
      </c>
      <c r="AL118" s="60" t="s">
        <v>459</v>
      </c>
      <c r="AM118" s="146" t="s">
        <v>52</v>
      </c>
      <c r="AN118" s="120">
        <v>53.35</v>
      </c>
      <c r="AO118" s="120">
        <v>30.29</v>
      </c>
      <c r="AP118" s="120">
        <v>33</v>
      </c>
      <c r="AQ118" s="119" t="s">
        <v>52</v>
      </c>
      <c r="AR118" s="119" t="s">
        <v>52</v>
      </c>
      <c r="AS118" s="119" t="s">
        <v>52</v>
      </c>
      <c r="AT118" s="212" t="s">
        <v>52</v>
      </c>
      <c r="AU118" s="212" t="s">
        <v>52</v>
      </c>
      <c r="AV118" s="212" t="s">
        <v>52</v>
      </c>
      <c r="AW118" s="212" t="s">
        <v>52</v>
      </c>
      <c r="AX118" s="119"/>
      <c r="AY118" s="119"/>
    </row>
    <row r="119" spans="1:51" s="60" customFormat="1" ht="19" customHeight="1" x14ac:dyDescent="0.2">
      <c r="A119"/>
      <c r="B119"/>
      <c r="C119">
        <v>119</v>
      </c>
      <c r="D119"/>
      <c r="E119" t="str">
        <f>IF(coder1_YH!G119="","",TRUE)</f>
        <v/>
      </c>
      <c r="F119" t="b">
        <f>IF(coder1_YH!P119="","",TRUE)</f>
        <v>1</v>
      </c>
      <c r="G119" s="116"/>
      <c r="H119" s="117"/>
      <c r="I119" s="116"/>
      <c r="J119" s="88"/>
      <c r="K119" s="88"/>
      <c r="L119" s="88"/>
      <c r="M119" s="88"/>
      <c r="N119" s="283" t="s">
        <v>914</v>
      </c>
      <c r="O119" s="283" t="str">
        <f t="shared" si="11"/>
        <v xml:space="preserve">m </v>
      </c>
      <c r="P119" s="127" t="s">
        <v>924</v>
      </c>
      <c r="Q119" s="209" t="s">
        <v>468</v>
      </c>
      <c r="R119" s="358">
        <v>3</v>
      </c>
      <c r="S119" s="90">
        <v>8.5</v>
      </c>
      <c r="T119" s="90" t="s">
        <v>454</v>
      </c>
      <c r="U119" s="90" t="s">
        <v>454</v>
      </c>
      <c r="V119" s="90" t="s">
        <v>52</v>
      </c>
      <c r="W119" s="90" t="s">
        <v>52</v>
      </c>
      <c r="X119" s="90">
        <v>0.5757575757575758</v>
      </c>
      <c r="Y119" s="90" t="s">
        <v>52</v>
      </c>
      <c r="Z119" s="60" t="s">
        <v>92</v>
      </c>
      <c r="AA119" s="121" t="s">
        <v>463</v>
      </c>
      <c r="AB119" s="118" t="s">
        <v>464</v>
      </c>
      <c r="AC119" s="60" t="s">
        <v>153</v>
      </c>
      <c r="AD119" s="60" t="s">
        <v>457</v>
      </c>
      <c r="AE119" s="60" t="s">
        <v>58</v>
      </c>
      <c r="AF119" s="134" t="s">
        <v>78</v>
      </c>
      <c r="AG119" s="134" t="s">
        <v>78</v>
      </c>
      <c r="AH119" s="134" t="s">
        <v>78</v>
      </c>
      <c r="AI119" s="60" t="s">
        <v>78</v>
      </c>
      <c r="AJ119" s="60" t="s">
        <v>466</v>
      </c>
      <c r="AK119" s="60" t="s">
        <v>95</v>
      </c>
      <c r="AL119" s="60" t="s">
        <v>459</v>
      </c>
      <c r="AM119" s="146" t="s">
        <v>52</v>
      </c>
      <c r="AN119" s="119" t="s">
        <v>52</v>
      </c>
      <c r="AO119" s="119" t="s">
        <v>52</v>
      </c>
      <c r="AP119" s="119" t="s">
        <v>52</v>
      </c>
      <c r="AQ119" s="120">
        <v>7.88</v>
      </c>
      <c r="AR119" s="120">
        <v>1.72</v>
      </c>
      <c r="AS119" s="120">
        <v>27</v>
      </c>
      <c r="AT119" s="212" t="s">
        <v>52</v>
      </c>
      <c r="AU119" s="212" t="s">
        <v>52</v>
      </c>
      <c r="AV119" s="212" t="s">
        <v>52</v>
      </c>
      <c r="AW119" s="212" t="s">
        <v>52</v>
      </c>
      <c r="AX119" s="120"/>
      <c r="AY119" s="120"/>
    </row>
    <row r="120" spans="1:51" s="60" customFormat="1" ht="19" customHeight="1" x14ac:dyDescent="0.2">
      <c r="A120"/>
      <c r="B120"/>
      <c r="C120">
        <v>120</v>
      </c>
      <c r="D120"/>
      <c r="E120" t="str">
        <f>IF(coder1_YH!G120="","",TRUE)</f>
        <v/>
      </c>
      <c r="F120" t="str">
        <f>IF(coder1_YH!P120="","",TRUE)</f>
        <v/>
      </c>
      <c r="G120" s="116"/>
      <c r="H120" s="117"/>
      <c r="I120" s="116"/>
      <c r="J120" s="88"/>
      <c r="K120" s="88"/>
      <c r="L120" s="88"/>
      <c r="M120" s="88"/>
      <c r="N120" s="283"/>
      <c r="O120" s="283" t="str">
        <f t="shared" si="11"/>
        <v/>
      </c>
      <c r="P120" s="127"/>
      <c r="R120" s="358"/>
      <c r="S120" s="90"/>
      <c r="T120" s="90"/>
      <c r="U120" s="90"/>
      <c r="V120" s="90"/>
      <c r="W120" s="90"/>
      <c r="X120" s="90"/>
      <c r="Y120" s="90"/>
      <c r="AA120" s="92"/>
      <c r="AF120" s="134"/>
      <c r="AG120" s="134"/>
      <c r="AH120" s="134"/>
      <c r="AJ120" s="60" t="s">
        <v>467</v>
      </c>
      <c r="AK120" s="60" t="s">
        <v>95</v>
      </c>
      <c r="AL120" s="60" t="s">
        <v>459</v>
      </c>
      <c r="AM120" s="146" t="s">
        <v>52</v>
      </c>
      <c r="AN120" s="119" t="s">
        <v>52</v>
      </c>
      <c r="AO120" s="119" t="s">
        <v>52</v>
      </c>
      <c r="AP120" s="119" t="s">
        <v>52</v>
      </c>
      <c r="AQ120" s="120">
        <v>4</v>
      </c>
      <c r="AR120" s="120">
        <v>0.87</v>
      </c>
      <c r="AS120" s="120">
        <v>27</v>
      </c>
      <c r="AT120" s="212" t="s">
        <v>52</v>
      </c>
      <c r="AU120" s="212" t="s">
        <v>52</v>
      </c>
      <c r="AV120" s="212" t="s">
        <v>52</v>
      </c>
      <c r="AW120" s="212" t="s">
        <v>52</v>
      </c>
      <c r="AX120" s="120"/>
      <c r="AY120" s="120"/>
    </row>
    <row r="121" spans="1:51" s="60" customFormat="1" ht="19" customHeight="1" x14ac:dyDescent="0.2">
      <c r="A121"/>
      <c r="B121"/>
      <c r="C121">
        <v>121</v>
      </c>
      <c r="D121"/>
      <c r="E121" t="str">
        <f>IF(coder1_YH!G121="","",TRUE)</f>
        <v/>
      </c>
      <c r="F121" t="str">
        <f>IF(coder1_YH!P121="","",TRUE)</f>
        <v/>
      </c>
      <c r="G121" s="116"/>
      <c r="H121" s="117"/>
      <c r="I121" s="116"/>
      <c r="J121" s="88"/>
      <c r="K121" s="88"/>
      <c r="L121" s="88"/>
      <c r="M121" s="88"/>
      <c r="N121" s="283"/>
      <c r="O121" s="283" t="str">
        <f t="shared" si="11"/>
        <v/>
      </c>
      <c r="P121" s="127"/>
      <c r="R121" s="358"/>
      <c r="S121" s="90"/>
      <c r="T121" s="90"/>
      <c r="U121" s="90"/>
      <c r="V121" s="90"/>
      <c r="W121" s="90"/>
      <c r="X121" s="90"/>
      <c r="Y121" s="90"/>
      <c r="AA121" s="92"/>
      <c r="AF121" s="134"/>
      <c r="AG121" s="134"/>
      <c r="AH121" s="134"/>
      <c r="AJ121" s="60" t="s">
        <v>461</v>
      </c>
      <c r="AK121" s="60" t="s">
        <v>61</v>
      </c>
      <c r="AL121" s="60" t="s">
        <v>459</v>
      </c>
      <c r="AM121" s="146" t="s">
        <v>52</v>
      </c>
      <c r="AN121" s="120">
        <v>38.31</v>
      </c>
      <c r="AO121" s="120">
        <v>35.56</v>
      </c>
      <c r="AP121" s="120">
        <v>27</v>
      </c>
      <c r="AQ121" s="119" t="s">
        <v>52</v>
      </c>
      <c r="AR121" s="119" t="s">
        <v>52</v>
      </c>
      <c r="AS121" s="119" t="s">
        <v>52</v>
      </c>
      <c r="AT121" s="212" t="s">
        <v>52</v>
      </c>
      <c r="AU121" s="212" t="s">
        <v>52</v>
      </c>
      <c r="AV121" s="212" t="s">
        <v>52</v>
      </c>
      <c r="AW121" s="212" t="s">
        <v>52</v>
      </c>
      <c r="AX121" s="119"/>
      <c r="AY121" s="119"/>
    </row>
    <row r="122" spans="1:51" s="60" customFormat="1" ht="19" customHeight="1" x14ac:dyDescent="0.2">
      <c r="A122"/>
      <c r="B122"/>
      <c r="C122">
        <v>122</v>
      </c>
      <c r="D122"/>
      <c r="E122" t="b">
        <f>IF(coder1_YH!G122="","",TRUE)</f>
        <v>1</v>
      </c>
      <c r="F122" t="b">
        <f>IF(coder1_YH!P122="","",TRUE)</f>
        <v>1</v>
      </c>
      <c r="G122" s="116" t="s">
        <v>1000</v>
      </c>
      <c r="H122" s="117">
        <f>H116+0.1</f>
        <v>125.29999999999998</v>
      </c>
      <c r="I122" s="116" t="s">
        <v>47</v>
      </c>
      <c r="J122" s="88" t="s">
        <v>452</v>
      </c>
      <c r="K122" s="88" t="s">
        <v>66</v>
      </c>
      <c r="L122" s="88" t="s">
        <v>49</v>
      </c>
      <c r="M122" s="88" t="s">
        <v>238</v>
      </c>
      <c r="N122" s="283" t="s">
        <v>915</v>
      </c>
      <c r="O122" s="283" t="str">
        <f t="shared" si="11"/>
        <v xml:space="preserve">m </v>
      </c>
      <c r="P122" s="127">
        <v>1</v>
      </c>
      <c r="Q122" s="210" t="s">
        <v>469</v>
      </c>
      <c r="R122" s="358">
        <v>5</v>
      </c>
      <c r="S122" s="90">
        <v>10.5</v>
      </c>
      <c r="T122" s="90" t="s">
        <v>454</v>
      </c>
      <c r="U122" s="90" t="s">
        <v>454</v>
      </c>
      <c r="V122" s="90" t="s">
        <v>52</v>
      </c>
      <c r="W122" s="90" t="s">
        <v>52</v>
      </c>
      <c r="X122" s="90">
        <v>0.58490566037735847</v>
      </c>
      <c r="Y122" s="90" t="s">
        <v>52</v>
      </c>
      <c r="Z122" s="60" t="s">
        <v>92</v>
      </c>
      <c r="AA122" s="92" t="s">
        <v>455</v>
      </c>
      <c r="AB122" s="60" t="s">
        <v>456</v>
      </c>
      <c r="AC122" s="60" t="s">
        <v>153</v>
      </c>
      <c r="AD122" s="60" t="s">
        <v>457</v>
      </c>
      <c r="AE122" s="60" t="s">
        <v>58</v>
      </c>
      <c r="AF122" s="165" t="s">
        <v>52</v>
      </c>
      <c r="AG122" s="165" t="s">
        <v>706</v>
      </c>
      <c r="AH122" s="165" t="s">
        <v>52</v>
      </c>
      <c r="AI122" s="60" t="s">
        <v>59</v>
      </c>
      <c r="AJ122" s="60" t="s">
        <v>458</v>
      </c>
      <c r="AK122" s="60" t="s">
        <v>95</v>
      </c>
      <c r="AL122" s="60" t="s">
        <v>459</v>
      </c>
      <c r="AM122" s="146" t="s">
        <v>52</v>
      </c>
      <c r="AN122" s="119" t="s">
        <v>52</v>
      </c>
      <c r="AO122" s="119" t="s">
        <v>52</v>
      </c>
      <c r="AP122" s="119" t="s">
        <v>52</v>
      </c>
      <c r="AQ122" s="120">
        <v>7.92</v>
      </c>
      <c r="AR122" s="120">
        <v>1.54</v>
      </c>
      <c r="AS122" s="120">
        <v>23</v>
      </c>
      <c r="AT122" s="212" t="s">
        <v>52</v>
      </c>
      <c r="AU122" s="212" t="s">
        <v>52</v>
      </c>
      <c r="AV122" s="212" t="s">
        <v>52</v>
      </c>
      <c r="AW122" s="212" t="s">
        <v>52</v>
      </c>
      <c r="AX122" s="120"/>
      <c r="AY122" s="120"/>
    </row>
    <row r="123" spans="1:51" s="60" customFormat="1" ht="19" customHeight="1" x14ac:dyDescent="0.2">
      <c r="A123"/>
      <c r="B123"/>
      <c r="C123">
        <v>123</v>
      </c>
      <c r="D123"/>
      <c r="E123" t="str">
        <f>IF(coder1_YH!G123="","",TRUE)</f>
        <v/>
      </c>
      <c r="F123" t="str">
        <f>IF(coder1_YH!P123="","",TRUE)</f>
        <v/>
      </c>
      <c r="G123" s="116"/>
      <c r="H123" s="117"/>
      <c r="I123" s="116"/>
      <c r="J123" s="88"/>
      <c r="K123" s="88"/>
      <c r="L123" s="88"/>
      <c r="M123" s="88"/>
      <c r="N123" s="283"/>
      <c r="O123" s="283" t="str">
        <f t="shared" si="11"/>
        <v/>
      </c>
      <c r="P123" s="127"/>
      <c r="Q123" s="210"/>
      <c r="R123" s="358"/>
      <c r="S123" s="90"/>
      <c r="T123" s="90"/>
      <c r="U123" s="90"/>
      <c r="V123" s="90"/>
      <c r="W123" s="90"/>
      <c r="X123" s="90"/>
      <c r="Y123" s="90"/>
      <c r="AA123" s="92"/>
      <c r="AF123" s="118"/>
      <c r="AG123" s="118"/>
      <c r="AH123" s="118"/>
      <c r="AJ123" s="60" t="s">
        <v>460</v>
      </c>
      <c r="AK123" s="60" t="s">
        <v>95</v>
      </c>
      <c r="AL123" s="60" t="s">
        <v>459</v>
      </c>
      <c r="AM123" s="146" t="s">
        <v>52</v>
      </c>
      <c r="AN123" s="119" t="s">
        <v>52</v>
      </c>
      <c r="AO123" s="119" t="s">
        <v>52</v>
      </c>
      <c r="AP123" s="119" t="s">
        <v>52</v>
      </c>
      <c r="AQ123" s="120">
        <v>5.4</v>
      </c>
      <c r="AR123" s="120">
        <v>1.34</v>
      </c>
      <c r="AS123" s="120">
        <v>23</v>
      </c>
      <c r="AT123" s="212" t="s">
        <v>52</v>
      </c>
      <c r="AU123" s="212" t="s">
        <v>52</v>
      </c>
      <c r="AV123" s="212" t="s">
        <v>52</v>
      </c>
      <c r="AW123" s="212" t="s">
        <v>52</v>
      </c>
      <c r="AX123" s="120"/>
      <c r="AY123" s="120"/>
    </row>
    <row r="124" spans="1:51" s="60" customFormat="1" ht="19" customHeight="1" x14ac:dyDescent="0.2">
      <c r="A124"/>
      <c r="B124"/>
      <c r="C124">
        <v>124</v>
      </c>
      <c r="D124"/>
      <c r="E124" t="str">
        <f>IF(coder1_YH!G124="","",TRUE)</f>
        <v/>
      </c>
      <c r="F124" t="str">
        <f>IF(coder1_YH!P124="","",TRUE)</f>
        <v/>
      </c>
      <c r="G124" s="116"/>
      <c r="H124" s="117"/>
      <c r="I124" s="116"/>
      <c r="J124" s="88"/>
      <c r="K124" s="88"/>
      <c r="L124" s="88"/>
      <c r="M124" s="88"/>
      <c r="N124" s="283"/>
      <c r="O124" s="283" t="str">
        <f t="shared" si="11"/>
        <v/>
      </c>
      <c r="P124" s="127"/>
      <c r="Q124" s="210"/>
      <c r="R124" s="358"/>
      <c r="S124" s="90"/>
      <c r="T124" s="90"/>
      <c r="U124" s="90"/>
      <c r="V124" s="90"/>
      <c r="W124" s="90"/>
      <c r="X124" s="90"/>
      <c r="Y124" s="90"/>
      <c r="AA124" s="92"/>
      <c r="AF124" s="118"/>
      <c r="AG124" s="118"/>
      <c r="AH124" s="118"/>
      <c r="AJ124" s="60" t="s">
        <v>461</v>
      </c>
      <c r="AK124" s="60" t="s">
        <v>61</v>
      </c>
      <c r="AL124" s="60" t="s">
        <v>459</v>
      </c>
      <c r="AM124" s="146" t="s">
        <v>52</v>
      </c>
      <c r="AN124" s="180">
        <v>43.29</v>
      </c>
      <c r="AO124" s="120">
        <v>11.77</v>
      </c>
      <c r="AP124" s="120">
        <v>23</v>
      </c>
      <c r="AQ124" s="119" t="s">
        <v>52</v>
      </c>
      <c r="AR124" s="119" t="s">
        <v>52</v>
      </c>
      <c r="AS124" s="119" t="s">
        <v>52</v>
      </c>
      <c r="AT124" s="212" t="s">
        <v>52</v>
      </c>
      <c r="AU124" s="212" t="s">
        <v>52</v>
      </c>
      <c r="AV124" s="212" t="s">
        <v>52</v>
      </c>
      <c r="AW124" s="212" t="s">
        <v>52</v>
      </c>
      <c r="AX124" s="119"/>
      <c r="AY124" s="119"/>
    </row>
    <row r="125" spans="1:51" s="60" customFormat="1" ht="19" customHeight="1" x14ac:dyDescent="0.2">
      <c r="A125"/>
      <c r="B125"/>
      <c r="C125">
        <v>125</v>
      </c>
      <c r="D125"/>
      <c r="E125" t="str">
        <f>IF(coder1_YH!G125="","",TRUE)</f>
        <v/>
      </c>
      <c r="F125" t="b">
        <f>IF(coder1_YH!P125="","",TRUE)</f>
        <v>1</v>
      </c>
      <c r="G125" s="116"/>
      <c r="H125" s="117"/>
      <c r="I125" s="116"/>
      <c r="J125" s="88"/>
      <c r="K125" s="88"/>
      <c r="L125" s="88"/>
      <c r="M125" s="88"/>
      <c r="N125" s="283" t="s">
        <v>914</v>
      </c>
      <c r="O125" s="283" t="str">
        <f t="shared" si="11"/>
        <v xml:space="preserve">m </v>
      </c>
      <c r="P125" s="127" t="s">
        <v>924</v>
      </c>
      <c r="Q125" s="210" t="s">
        <v>470</v>
      </c>
      <c r="R125" s="358">
        <v>5</v>
      </c>
      <c r="S125" s="90">
        <v>10.5</v>
      </c>
      <c r="T125" s="90" t="s">
        <v>454</v>
      </c>
      <c r="U125" s="90" t="s">
        <v>454</v>
      </c>
      <c r="V125" s="90" t="s">
        <v>52</v>
      </c>
      <c r="W125" s="90" t="s">
        <v>52</v>
      </c>
      <c r="X125" s="90">
        <v>0.47169811320754718</v>
      </c>
      <c r="Y125" s="90" t="s">
        <v>52</v>
      </c>
      <c r="Z125" s="60" t="s">
        <v>92</v>
      </c>
      <c r="AA125" s="121" t="s">
        <v>463</v>
      </c>
      <c r="AB125" s="118" t="s">
        <v>464</v>
      </c>
      <c r="AC125" s="60" t="s">
        <v>153</v>
      </c>
      <c r="AD125" s="60" t="s">
        <v>457</v>
      </c>
      <c r="AE125" s="60" t="s">
        <v>58</v>
      </c>
      <c r="AF125" s="134" t="s">
        <v>78</v>
      </c>
      <c r="AG125" s="134" t="s">
        <v>78</v>
      </c>
      <c r="AH125" s="134" t="s">
        <v>78</v>
      </c>
      <c r="AI125" s="60" t="s">
        <v>78</v>
      </c>
      <c r="AJ125" s="60" t="s">
        <v>458</v>
      </c>
      <c r="AK125" s="60" t="s">
        <v>95</v>
      </c>
      <c r="AL125" s="60" t="s">
        <v>459</v>
      </c>
      <c r="AM125" s="146" t="s">
        <v>52</v>
      </c>
      <c r="AN125" s="119" t="s">
        <v>52</v>
      </c>
      <c r="AO125" s="119" t="s">
        <v>52</v>
      </c>
      <c r="AP125" s="119" t="s">
        <v>52</v>
      </c>
      <c r="AQ125" s="120">
        <v>7.35</v>
      </c>
      <c r="AR125" s="120">
        <v>1.54</v>
      </c>
      <c r="AS125" s="120">
        <v>24</v>
      </c>
      <c r="AT125" s="212" t="s">
        <v>52</v>
      </c>
      <c r="AU125" s="212" t="s">
        <v>52</v>
      </c>
      <c r="AV125" s="212" t="s">
        <v>52</v>
      </c>
      <c r="AW125" s="212" t="s">
        <v>52</v>
      </c>
      <c r="AX125" s="120"/>
      <c r="AY125" s="120"/>
    </row>
    <row r="126" spans="1:51" s="60" customFormat="1" ht="19" customHeight="1" x14ac:dyDescent="0.2">
      <c r="A126"/>
      <c r="B126"/>
      <c r="C126">
        <v>126</v>
      </c>
      <c r="D126"/>
      <c r="E126" t="str">
        <f>IF(coder1_YH!G126="","",TRUE)</f>
        <v/>
      </c>
      <c r="F126" t="str">
        <f>IF(coder1_YH!P126="","",TRUE)</f>
        <v/>
      </c>
      <c r="G126" s="116"/>
      <c r="H126" s="117"/>
      <c r="I126" s="116"/>
      <c r="J126" s="88"/>
      <c r="K126" s="88"/>
      <c r="L126" s="88"/>
      <c r="M126" s="88"/>
      <c r="N126" s="283"/>
      <c r="O126" s="283" t="str">
        <f t="shared" si="11"/>
        <v/>
      </c>
      <c r="P126" s="127"/>
      <c r="Q126" s="210"/>
      <c r="R126" s="358"/>
      <c r="S126" s="90"/>
      <c r="T126" s="90"/>
      <c r="U126" s="90"/>
      <c r="V126" s="90"/>
      <c r="W126" s="90"/>
      <c r="X126" s="90"/>
      <c r="Y126" s="90"/>
      <c r="AA126" s="92"/>
      <c r="AF126" s="134"/>
      <c r="AG126" s="134"/>
      <c r="AH126" s="134"/>
      <c r="AJ126" s="60" t="s">
        <v>460</v>
      </c>
      <c r="AK126" s="60" t="s">
        <v>95</v>
      </c>
      <c r="AL126" s="60" t="s">
        <v>459</v>
      </c>
      <c r="AM126" s="146" t="s">
        <v>52</v>
      </c>
      <c r="AN126" s="119" t="s">
        <v>52</v>
      </c>
      <c r="AO126" s="119" t="s">
        <v>52</v>
      </c>
      <c r="AP126" s="119" t="s">
        <v>52</v>
      </c>
      <c r="AQ126" s="120">
        <v>4.4400000000000004</v>
      </c>
      <c r="AR126" s="120">
        <v>1.34</v>
      </c>
      <c r="AS126" s="120">
        <v>24</v>
      </c>
      <c r="AT126" s="212" t="s">
        <v>52</v>
      </c>
      <c r="AU126" s="212" t="s">
        <v>52</v>
      </c>
      <c r="AV126" s="212" t="s">
        <v>52</v>
      </c>
      <c r="AW126" s="212" t="s">
        <v>52</v>
      </c>
      <c r="AX126" s="120"/>
      <c r="AY126" s="120"/>
    </row>
    <row r="127" spans="1:51" s="60" customFormat="1" ht="19" customHeight="1" x14ac:dyDescent="0.2">
      <c r="A127"/>
      <c r="B127"/>
      <c r="C127">
        <v>127</v>
      </c>
      <c r="D127"/>
      <c r="E127" t="str">
        <f>IF(coder1_YH!G127="","",TRUE)</f>
        <v/>
      </c>
      <c r="F127" t="str">
        <f>IF(coder1_YH!P127="","",TRUE)</f>
        <v/>
      </c>
      <c r="G127" s="116"/>
      <c r="H127" s="117"/>
      <c r="I127" s="116"/>
      <c r="J127" s="88"/>
      <c r="K127" s="88"/>
      <c r="L127" s="88"/>
      <c r="M127" s="88"/>
      <c r="N127" s="283"/>
      <c r="O127" s="283" t="str">
        <f t="shared" si="11"/>
        <v/>
      </c>
      <c r="P127" s="127"/>
      <c r="Q127" s="210"/>
      <c r="R127" s="358"/>
      <c r="S127" s="90"/>
      <c r="T127" s="90"/>
      <c r="U127" s="90"/>
      <c r="V127" s="90"/>
      <c r="W127" s="90"/>
      <c r="X127" s="90"/>
      <c r="Y127" s="90"/>
      <c r="AA127" s="92"/>
      <c r="AF127" s="134"/>
      <c r="AG127" s="134"/>
      <c r="AH127" s="134"/>
      <c r="AJ127" s="60" t="s">
        <v>461</v>
      </c>
      <c r="AK127" s="60" t="s">
        <v>61</v>
      </c>
      <c r="AL127" s="60" t="s">
        <v>459</v>
      </c>
      <c r="AM127" s="146" t="s">
        <v>52</v>
      </c>
      <c r="AN127" s="180">
        <v>37.46</v>
      </c>
      <c r="AO127" s="120">
        <v>12.6</v>
      </c>
      <c r="AP127" s="120">
        <v>24</v>
      </c>
      <c r="AQ127" s="119" t="s">
        <v>52</v>
      </c>
      <c r="AR127" s="119" t="s">
        <v>52</v>
      </c>
      <c r="AS127" s="119" t="s">
        <v>52</v>
      </c>
      <c r="AT127" s="212" t="s">
        <v>52</v>
      </c>
      <c r="AU127" s="212" t="s">
        <v>52</v>
      </c>
      <c r="AV127" s="212" t="s">
        <v>52</v>
      </c>
      <c r="AW127" s="212" t="s">
        <v>52</v>
      </c>
      <c r="AX127" s="119"/>
      <c r="AY127" s="119"/>
    </row>
    <row r="128" spans="1:51" s="60" customFormat="1" ht="19" customHeight="1" x14ac:dyDescent="0.2">
      <c r="A128"/>
      <c r="B128"/>
      <c r="C128">
        <v>128</v>
      </c>
      <c r="D128"/>
      <c r="E128" t="b">
        <f>IF(coder1_YH!G128="","",TRUE)</f>
        <v>1</v>
      </c>
      <c r="F128" t="b">
        <f>IF(coder1_YH!P128="","",TRUE)</f>
        <v>1</v>
      </c>
      <c r="G128" s="116" t="s">
        <v>1000</v>
      </c>
      <c r="H128" s="117">
        <f>H122+0.1</f>
        <v>125.39999999999998</v>
      </c>
      <c r="I128" s="116" t="s">
        <v>47</v>
      </c>
      <c r="J128" s="88" t="s">
        <v>452</v>
      </c>
      <c r="K128" s="88" t="s">
        <v>66</v>
      </c>
      <c r="L128" s="88" t="s">
        <v>49</v>
      </c>
      <c r="M128" s="88" t="s">
        <v>238</v>
      </c>
      <c r="N128" s="283" t="s">
        <v>915</v>
      </c>
      <c r="O128" s="283" t="str">
        <f t="shared" si="11"/>
        <v xml:space="preserve">m </v>
      </c>
      <c r="P128" s="127">
        <v>1</v>
      </c>
      <c r="Q128" s="210" t="s">
        <v>471</v>
      </c>
      <c r="R128" s="358">
        <v>5</v>
      </c>
      <c r="S128" s="90">
        <v>10.5</v>
      </c>
      <c r="T128" s="90" t="s">
        <v>454</v>
      </c>
      <c r="U128" s="90" t="s">
        <v>454</v>
      </c>
      <c r="V128" s="90" t="s">
        <v>52</v>
      </c>
      <c r="W128" s="90" t="s">
        <v>52</v>
      </c>
      <c r="X128" s="90">
        <v>0.58490566037735847</v>
      </c>
      <c r="Y128" s="90" t="s">
        <v>52</v>
      </c>
      <c r="Z128" s="60" t="s">
        <v>92</v>
      </c>
      <c r="AA128" s="92" t="s">
        <v>455</v>
      </c>
      <c r="AB128" s="60" t="s">
        <v>456</v>
      </c>
      <c r="AC128" s="60" t="s">
        <v>153</v>
      </c>
      <c r="AD128" s="60" t="s">
        <v>457</v>
      </c>
      <c r="AE128" s="60" t="s">
        <v>58</v>
      </c>
      <c r="AF128" s="165" t="s">
        <v>52</v>
      </c>
      <c r="AG128" s="165" t="s">
        <v>706</v>
      </c>
      <c r="AH128" s="165" t="s">
        <v>52</v>
      </c>
      <c r="AI128" s="60" t="s">
        <v>59</v>
      </c>
      <c r="AJ128" s="60" t="s">
        <v>466</v>
      </c>
      <c r="AK128" s="60" t="s">
        <v>95</v>
      </c>
      <c r="AL128" s="60" t="s">
        <v>459</v>
      </c>
      <c r="AM128" s="146" t="s">
        <v>52</v>
      </c>
      <c r="AN128" s="119" t="s">
        <v>52</v>
      </c>
      <c r="AO128" s="119" t="s">
        <v>52</v>
      </c>
      <c r="AP128" s="119" t="s">
        <v>52</v>
      </c>
      <c r="AQ128" s="120">
        <v>6.74</v>
      </c>
      <c r="AR128" s="120">
        <v>1.9</v>
      </c>
      <c r="AS128" s="120">
        <v>26</v>
      </c>
      <c r="AT128" s="212" t="s">
        <v>52</v>
      </c>
      <c r="AU128" s="212" t="s">
        <v>52</v>
      </c>
      <c r="AV128" s="212" t="s">
        <v>52</v>
      </c>
      <c r="AW128" s="212" t="s">
        <v>52</v>
      </c>
      <c r="AX128" s="120"/>
      <c r="AY128" s="120"/>
    </row>
    <row r="129" spans="1:51" s="60" customFormat="1" ht="19" customHeight="1" x14ac:dyDescent="0.2">
      <c r="A129"/>
      <c r="B129"/>
      <c r="C129">
        <v>129</v>
      </c>
      <c r="D129"/>
      <c r="E129" t="str">
        <f>IF(coder1_YH!G129="","",TRUE)</f>
        <v/>
      </c>
      <c r="F129" t="str">
        <f>IF(coder1_YH!P129="","",TRUE)</f>
        <v/>
      </c>
      <c r="G129" s="116"/>
      <c r="H129" s="117"/>
      <c r="I129" s="116"/>
      <c r="J129" s="88"/>
      <c r="K129" s="88"/>
      <c r="L129" s="88"/>
      <c r="M129" s="88"/>
      <c r="N129" s="283"/>
      <c r="O129" s="283" t="str">
        <f t="shared" si="11"/>
        <v/>
      </c>
      <c r="P129" s="127"/>
      <c r="Q129" s="210"/>
      <c r="R129" s="358"/>
      <c r="S129" s="90"/>
      <c r="T129" s="90"/>
      <c r="U129" s="90"/>
      <c r="V129" s="90"/>
      <c r="W129" s="90"/>
      <c r="X129" s="90"/>
      <c r="Y129" s="90"/>
      <c r="AA129" s="92"/>
      <c r="AF129" s="118"/>
      <c r="AG129" s="118"/>
      <c r="AH129" s="118"/>
      <c r="AJ129" s="60" t="s">
        <v>467</v>
      </c>
      <c r="AK129" s="60" t="s">
        <v>95</v>
      </c>
      <c r="AL129" s="60" t="s">
        <v>459</v>
      </c>
      <c r="AM129" s="146" t="s">
        <v>52</v>
      </c>
      <c r="AN129" s="119" t="s">
        <v>52</v>
      </c>
      <c r="AO129" s="119" t="s">
        <v>52</v>
      </c>
      <c r="AP129" s="119" t="s">
        <v>52</v>
      </c>
      <c r="AQ129" s="120">
        <v>4.96</v>
      </c>
      <c r="AR129" s="120">
        <v>1.25</v>
      </c>
      <c r="AS129" s="120">
        <v>26</v>
      </c>
      <c r="AT129" s="212" t="s">
        <v>52</v>
      </c>
      <c r="AU129" s="212" t="s">
        <v>52</v>
      </c>
      <c r="AV129" s="212" t="s">
        <v>52</v>
      </c>
      <c r="AW129" s="212" t="s">
        <v>52</v>
      </c>
      <c r="AX129" s="120"/>
      <c r="AY129" s="120"/>
    </row>
    <row r="130" spans="1:51" s="60" customFormat="1" ht="19" customHeight="1" x14ac:dyDescent="0.2">
      <c r="A130"/>
      <c r="B130"/>
      <c r="C130">
        <v>130</v>
      </c>
      <c r="D130"/>
      <c r="E130" t="str">
        <f>IF(coder1_YH!G130="","",TRUE)</f>
        <v/>
      </c>
      <c r="F130" t="str">
        <f>IF(coder1_YH!P130="","",TRUE)</f>
        <v/>
      </c>
      <c r="G130" s="116"/>
      <c r="H130" s="117"/>
      <c r="I130" s="116"/>
      <c r="J130" s="88"/>
      <c r="K130" s="88"/>
      <c r="L130" s="88"/>
      <c r="M130" s="88"/>
      <c r="N130" s="283"/>
      <c r="O130" s="283" t="str">
        <f t="shared" si="11"/>
        <v/>
      </c>
      <c r="P130" s="127"/>
      <c r="Q130" s="210"/>
      <c r="R130" s="358"/>
      <c r="S130" s="90"/>
      <c r="T130" s="90"/>
      <c r="U130" s="90"/>
      <c r="V130" s="90"/>
      <c r="W130" s="90"/>
      <c r="X130" s="90"/>
      <c r="Y130" s="90"/>
      <c r="AA130" s="92"/>
      <c r="AF130" s="118"/>
      <c r="AG130" s="118"/>
      <c r="AH130" s="118"/>
      <c r="AJ130" s="60" t="s">
        <v>461</v>
      </c>
      <c r="AK130" s="60" t="s">
        <v>61</v>
      </c>
      <c r="AL130" s="60" t="s">
        <v>459</v>
      </c>
      <c r="AM130" s="146" t="s">
        <v>52</v>
      </c>
      <c r="AN130" s="120">
        <v>42.23</v>
      </c>
      <c r="AO130" s="120">
        <v>8.99</v>
      </c>
      <c r="AP130" s="120">
        <v>26</v>
      </c>
      <c r="AQ130" s="119" t="s">
        <v>52</v>
      </c>
      <c r="AR130" s="119" t="s">
        <v>52</v>
      </c>
      <c r="AS130" s="119" t="s">
        <v>52</v>
      </c>
      <c r="AT130" s="212" t="s">
        <v>52</v>
      </c>
      <c r="AU130" s="212" t="s">
        <v>52</v>
      </c>
      <c r="AV130" s="212" t="s">
        <v>52</v>
      </c>
      <c r="AW130" s="212" t="s">
        <v>52</v>
      </c>
      <c r="AX130" s="119"/>
      <c r="AY130" s="119"/>
    </row>
    <row r="131" spans="1:51" s="60" customFormat="1" ht="19" customHeight="1" x14ac:dyDescent="0.2">
      <c r="A131"/>
      <c r="B131"/>
      <c r="C131">
        <v>131</v>
      </c>
      <c r="D131"/>
      <c r="E131" t="str">
        <f>IF(coder1_YH!G131="","",TRUE)</f>
        <v/>
      </c>
      <c r="F131" t="b">
        <f>IF(coder1_YH!P131="","",TRUE)</f>
        <v>1</v>
      </c>
      <c r="G131" s="116"/>
      <c r="H131" s="117"/>
      <c r="I131" s="116"/>
      <c r="J131" s="88"/>
      <c r="K131" s="88"/>
      <c r="L131" s="88"/>
      <c r="M131" s="88"/>
      <c r="N131" s="283" t="s">
        <v>914</v>
      </c>
      <c r="O131" s="283" t="str">
        <f t="shared" ref="O131:O194" si="13">IF(Z131="BAU",".",LEFT(Z131,2))</f>
        <v xml:space="preserve">m </v>
      </c>
      <c r="P131" s="127" t="s">
        <v>924</v>
      </c>
      <c r="Q131" s="210" t="s">
        <v>472</v>
      </c>
      <c r="R131" s="358">
        <v>5</v>
      </c>
      <c r="S131" s="90">
        <v>10.5</v>
      </c>
      <c r="T131" s="90" t="s">
        <v>454</v>
      </c>
      <c r="U131" s="90" t="s">
        <v>454</v>
      </c>
      <c r="V131" s="90" t="s">
        <v>52</v>
      </c>
      <c r="W131" s="90" t="s">
        <v>52</v>
      </c>
      <c r="X131" s="90">
        <v>0.47169811320754718</v>
      </c>
      <c r="Y131" s="90" t="s">
        <v>52</v>
      </c>
      <c r="Z131" s="60" t="s">
        <v>92</v>
      </c>
      <c r="AA131" s="121" t="s">
        <v>463</v>
      </c>
      <c r="AB131" s="118" t="s">
        <v>464</v>
      </c>
      <c r="AC131" s="60" t="s">
        <v>153</v>
      </c>
      <c r="AD131" s="60" t="s">
        <v>457</v>
      </c>
      <c r="AE131" s="60" t="s">
        <v>58</v>
      </c>
      <c r="AF131" s="134" t="s">
        <v>78</v>
      </c>
      <c r="AG131" s="134" t="s">
        <v>78</v>
      </c>
      <c r="AH131" s="134" t="s">
        <v>78</v>
      </c>
      <c r="AI131" s="60" t="s">
        <v>78</v>
      </c>
      <c r="AJ131" s="60" t="s">
        <v>466</v>
      </c>
      <c r="AK131" s="60" t="s">
        <v>95</v>
      </c>
      <c r="AL131" s="60" t="s">
        <v>459</v>
      </c>
      <c r="AM131" s="146" t="s">
        <v>52</v>
      </c>
      <c r="AN131" s="119" t="s">
        <v>52</v>
      </c>
      <c r="AO131" s="119" t="s">
        <v>52</v>
      </c>
      <c r="AP131" s="119" t="s">
        <v>52</v>
      </c>
      <c r="AQ131" s="120">
        <v>6.37</v>
      </c>
      <c r="AR131" s="120">
        <v>1.59</v>
      </c>
      <c r="AS131" s="120">
        <v>28</v>
      </c>
      <c r="AT131" s="212" t="s">
        <v>52</v>
      </c>
      <c r="AU131" s="212" t="s">
        <v>52</v>
      </c>
      <c r="AV131" s="212" t="s">
        <v>52</v>
      </c>
      <c r="AW131" s="212" t="s">
        <v>52</v>
      </c>
      <c r="AX131" s="120"/>
      <c r="AY131" s="120"/>
    </row>
    <row r="132" spans="1:51" s="60" customFormat="1" ht="19" customHeight="1" x14ac:dyDescent="0.2">
      <c r="A132"/>
      <c r="B132"/>
      <c r="C132">
        <v>132</v>
      </c>
      <c r="D132"/>
      <c r="E132" t="str">
        <f>IF(coder1_YH!G132="","",TRUE)</f>
        <v/>
      </c>
      <c r="F132" t="str">
        <f>IF(coder1_YH!P132="","",TRUE)</f>
        <v/>
      </c>
      <c r="G132" s="116"/>
      <c r="H132" s="117"/>
      <c r="I132" s="116"/>
      <c r="J132" s="88"/>
      <c r="K132" s="88"/>
      <c r="L132" s="88"/>
      <c r="M132" s="88"/>
      <c r="N132" s="283"/>
      <c r="O132" s="283" t="str">
        <f t="shared" si="13"/>
        <v/>
      </c>
      <c r="P132" s="127"/>
      <c r="R132" s="358"/>
      <c r="S132" s="90"/>
      <c r="T132" s="90"/>
      <c r="U132" s="90"/>
      <c r="V132" s="90"/>
      <c r="W132" s="90"/>
      <c r="Y132" s="90"/>
      <c r="AA132" s="92"/>
      <c r="AF132" s="134"/>
      <c r="AG132" s="134"/>
      <c r="AH132" s="134"/>
      <c r="AJ132" s="60" t="s">
        <v>467</v>
      </c>
      <c r="AK132" s="60" t="s">
        <v>95</v>
      </c>
      <c r="AL132" s="60" t="s">
        <v>459</v>
      </c>
      <c r="AM132" s="146" t="s">
        <v>52</v>
      </c>
      <c r="AN132" s="119" t="s">
        <v>52</v>
      </c>
      <c r="AO132" s="119" t="s">
        <v>52</v>
      </c>
      <c r="AP132" s="119" t="s">
        <v>52</v>
      </c>
      <c r="AQ132" s="120">
        <v>5.13</v>
      </c>
      <c r="AR132" s="120">
        <v>1.51</v>
      </c>
      <c r="AS132" s="120">
        <v>28</v>
      </c>
      <c r="AT132" s="212" t="s">
        <v>52</v>
      </c>
      <c r="AU132" s="212" t="s">
        <v>52</v>
      </c>
      <c r="AV132" s="212" t="s">
        <v>52</v>
      </c>
      <c r="AW132" s="212" t="s">
        <v>52</v>
      </c>
      <c r="AX132" s="120"/>
      <c r="AY132" s="120"/>
    </row>
    <row r="133" spans="1:51" s="63" customFormat="1" ht="19" customHeight="1" x14ac:dyDescent="0.2">
      <c r="A133"/>
      <c r="B133"/>
      <c r="C133">
        <v>133</v>
      </c>
      <c r="D133"/>
      <c r="E133" t="str">
        <f>IF(coder1_YH!G133="","",TRUE)</f>
        <v/>
      </c>
      <c r="F133" t="str">
        <f>IF(coder1_YH!P133="","",TRUE)</f>
        <v/>
      </c>
      <c r="G133" s="122"/>
      <c r="H133" s="123"/>
      <c r="I133" s="122"/>
      <c r="J133" s="89"/>
      <c r="K133" s="89"/>
      <c r="L133" s="89"/>
      <c r="M133" s="89"/>
      <c r="N133" s="284"/>
      <c r="O133" s="284" t="str">
        <f t="shared" si="13"/>
        <v/>
      </c>
      <c r="P133" s="128"/>
      <c r="R133" s="359"/>
      <c r="S133" s="93"/>
      <c r="T133" s="93"/>
      <c r="U133" s="93"/>
      <c r="V133" s="93"/>
      <c r="W133" s="93"/>
      <c r="Y133" s="93"/>
      <c r="AA133" s="95"/>
      <c r="AF133" s="138"/>
      <c r="AG133" s="138"/>
      <c r="AH133" s="138"/>
      <c r="AJ133" s="63" t="s">
        <v>461</v>
      </c>
      <c r="AK133" s="63" t="s">
        <v>61</v>
      </c>
      <c r="AL133" s="60" t="s">
        <v>459</v>
      </c>
      <c r="AM133" s="147" t="s">
        <v>52</v>
      </c>
      <c r="AN133" s="124">
        <v>37.54</v>
      </c>
      <c r="AO133" s="124">
        <v>10.3</v>
      </c>
      <c r="AP133" s="124">
        <v>28</v>
      </c>
      <c r="AQ133" s="125" t="s">
        <v>52</v>
      </c>
      <c r="AR133" s="125" t="s">
        <v>52</v>
      </c>
      <c r="AS133" s="125" t="s">
        <v>52</v>
      </c>
      <c r="AT133" s="213" t="s">
        <v>52</v>
      </c>
      <c r="AU133" s="213" t="s">
        <v>52</v>
      </c>
      <c r="AV133" s="213" t="s">
        <v>52</v>
      </c>
      <c r="AW133" s="213" t="s">
        <v>52</v>
      </c>
      <c r="AX133" s="125"/>
      <c r="AY133" s="125"/>
    </row>
    <row r="134" spans="1:51" s="60" customFormat="1" ht="19" customHeight="1" x14ac:dyDescent="0.2">
      <c r="A134"/>
      <c r="B134"/>
      <c r="C134">
        <v>134</v>
      </c>
      <c r="D134" t="b">
        <f>E134</f>
        <v>1</v>
      </c>
      <c r="E134" t="b">
        <f>IF(coder1_YH!G134="","",TRUE)</f>
        <v>1</v>
      </c>
      <c r="F134" t="b">
        <f>IF(coder1_YH!P134="","",TRUE)</f>
        <v>1</v>
      </c>
      <c r="G134" s="116" t="s">
        <v>1001</v>
      </c>
      <c r="H134" s="117">
        <v>126.1</v>
      </c>
      <c r="I134" s="116" t="s">
        <v>47</v>
      </c>
      <c r="J134" s="88" t="s">
        <v>452</v>
      </c>
      <c r="K134" s="88" t="s">
        <v>66</v>
      </c>
      <c r="L134" s="88" t="s">
        <v>49</v>
      </c>
      <c r="M134" s="88" t="s">
        <v>238</v>
      </c>
      <c r="N134" s="283" t="s">
        <v>915</v>
      </c>
      <c r="O134" s="283" t="str">
        <f t="shared" si="13"/>
        <v>cm</v>
      </c>
      <c r="P134" s="127">
        <v>1</v>
      </c>
      <c r="Q134" s="60" t="s">
        <v>473</v>
      </c>
      <c r="R134" s="358">
        <v>5</v>
      </c>
      <c r="S134" s="90">
        <v>10.5</v>
      </c>
      <c r="T134" s="90" t="s">
        <v>52</v>
      </c>
      <c r="U134" s="90">
        <v>0.02</v>
      </c>
      <c r="V134" s="90" t="s">
        <v>52</v>
      </c>
      <c r="W134" s="90">
        <v>0</v>
      </c>
      <c r="X134" s="90">
        <v>0.48799999999999999</v>
      </c>
      <c r="Y134" s="90">
        <v>0.58000000000000007</v>
      </c>
      <c r="Z134" s="60" t="s">
        <v>53</v>
      </c>
      <c r="AA134" s="92" t="s">
        <v>474</v>
      </c>
      <c r="AB134" s="60" t="s">
        <v>456</v>
      </c>
      <c r="AC134" s="60" t="s">
        <v>153</v>
      </c>
      <c r="AD134" s="60" t="s">
        <v>457</v>
      </c>
      <c r="AE134" s="60" t="s">
        <v>58</v>
      </c>
      <c r="AF134" s="60">
        <v>5400</v>
      </c>
      <c r="AG134" s="60">
        <v>60</v>
      </c>
      <c r="AH134" s="60">
        <v>90</v>
      </c>
      <c r="AI134" s="60" t="s">
        <v>59</v>
      </c>
      <c r="AJ134" s="60" t="s">
        <v>475</v>
      </c>
      <c r="AK134" s="60" t="s">
        <v>61</v>
      </c>
      <c r="AL134" s="60" t="s">
        <v>459</v>
      </c>
      <c r="AM134" s="146" t="s">
        <v>476</v>
      </c>
      <c r="AN134" s="120">
        <v>455.54</v>
      </c>
      <c r="AO134" s="120">
        <v>9.7100000000000009</v>
      </c>
      <c r="AP134" s="120">
        <v>41</v>
      </c>
      <c r="AQ134" s="120">
        <v>476.72</v>
      </c>
      <c r="AR134" s="120">
        <v>11.1</v>
      </c>
      <c r="AS134" s="120">
        <v>41</v>
      </c>
      <c r="AT134" s="212" t="s">
        <v>52</v>
      </c>
      <c r="AU134" s="212" t="s">
        <v>52</v>
      </c>
      <c r="AV134" s="212" t="s">
        <v>52</v>
      </c>
      <c r="AW134" s="212" t="s">
        <v>52</v>
      </c>
      <c r="AX134" s="120"/>
      <c r="AY134" s="120"/>
    </row>
    <row r="135" spans="1:51" s="60" customFormat="1" ht="19" customHeight="1" x14ac:dyDescent="0.2">
      <c r="A135"/>
      <c r="B135"/>
      <c r="C135">
        <v>135</v>
      </c>
      <c r="D135"/>
      <c r="E135" t="str">
        <f>IF(coder1_YH!G135="","",TRUE)</f>
        <v/>
      </c>
      <c r="F135" t="str">
        <f>IF(coder1_YH!P135="","",TRUE)</f>
        <v/>
      </c>
      <c r="G135" s="116"/>
      <c r="H135" s="117"/>
      <c r="I135" s="116"/>
      <c r="J135" s="88"/>
      <c r="K135" s="88"/>
      <c r="L135" s="88"/>
      <c r="M135" s="88"/>
      <c r="N135" s="283"/>
      <c r="O135" s="283" t="str">
        <f t="shared" si="13"/>
        <v/>
      </c>
      <c r="P135" s="127"/>
      <c r="R135" s="358"/>
      <c r="S135" s="90"/>
      <c r="T135" s="90"/>
      <c r="U135" s="90"/>
      <c r="V135" s="90"/>
      <c r="W135" s="90"/>
      <c r="X135" s="90"/>
      <c r="Y135" s="90"/>
      <c r="AA135" s="92"/>
      <c r="AJ135" s="60" t="s">
        <v>477</v>
      </c>
      <c r="AK135" s="110" t="s">
        <v>95</v>
      </c>
      <c r="AL135" s="60" t="s">
        <v>459</v>
      </c>
      <c r="AM135" s="146" t="s">
        <v>478</v>
      </c>
      <c r="AN135" s="120">
        <v>8</v>
      </c>
      <c r="AO135" s="120">
        <v>0.46</v>
      </c>
      <c r="AP135" s="120">
        <v>41</v>
      </c>
      <c r="AQ135" s="120">
        <v>8.8800000000000008</v>
      </c>
      <c r="AR135" s="120">
        <v>0.68</v>
      </c>
      <c r="AS135" s="120">
        <v>41</v>
      </c>
      <c r="AT135" s="212" t="s">
        <v>52</v>
      </c>
      <c r="AU135" s="212" t="s">
        <v>52</v>
      </c>
      <c r="AV135" s="212" t="s">
        <v>52</v>
      </c>
      <c r="AW135" s="212" t="s">
        <v>52</v>
      </c>
      <c r="AX135" s="120"/>
      <c r="AY135" s="120"/>
    </row>
    <row r="136" spans="1:51" s="60" customFormat="1" ht="19" customHeight="1" x14ac:dyDescent="0.2">
      <c r="A136"/>
      <c r="B136"/>
      <c r="C136">
        <v>136</v>
      </c>
      <c r="D136"/>
      <c r="E136" t="str">
        <f>IF(coder1_YH!G136="","",TRUE)</f>
        <v/>
      </c>
      <c r="F136" t="b">
        <f>IF(coder1_YH!P136="","",TRUE)</f>
        <v>1</v>
      </c>
      <c r="G136" s="116"/>
      <c r="H136" s="117"/>
      <c r="I136" s="116"/>
      <c r="J136" s="88"/>
      <c r="K136" s="88"/>
      <c r="L136" s="88"/>
      <c r="M136" s="88"/>
      <c r="N136" s="283" t="s">
        <v>914</v>
      </c>
      <c r="O136" s="283" t="str">
        <f t="shared" si="13"/>
        <v>cm</v>
      </c>
      <c r="P136" s="127" t="s">
        <v>924</v>
      </c>
      <c r="Q136" s="60" t="s">
        <v>479</v>
      </c>
      <c r="R136" s="358">
        <v>5</v>
      </c>
      <c r="S136" s="90">
        <v>10.5</v>
      </c>
      <c r="T136" s="90" t="s">
        <v>52</v>
      </c>
      <c r="U136" s="90">
        <v>0</v>
      </c>
      <c r="V136" s="90" t="s">
        <v>52</v>
      </c>
      <c r="W136" s="90">
        <v>0.02</v>
      </c>
      <c r="X136" s="90">
        <v>0.63600000000000001</v>
      </c>
      <c r="Y136" s="90">
        <v>0.37</v>
      </c>
      <c r="Z136" s="60" t="s">
        <v>53</v>
      </c>
      <c r="AA136" s="92" t="s">
        <v>480</v>
      </c>
      <c r="AB136" s="60" t="s">
        <v>80</v>
      </c>
      <c r="AC136" s="60" t="s">
        <v>153</v>
      </c>
      <c r="AD136" s="60" t="s">
        <v>457</v>
      </c>
      <c r="AE136" s="60" t="s">
        <v>58</v>
      </c>
      <c r="AF136" s="60">
        <v>5400</v>
      </c>
      <c r="AG136" s="60">
        <v>60</v>
      </c>
      <c r="AH136" s="60">
        <v>90</v>
      </c>
      <c r="AI136" s="60" t="s">
        <v>78</v>
      </c>
      <c r="AJ136" s="60" t="s">
        <v>475</v>
      </c>
      <c r="AK136" s="60" t="s">
        <v>61</v>
      </c>
      <c r="AL136" s="60" t="s">
        <v>459</v>
      </c>
      <c r="AM136" s="146" t="s">
        <v>476</v>
      </c>
      <c r="AN136" s="120">
        <v>450.7</v>
      </c>
      <c r="AO136" s="120">
        <v>3.69</v>
      </c>
      <c r="AP136" s="120">
        <v>22</v>
      </c>
      <c r="AQ136" s="120">
        <v>459.03</v>
      </c>
      <c r="AR136" s="120">
        <v>15.72</v>
      </c>
      <c r="AS136" s="120">
        <v>22</v>
      </c>
      <c r="AT136" s="212" t="s">
        <v>52</v>
      </c>
      <c r="AU136" s="212" t="s">
        <v>52</v>
      </c>
      <c r="AV136" s="212" t="s">
        <v>52</v>
      </c>
      <c r="AW136" s="212" t="s">
        <v>52</v>
      </c>
      <c r="AX136" s="120"/>
      <c r="AY136" s="120"/>
    </row>
    <row r="137" spans="1:51" s="60" customFormat="1" ht="19" customHeight="1" x14ac:dyDescent="0.2">
      <c r="A137"/>
      <c r="B137"/>
      <c r="C137">
        <v>137</v>
      </c>
      <c r="D137"/>
      <c r="E137" t="str">
        <f>IF(coder1_YH!G137="","",TRUE)</f>
        <v/>
      </c>
      <c r="F137" t="str">
        <f>IF(coder1_YH!P137="","",TRUE)</f>
        <v/>
      </c>
      <c r="G137" s="116"/>
      <c r="H137" s="117"/>
      <c r="I137" s="116"/>
      <c r="J137" s="88"/>
      <c r="K137" s="88"/>
      <c r="L137" s="88"/>
      <c r="M137" s="88"/>
      <c r="N137" s="283"/>
      <c r="O137" s="283" t="str">
        <f t="shared" si="13"/>
        <v/>
      </c>
      <c r="P137" s="127"/>
      <c r="R137" s="358"/>
      <c r="S137" s="90"/>
      <c r="T137" s="90"/>
      <c r="U137" s="90"/>
      <c r="V137" s="90"/>
      <c r="W137" s="90"/>
      <c r="X137" s="90"/>
      <c r="Y137" s="90"/>
      <c r="AA137" s="92"/>
      <c r="AJ137" s="60" t="s">
        <v>477</v>
      </c>
      <c r="AK137" s="60" t="str">
        <f>AK$135</f>
        <v>0 = NO - Not standardized</v>
      </c>
      <c r="AL137" s="60" t="s">
        <v>459</v>
      </c>
      <c r="AM137" s="146" t="s">
        <v>478</v>
      </c>
      <c r="AN137" s="180">
        <v>7.97</v>
      </c>
      <c r="AO137" s="180">
        <v>0.57999999999999996</v>
      </c>
      <c r="AP137" s="120">
        <v>22</v>
      </c>
      <c r="AQ137" s="120">
        <v>7.73</v>
      </c>
      <c r="AR137" s="120">
        <v>1.3</v>
      </c>
      <c r="AS137" s="120">
        <v>22</v>
      </c>
      <c r="AT137" s="212" t="s">
        <v>52</v>
      </c>
      <c r="AU137" s="212" t="s">
        <v>52</v>
      </c>
      <c r="AV137" s="212" t="s">
        <v>52</v>
      </c>
      <c r="AW137" s="212" t="s">
        <v>52</v>
      </c>
      <c r="AX137" s="120"/>
      <c r="AY137" s="120"/>
    </row>
    <row r="138" spans="1:51" s="60" customFormat="1" ht="19" customHeight="1" x14ac:dyDescent="0.2">
      <c r="A138"/>
      <c r="B138"/>
      <c r="C138">
        <v>138</v>
      </c>
      <c r="D138"/>
      <c r="E138" t="b">
        <f>IF(coder1_YH!G138="","",TRUE)</f>
        <v>1</v>
      </c>
      <c r="F138" t="b">
        <f>IF(coder1_YH!P138="","",TRUE)</f>
        <v>1</v>
      </c>
      <c r="G138" s="116" t="s">
        <v>1001</v>
      </c>
      <c r="H138" s="117">
        <v>126.2</v>
      </c>
      <c r="I138" s="116" t="s">
        <v>47</v>
      </c>
      <c r="J138" s="88" t="s">
        <v>452</v>
      </c>
      <c r="K138" s="88" t="s">
        <v>66</v>
      </c>
      <c r="L138" s="88" t="s">
        <v>49</v>
      </c>
      <c r="M138" s="88" t="s">
        <v>238</v>
      </c>
      <c r="N138" s="283" t="s">
        <v>915</v>
      </c>
      <c r="O138" s="283" t="str">
        <f t="shared" si="13"/>
        <v>cm</v>
      </c>
      <c r="P138" s="127">
        <v>1</v>
      </c>
      <c r="Q138" s="60" t="s">
        <v>481</v>
      </c>
      <c r="R138" s="358">
        <v>5</v>
      </c>
      <c r="S138" s="90">
        <v>10.5</v>
      </c>
      <c r="T138" s="90" t="s">
        <v>52</v>
      </c>
      <c r="U138" s="90">
        <v>0.08</v>
      </c>
      <c r="V138" s="90" t="s">
        <v>52</v>
      </c>
      <c r="W138" s="90">
        <v>0.12</v>
      </c>
      <c r="X138" s="90">
        <v>0.39600000000000002</v>
      </c>
      <c r="Y138" s="90">
        <v>0.43999999999999995</v>
      </c>
      <c r="Z138" s="60" t="s">
        <v>53</v>
      </c>
      <c r="AA138" s="92" t="s">
        <v>474</v>
      </c>
      <c r="AB138" s="60" t="s">
        <v>456</v>
      </c>
      <c r="AC138" s="60" t="s">
        <v>153</v>
      </c>
      <c r="AD138" s="60" t="s">
        <v>457</v>
      </c>
      <c r="AE138" s="60" t="s">
        <v>58</v>
      </c>
      <c r="AF138" s="60">
        <v>5400</v>
      </c>
      <c r="AG138" s="60">
        <v>60</v>
      </c>
      <c r="AH138" s="60">
        <v>90</v>
      </c>
      <c r="AI138" s="60" t="s">
        <v>59</v>
      </c>
      <c r="AJ138" s="60" t="s">
        <v>475</v>
      </c>
      <c r="AK138" s="60" t="s">
        <v>61</v>
      </c>
      <c r="AL138" s="60" t="s">
        <v>459</v>
      </c>
      <c r="AM138" s="146" t="s">
        <v>476</v>
      </c>
      <c r="AN138" s="120">
        <v>515.33000000000004</v>
      </c>
      <c r="AO138" s="120">
        <v>15.58</v>
      </c>
      <c r="AP138" s="120">
        <v>53</v>
      </c>
      <c r="AQ138" s="120">
        <v>528.57000000000005</v>
      </c>
      <c r="AR138" s="120">
        <v>16.5</v>
      </c>
      <c r="AS138" s="120">
        <v>53</v>
      </c>
      <c r="AT138" s="212" t="s">
        <v>52</v>
      </c>
      <c r="AU138" s="212" t="s">
        <v>52</v>
      </c>
      <c r="AV138" s="212" t="s">
        <v>52</v>
      </c>
      <c r="AW138" s="212" t="s">
        <v>52</v>
      </c>
      <c r="AX138" s="120"/>
      <c r="AY138" s="120"/>
    </row>
    <row r="139" spans="1:51" s="60" customFormat="1" ht="19" customHeight="1" x14ac:dyDescent="0.2">
      <c r="A139"/>
      <c r="B139"/>
      <c r="C139">
        <v>139</v>
      </c>
      <c r="D139"/>
      <c r="E139" t="str">
        <f>IF(coder1_YH!G139="","",TRUE)</f>
        <v/>
      </c>
      <c r="F139" t="str">
        <f>IF(coder1_YH!P139="","",TRUE)</f>
        <v/>
      </c>
      <c r="G139" s="116"/>
      <c r="H139" s="117"/>
      <c r="I139" s="116"/>
      <c r="J139" s="88"/>
      <c r="K139" s="88"/>
      <c r="L139" s="88"/>
      <c r="M139" s="88"/>
      <c r="N139" s="283"/>
      <c r="O139" s="283" t="str">
        <f t="shared" si="13"/>
        <v/>
      </c>
      <c r="P139" s="127"/>
      <c r="R139" s="358"/>
      <c r="S139" s="90"/>
      <c r="T139" s="90"/>
      <c r="U139" s="90"/>
      <c r="V139" s="90"/>
      <c r="W139" s="90"/>
      <c r="X139" s="90"/>
      <c r="Y139" s="90"/>
      <c r="AA139" s="92"/>
      <c r="AJ139" s="60" t="s">
        <v>477</v>
      </c>
      <c r="AK139" s="60" t="str">
        <f>AK$135</f>
        <v>0 = NO - Not standardized</v>
      </c>
      <c r="AL139" s="60" t="s">
        <v>459</v>
      </c>
      <c r="AM139" s="146" t="s">
        <v>478</v>
      </c>
      <c r="AN139" s="180">
        <v>8.77</v>
      </c>
      <c r="AO139" s="180">
        <v>1.53</v>
      </c>
      <c r="AP139" s="120">
        <v>53</v>
      </c>
      <c r="AQ139" s="120">
        <v>9.58</v>
      </c>
      <c r="AR139" s="120">
        <v>0.82</v>
      </c>
      <c r="AS139" s="120">
        <v>53</v>
      </c>
      <c r="AT139" s="212" t="s">
        <v>52</v>
      </c>
      <c r="AU139" s="212" t="s">
        <v>52</v>
      </c>
      <c r="AV139" s="212" t="s">
        <v>52</v>
      </c>
      <c r="AW139" s="212" t="s">
        <v>52</v>
      </c>
      <c r="AX139" s="120"/>
      <c r="AY139" s="120"/>
    </row>
    <row r="140" spans="1:51" s="60" customFormat="1" ht="19" customHeight="1" x14ac:dyDescent="0.2">
      <c r="A140"/>
      <c r="B140"/>
      <c r="C140">
        <v>140</v>
      </c>
      <c r="D140"/>
      <c r="E140" t="str">
        <f>IF(coder1_YH!G140="","",TRUE)</f>
        <v/>
      </c>
      <c r="F140" t="b">
        <f>IF(coder1_YH!P140="","",TRUE)</f>
        <v>1</v>
      </c>
      <c r="G140" s="116"/>
      <c r="H140" s="117"/>
      <c r="I140" s="116"/>
      <c r="J140" s="88"/>
      <c r="K140" s="88"/>
      <c r="L140" s="88"/>
      <c r="M140" s="88"/>
      <c r="N140" s="283" t="s">
        <v>914</v>
      </c>
      <c r="O140" s="283" t="str">
        <f t="shared" si="13"/>
        <v>cm</v>
      </c>
      <c r="P140" s="127" t="s">
        <v>924</v>
      </c>
      <c r="Q140" s="60" t="s">
        <v>482</v>
      </c>
      <c r="R140" s="358">
        <v>5</v>
      </c>
      <c r="S140" s="90">
        <v>10.5</v>
      </c>
      <c r="T140" s="90" t="s">
        <v>52</v>
      </c>
      <c r="U140" s="90">
        <v>0.23</v>
      </c>
      <c r="V140" s="90" t="s">
        <v>52</v>
      </c>
      <c r="W140" s="90">
        <v>0.14000000000000001</v>
      </c>
      <c r="X140" s="90">
        <v>0.65</v>
      </c>
      <c r="Y140" s="90">
        <v>0.22999999999999998</v>
      </c>
      <c r="Z140" s="60" t="s">
        <v>53</v>
      </c>
      <c r="AA140" s="92" t="s">
        <v>480</v>
      </c>
      <c r="AB140" s="60" t="s">
        <v>80</v>
      </c>
      <c r="AC140" s="60" t="s">
        <v>153</v>
      </c>
      <c r="AD140" s="60" t="s">
        <v>457</v>
      </c>
      <c r="AE140" s="60" t="s">
        <v>58</v>
      </c>
      <c r="AF140" s="60">
        <v>5400</v>
      </c>
      <c r="AG140" s="60">
        <v>60</v>
      </c>
      <c r="AH140" s="60">
        <v>90</v>
      </c>
      <c r="AI140" s="60" t="s">
        <v>78</v>
      </c>
      <c r="AJ140" s="60" t="s">
        <v>475</v>
      </c>
      <c r="AK140" s="60" t="s">
        <v>61</v>
      </c>
      <c r="AL140" s="60" t="s">
        <v>459</v>
      </c>
      <c r="AM140" s="146" t="s">
        <v>476</v>
      </c>
      <c r="AN140" s="120">
        <v>509.13</v>
      </c>
      <c r="AO140" s="120">
        <v>1.36</v>
      </c>
      <c r="AP140" s="120">
        <v>40</v>
      </c>
      <c r="AQ140" s="120">
        <v>514.23</v>
      </c>
      <c r="AR140" s="120">
        <v>8.75</v>
      </c>
      <c r="AS140" s="120">
        <v>40</v>
      </c>
      <c r="AT140" s="212" t="s">
        <v>52</v>
      </c>
      <c r="AU140" s="212" t="s">
        <v>52</v>
      </c>
      <c r="AV140" s="212" t="s">
        <v>52</v>
      </c>
      <c r="AW140" s="212" t="s">
        <v>52</v>
      </c>
      <c r="AX140" s="120"/>
      <c r="AY140" s="120"/>
    </row>
    <row r="141" spans="1:51" s="63" customFormat="1" ht="19" customHeight="1" x14ac:dyDescent="0.2">
      <c r="A141"/>
      <c r="B141"/>
      <c r="C141">
        <v>141</v>
      </c>
      <c r="D141"/>
      <c r="E141" t="str">
        <f>IF(coder1_YH!G141="","",TRUE)</f>
        <v/>
      </c>
      <c r="F141" t="str">
        <f>IF(coder1_YH!P141="","",TRUE)</f>
        <v/>
      </c>
      <c r="G141" s="122"/>
      <c r="H141" s="123"/>
      <c r="I141" s="122"/>
      <c r="J141" s="89"/>
      <c r="K141" s="89"/>
      <c r="L141" s="89"/>
      <c r="M141" s="89"/>
      <c r="N141" s="284"/>
      <c r="O141" s="284" t="str">
        <f t="shared" si="13"/>
        <v/>
      </c>
      <c r="P141" s="128"/>
      <c r="R141" s="359"/>
      <c r="S141" s="93"/>
      <c r="T141" s="93"/>
      <c r="U141" s="93"/>
      <c r="V141" s="93"/>
      <c r="W141" s="93"/>
      <c r="X141" s="93"/>
      <c r="Y141" s="93"/>
      <c r="AA141" s="95"/>
      <c r="AJ141" s="63" t="s">
        <v>477</v>
      </c>
      <c r="AK141" s="63" t="str">
        <f>AK$135</f>
        <v>0 = NO - Not standardized</v>
      </c>
      <c r="AL141" s="60" t="s">
        <v>459</v>
      </c>
      <c r="AM141" s="147" t="s">
        <v>478</v>
      </c>
      <c r="AN141" s="124">
        <v>9.0299999999999994</v>
      </c>
      <c r="AO141" s="124">
        <v>0.55000000000000004</v>
      </c>
      <c r="AP141" s="124">
        <v>40</v>
      </c>
      <c r="AQ141" s="124">
        <v>9.67</v>
      </c>
      <c r="AR141" s="124">
        <v>0.32</v>
      </c>
      <c r="AS141" s="124">
        <v>40</v>
      </c>
      <c r="AT141" s="213" t="s">
        <v>52</v>
      </c>
      <c r="AU141" s="213" t="s">
        <v>52</v>
      </c>
      <c r="AV141" s="213" t="s">
        <v>52</v>
      </c>
      <c r="AW141" s="213" t="s">
        <v>52</v>
      </c>
      <c r="AX141" s="124"/>
      <c r="AY141" s="124"/>
    </row>
    <row r="142" spans="1:51" s="60" customFormat="1" ht="19" customHeight="1" x14ac:dyDescent="0.2">
      <c r="A142"/>
      <c r="B142"/>
      <c r="C142">
        <v>142</v>
      </c>
      <c r="D142" t="b">
        <f>E142</f>
        <v>1</v>
      </c>
      <c r="E142" t="b">
        <f>IF(coder1_YH!G142="","",TRUE)</f>
        <v>1</v>
      </c>
      <c r="F142" t="b">
        <f>IF(coder1_YH!P142="","",TRUE)</f>
        <v>1</v>
      </c>
      <c r="G142" s="116" t="s">
        <v>1002</v>
      </c>
      <c r="H142" s="117">
        <v>127.01</v>
      </c>
      <c r="I142" s="116" t="s">
        <v>47</v>
      </c>
      <c r="J142" s="88" t="s">
        <v>452</v>
      </c>
      <c r="K142" s="88" t="s">
        <v>66</v>
      </c>
      <c r="L142" s="88" t="s">
        <v>49</v>
      </c>
      <c r="M142" s="88" t="s">
        <v>50</v>
      </c>
      <c r="N142" s="283" t="s">
        <v>915</v>
      </c>
      <c r="O142" s="283" t="str">
        <f t="shared" si="13"/>
        <v xml:space="preserve">m </v>
      </c>
      <c r="P142" s="127">
        <v>1</v>
      </c>
      <c r="Q142" s="60" t="s">
        <v>483</v>
      </c>
      <c r="R142" s="358">
        <v>7</v>
      </c>
      <c r="S142" s="90">
        <v>12.5</v>
      </c>
      <c r="T142" s="90" t="s">
        <v>454</v>
      </c>
      <c r="U142" s="90" t="s">
        <v>52</v>
      </c>
      <c r="V142" s="90">
        <v>0.47699999999999998</v>
      </c>
      <c r="W142" s="90" t="s">
        <v>52</v>
      </c>
      <c r="X142" s="90" t="s">
        <v>52</v>
      </c>
      <c r="Y142" s="90">
        <v>0.68300000000000005</v>
      </c>
      <c r="Z142" s="60" t="s">
        <v>92</v>
      </c>
      <c r="AA142" s="92" t="s">
        <v>484</v>
      </c>
      <c r="AB142" s="60" t="s">
        <v>456</v>
      </c>
      <c r="AC142" s="60" t="s">
        <v>153</v>
      </c>
      <c r="AD142" s="60" t="s">
        <v>457</v>
      </c>
      <c r="AE142" s="60" t="s">
        <v>58</v>
      </c>
      <c r="AF142" s="60">
        <f>AG142*AH142</f>
        <v>6800</v>
      </c>
      <c r="AG142" s="60">
        <f>8*4*5</f>
        <v>160</v>
      </c>
      <c r="AH142" s="60">
        <f>AVERAGE(40,45)</f>
        <v>42.5</v>
      </c>
      <c r="AI142" s="60" t="s">
        <v>59</v>
      </c>
      <c r="AJ142" s="126" t="s">
        <v>485</v>
      </c>
      <c r="AK142" s="60" t="s">
        <v>61</v>
      </c>
      <c r="AL142" s="60" t="s">
        <v>459</v>
      </c>
      <c r="AM142" s="152"/>
      <c r="AN142" s="120">
        <v>514.79</v>
      </c>
      <c r="AO142" s="120">
        <v>25.49</v>
      </c>
      <c r="AP142" s="120">
        <v>154</v>
      </c>
      <c r="AQ142" s="120">
        <v>515.58000000000004</v>
      </c>
      <c r="AR142" s="120">
        <v>28.22</v>
      </c>
      <c r="AS142" s="127">
        <v>154</v>
      </c>
      <c r="AT142" s="203" t="s">
        <v>52</v>
      </c>
      <c r="AU142" s="203" t="s">
        <v>52</v>
      </c>
      <c r="AV142" s="203" t="s">
        <v>52</v>
      </c>
      <c r="AW142" s="203" t="s">
        <v>52</v>
      </c>
      <c r="AX142" s="127"/>
      <c r="AY142" s="127"/>
    </row>
    <row r="143" spans="1:51" s="60" customFormat="1" ht="19" customHeight="1" x14ac:dyDescent="0.2">
      <c r="A143"/>
      <c r="B143"/>
      <c r="C143">
        <v>143</v>
      </c>
      <c r="D143"/>
      <c r="E143" t="str">
        <f>IF(coder1_YH!G143="","",TRUE)</f>
        <v/>
      </c>
      <c r="F143" t="b">
        <f>IF(coder1_YH!P143="","",TRUE)</f>
        <v>1</v>
      </c>
      <c r="G143" s="116"/>
      <c r="H143" s="117"/>
      <c r="I143" s="116"/>
      <c r="J143" s="88"/>
      <c r="K143" s="88"/>
      <c r="L143" s="88"/>
      <c r="M143" s="88"/>
      <c r="N143" s="283" t="s">
        <v>914</v>
      </c>
      <c r="O143" s="283" t="str">
        <f t="shared" si="13"/>
        <v xml:space="preserve">m </v>
      </c>
      <c r="P143" s="127" t="s">
        <v>924</v>
      </c>
      <c r="Q143" s="60" t="s">
        <v>486</v>
      </c>
      <c r="R143" s="358">
        <v>7</v>
      </c>
      <c r="S143" s="90">
        <v>12.5</v>
      </c>
      <c r="T143" s="90" t="s">
        <v>454</v>
      </c>
      <c r="U143" s="90" t="s">
        <v>52</v>
      </c>
      <c r="V143" s="90">
        <v>0.47699999999999998</v>
      </c>
      <c r="W143" s="90" t="s">
        <v>52</v>
      </c>
      <c r="X143" s="90" t="s">
        <v>52</v>
      </c>
      <c r="Y143" s="90">
        <v>0.68300000000000005</v>
      </c>
      <c r="Z143" s="60" t="s">
        <v>92</v>
      </c>
      <c r="AA143" s="92" t="s">
        <v>487</v>
      </c>
      <c r="AB143" s="60" t="s">
        <v>80</v>
      </c>
      <c r="AC143" s="60" t="s">
        <v>78</v>
      </c>
      <c r="AD143" s="60" t="s">
        <v>78</v>
      </c>
      <c r="AE143" s="60" t="s">
        <v>78</v>
      </c>
      <c r="AF143" s="60" t="s">
        <v>78</v>
      </c>
      <c r="AG143" s="60" t="s">
        <v>78</v>
      </c>
      <c r="AH143" s="60" t="s">
        <v>78</v>
      </c>
      <c r="AI143" s="60" t="s">
        <v>78</v>
      </c>
      <c r="AJ143" s="60" t="s">
        <v>485</v>
      </c>
      <c r="AK143" s="60" t="s">
        <v>61</v>
      </c>
      <c r="AL143" s="60" t="s">
        <v>459</v>
      </c>
      <c r="AM143" s="152"/>
      <c r="AN143" s="120">
        <v>519.67999999999995</v>
      </c>
      <c r="AO143" s="120">
        <v>28.78</v>
      </c>
      <c r="AP143" s="120">
        <v>143</v>
      </c>
      <c r="AQ143" s="120">
        <v>518.19000000000005</v>
      </c>
      <c r="AR143" s="120">
        <v>30.19</v>
      </c>
      <c r="AS143" s="127">
        <v>143</v>
      </c>
      <c r="AT143" s="203" t="s">
        <v>52</v>
      </c>
      <c r="AU143" s="203" t="s">
        <v>52</v>
      </c>
      <c r="AV143" s="203" t="s">
        <v>52</v>
      </c>
      <c r="AW143" s="203" t="s">
        <v>52</v>
      </c>
      <c r="AX143" s="127"/>
      <c r="AY143" s="127"/>
    </row>
    <row r="144" spans="1:51" s="60" customFormat="1" ht="19" customHeight="1" x14ac:dyDescent="0.2">
      <c r="A144"/>
      <c r="B144"/>
      <c r="C144">
        <v>144</v>
      </c>
      <c r="D144"/>
      <c r="E144" t="b">
        <f>IF(coder1_YH!G144="","",TRUE)</f>
        <v>1</v>
      </c>
      <c r="F144" t="b">
        <f>IF(coder1_YH!P144="","",TRUE)</f>
        <v>1</v>
      </c>
      <c r="G144" s="116" t="s">
        <v>1002</v>
      </c>
      <c r="H144" s="117">
        <f>H142+0.01</f>
        <v>127.02000000000001</v>
      </c>
      <c r="I144" s="116" t="s">
        <v>47</v>
      </c>
      <c r="J144" s="88" t="s">
        <v>452</v>
      </c>
      <c r="K144" s="88" t="s">
        <v>66</v>
      </c>
      <c r="L144" s="88" t="s">
        <v>49</v>
      </c>
      <c r="M144" s="88" t="s">
        <v>50</v>
      </c>
      <c r="N144" s="283" t="s">
        <v>915</v>
      </c>
      <c r="O144" s="283" t="str">
        <f t="shared" si="13"/>
        <v xml:space="preserve">m </v>
      </c>
      <c r="P144" s="127">
        <v>1</v>
      </c>
      <c r="Q144" s="60" t="s">
        <v>488</v>
      </c>
      <c r="R144" s="358">
        <v>8</v>
      </c>
      <c r="S144" s="90">
        <v>13.5</v>
      </c>
      <c r="T144" s="90" t="s">
        <v>454</v>
      </c>
      <c r="U144" s="90" t="s">
        <v>52</v>
      </c>
      <c r="V144" s="90">
        <v>0.47699999999999998</v>
      </c>
      <c r="W144" s="90" t="s">
        <v>52</v>
      </c>
      <c r="X144" s="90" t="s">
        <v>52</v>
      </c>
      <c r="Y144" s="90">
        <v>0.68300000000000005</v>
      </c>
      <c r="Z144" s="60" t="s">
        <v>92</v>
      </c>
      <c r="AA144" s="92" t="s">
        <v>484</v>
      </c>
      <c r="AB144" s="60" t="s">
        <v>456</v>
      </c>
      <c r="AC144" s="60" t="s">
        <v>153</v>
      </c>
      <c r="AD144" s="60" t="s">
        <v>457</v>
      </c>
      <c r="AE144" s="60" t="s">
        <v>58</v>
      </c>
      <c r="AF144" s="60">
        <f>AF$142</f>
        <v>6800</v>
      </c>
      <c r="AG144" s="60">
        <f t="shared" ref="AG144:AH158" si="14">AG$142</f>
        <v>160</v>
      </c>
      <c r="AH144" s="60">
        <f t="shared" si="14"/>
        <v>42.5</v>
      </c>
      <c r="AI144" s="60" t="s">
        <v>59</v>
      </c>
      <c r="AJ144" s="60" t="s">
        <v>485</v>
      </c>
      <c r="AK144" s="60" t="s">
        <v>61</v>
      </c>
      <c r="AL144" s="60" t="s">
        <v>459</v>
      </c>
      <c r="AM144" s="152"/>
      <c r="AN144" s="120">
        <v>521.98</v>
      </c>
      <c r="AO144" s="120">
        <v>27.12</v>
      </c>
      <c r="AP144" s="120">
        <v>117</v>
      </c>
      <c r="AQ144" s="120">
        <v>522.23</v>
      </c>
      <c r="AR144" s="120">
        <v>27.7</v>
      </c>
      <c r="AS144" s="127">
        <v>117</v>
      </c>
      <c r="AT144" s="203" t="s">
        <v>52</v>
      </c>
      <c r="AU144" s="203" t="s">
        <v>52</v>
      </c>
      <c r="AV144" s="203" t="s">
        <v>52</v>
      </c>
      <c r="AW144" s="203" t="s">
        <v>52</v>
      </c>
      <c r="AX144" s="127"/>
      <c r="AY144" s="127"/>
    </row>
    <row r="145" spans="1:51" s="60" customFormat="1" ht="19" customHeight="1" x14ac:dyDescent="0.2">
      <c r="A145"/>
      <c r="B145"/>
      <c r="C145">
        <v>145</v>
      </c>
      <c r="D145"/>
      <c r="E145" t="str">
        <f>IF(coder1_YH!G145="","",TRUE)</f>
        <v/>
      </c>
      <c r="F145" t="b">
        <f>IF(coder1_YH!P145="","",TRUE)</f>
        <v>1</v>
      </c>
      <c r="G145" s="116"/>
      <c r="H145" s="117"/>
      <c r="I145" s="116"/>
      <c r="J145" s="88"/>
      <c r="K145" s="88"/>
      <c r="L145" s="88"/>
      <c r="M145" s="88"/>
      <c r="N145" s="283" t="s">
        <v>914</v>
      </c>
      <c r="O145" s="283" t="str">
        <f t="shared" si="13"/>
        <v xml:space="preserve">m </v>
      </c>
      <c r="P145" s="127" t="s">
        <v>924</v>
      </c>
      <c r="Q145" s="60" t="s">
        <v>489</v>
      </c>
      <c r="R145" s="358">
        <v>8</v>
      </c>
      <c r="S145" s="90">
        <v>13.5</v>
      </c>
      <c r="T145" s="90" t="s">
        <v>454</v>
      </c>
      <c r="U145" s="90" t="s">
        <v>52</v>
      </c>
      <c r="V145" s="90">
        <v>0.47699999999999998</v>
      </c>
      <c r="W145" s="90" t="s">
        <v>52</v>
      </c>
      <c r="X145" s="90" t="s">
        <v>52</v>
      </c>
      <c r="Y145" s="90">
        <v>0.68300000000000005</v>
      </c>
      <c r="Z145" s="60" t="s">
        <v>92</v>
      </c>
      <c r="AA145" s="92" t="s">
        <v>487</v>
      </c>
      <c r="AB145" s="60" t="s">
        <v>80</v>
      </c>
      <c r="AC145" s="60" t="s">
        <v>78</v>
      </c>
      <c r="AD145" s="60" t="s">
        <v>78</v>
      </c>
      <c r="AE145" s="60" t="s">
        <v>78</v>
      </c>
      <c r="AF145" s="60" t="s">
        <v>78</v>
      </c>
      <c r="AG145" s="60" t="s">
        <v>78</v>
      </c>
      <c r="AH145" s="60" t="s">
        <v>78</v>
      </c>
      <c r="AI145" s="60" t="s">
        <v>78</v>
      </c>
      <c r="AJ145" s="60" t="s">
        <v>485</v>
      </c>
      <c r="AK145" s="60" t="s">
        <v>61</v>
      </c>
      <c r="AL145" s="60" t="s">
        <v>459</v>
      </c>
      <c r="AM145" s="152"/>
      <c r="AN145" s="120">
        <v>522.34</v>
      </c>
      <c r="AO145" s="120">
        <v>33.229999999999997</v>
      </c>
      <c r="AP145" s="120">
        <v>134</v>
      </c>
      <c r="AQ145" s="120">
        <v>522.42999999999995</v>
      </c>
      <c r="AR145" s="120">
        <v>31.16</v>
      </c>
      <c r="AS145" s="127">
        <v>134</v>
      </c>
      <c r="AT145" s="203" t="s">
        <v>52</v>
      </c>
      <c r="AU145" s="203" t="s">
        <v>52</v>
      </c>
      <c r="AV145" s="203" t="s">
        <v>52</v>
      </c>
      <c r="AW145" s="203" t="s">
        <v>52</v>
      </c>
      <c r="AX145" s="127"/>
      <c r="AY145" s="127"/>
    </row>
    <row r="146" spans="1:51" s="60" customFormat="1" ht="19" customHeight="1" x14ac:dyDescent="0.2">
      <c r="A146"/>
      <c r="B146"/>
      <c r="C146">
        <v>146</v>
      </c>
      <c r="D146"/>
      <c r="E146" t="b">
        <f>IF(coder1_YH!G146="","",TRUE)</f>
        <v>1</v>
      </c>
      <c r="F146" t="b">
        <f>IF(coder1_YH!P146="","",TRUE)</f>
        <v>1</v>
      </c>
      <c r="G146" s="116" t="s">
        <v>1002</v>
      </c>
      <c r="H146" s="117">
        <f>H144+0.01</f>
        <v>127.03000000000002</v>
      </c>
      <c r="I146" s="116" t="s">
        <v>47</v>
      </c>
      <c r="J146" s="88" t="s">
        <v>452</v>
      </c>
      <c r="K146" s="88" t="s">
        <v>66</v>
      </c>
      <c r="L146" s="88" t="s">
        <v>49</v>
      </c>
      <c r="M146" s="88" t="s">
        <v>50</v>
      </c>
      <c r="N146" s="283" t="s">
        <v>915</v>
      </c>
      <c r="O146" s="283" t="str">
        <f t="shared" si="13"/>
        <v xml:space="preserve">m </v>
      </c>
      <c r="P146" s="127">
        <v>1</v>
      </c>
      <c r="Q146" s="60" t="s">
        <v>490</v>
      </c>
      <c r="R146" s="358">
        <v>6</v>
      </c>
      <c r="S146" s="90">
        <v>11.5</v>
      </c>
      <c r="T146" s="90" t="s">
        <v>454</v>
      </c>
      <c r="U146" s="90" t="s">
        <v>52</v>
      </c>
      <c r="V146" s="90">
        <v>0.79</v>
      </c>
      <c r="W146" s="90" t="s">
        <v>52</v>
      </c>
      <c r="X146" s="90" t="s">
        <v>52</v>
      </c>
      <c r="Y146" s="90">
        <v>0.69200000000000006</v>
      </c>
      <c r="Z146" s="60" t="s">
        <v>92</v>
      </c>
      <c r="AA146" s="92" t="s">
        <v>484</v>
      </c>
      <c r="AB146" s="60" t="s">
        <v>456</v>
      </c>
      <c r="AC146" s="60" t="s">
        <v>153</v>
      </c>
      <c r="AD146" s="60" t="s">
        <v>457</v>
      </c>
      <c r="AE146" s="60" t="s">
        <v>58</v>
      </c>
      <c r="AF146" s="60">
        <f>AF$142</f>
        <v>6800</v>
      </c>
      <c r="AG146" s="60">
        <f t="shared" si="14"/>
        <v>160</v>
      </c>
      <c r="AH146" s="60">
        <f t="shared" si="14"/>
        <v>42.5</v>
      </c>
      <c r="AI146" s="60" t="s">
        <v>59</v>
      </c>
      <c r="AJ146" s="60" t="s">
        <v>485</v>
      </c>
      <c r="AK146" s="60" t="s">
        <v>61</v>
      </c>
      <c r="AL146" s="60" t="s">
        <v>459</v>
      </c>
      <c r="AM146" s="152"/>
      <c r="AN146" s="120">
        <v>498.84</v>
      </c>
      <c r="AO146" s="120">
        <v>35.159999999999997</v>
      </c>
      <c r="AP146" s="120">
        <v>176</v>
      </c>
      <c r="AQ146" s="120">
        <v>501.99</v>
      </c>
      <c r="AR146" s="120">
        <v>31.33</v>
      </c>
      <c r="AS146" s="127">
        <v>176</v>
      </c>
      <c r="AT146" s="203" t="s">
        <v>52</v>
      </c>
      <c r="AU146" s="203" t="s">
        <v>52</v>
      </c>
      <c r="AV146" s="203" t="s">
        <v>52</v>
      </c>
      <c r="AW146" s="203" t="s">
        <v>52</v>
      </c>
      <c r="AX146" s="127"/>
      <c r="AY146" s="127"/>
    </row>
    <row r="147" spans="1:51" s="60" customFormat="1" ht="19" customHeight="1" x14ac:dyDescent="0.2">
      <c r="A147"/>
      <c r="B147"/>
      <c r="C147">
        <v>147</v>
      </c>
      <c r="D147"/>
      <c r="E147" t="str">
        <f>IF(coder1_YH!G147="","",TRUE)</f>
        <v/>
      </c>
      <c r="F147" t="b">
        <f>IF(coder1_YH!P147="","",TRUE)</f>
        <v>1</v>
      </c>
      <c r="G147" s="116"/>
      <c r="H147" s="117"/>
      <c r="I147" s="116"/>
      <c r="J147" s="88"/>
      <c r="K147" s="88"/>
      <c r="L147" s="88"/>
      <c r="M147" s="88"/>
      <c r="N147" s="283" t="s">
        <v>914</v>
      </c>
      <c r="O147" s="283" t="str">
        <f t="shared" si="13"/>
        <v xml:space="preserve">m </v>
      </c>
      <c r="P147" s="127" t="s">
        <v>924</v>
      </c>
      <c r="Q147" s="60" t="s">
        <v>491</v>
      </c>
      <c r="R147" s="358">
        <v>6</v>
      </c>
      <c r="S147" s="90">
        <v>11.5</v>
      </c>
      <c r="T147" s="90" t="s">
        <v>454</v>
      </c>
      <c r="U147" s="90" t="s">
        <v>52</v>
      </c>
      <c r="V147" s="90">
        <v>0.79</v>
      </c>
      <c r="W147" s="90" t="s">
        <v>52</v>
      </c>
      <c r="X147" s="90" t="s">
        <v>52</v>
      </c>
      <c r="Y147" s="90">
        <v>0.69200000000000006</v>
      </c>
      <c r="Z147" s="60" t="s">
        <v>92</v>
      </c>
      <c r="AA147" s="92" t="s">
        <v>487</v>
      </c>
      <c r="AB147" s="60" t="s">
        <v>80</v>
      </c>
      <c r="AC147" s="60" t="s">
        <v>78</v>
      </c>
      <c r="AD147" s="60" t="s">
        <v>78</v>
      </c>
      <c r="AE147" s="60" t="s">
        <v>78</v>
      </c>
      <c r="AF147" s="60" t="s">
        <v>78</v>
      </c>
      <c r="AG147" s="60" t="s">
        <v>78</v>
      </c>
      <c r="AH147" s="60" t="s">
        <v>78</v>
      </c>
      <c r="AI147" s="60" t="s">
        <v>78</v>
      </c>
      <c r="AJ147" s="60" t="s">
        <v>485</v>
      </c>
      <c r="AK147" s="60" t="s">
        <v>61</v>
      </c>
      <c r="AL147" s="60" t="s">
        <v>459</v>
      </c>
      <c r="AM147" s="152"/>
      <c r="AN147" s="120">
        <v>505.65</v>
      </c>
      <c r="AO147" s="120">
        <v>31.49</v>
      </c>
      <c r="AP147" s="120">
        <v>84</v>
      </c>
      <c r="AQ147" s="120">
        <v>510.28</v>
      </c>
      <c r="AR147" s="120">
        <v>32.590000000000003</v>
      </c>
      <c r="AS147" s="127">
        <v>84</v>
      </c>
      <c r="AT147" s="203" t="s">
        <v>52</v>
      </c>
      <c r="AU147" s="203" t="s">
        <v>52</v>
      </c>
      <c r="AV147" s="203" t="s">
        <v>52</v>
      </c>
      <c r="AW147" s="203" t="s">
        <v>52</v>
      </c>
      <c r="AX147" s="127"/>
      <c r="AY147" s="127"/>
    </row>
    <row r="148" spans="1:51" s="60" customFormat="1" ht="19" customHeight="1" x14ac:dyDescent="0.2">
      <c r="A148"/>
      <c r="B148"/>
      <c r="C148">
        <v>148</v>
      </c>
      <c r="D148"/>
      <c r="E148" t="b">
        <f>IF(coder1_YH!G148="","",TRUE)</f>
        <v>1</v>
      </c>
      <c r="F148" t="b">
        <f>IF(coder1_YH!P148="","",TRUE)</f>
        <v>1</v>
      </c>
      <c r="G148" s="116" t="s">
        <v>1002</v>
      </c>
      <c r="H148" s="117">
        <f>H146+0.01</f>
        <v>127.04000000000002</v>
      </c>
      <c r="I148" s="116" t="s">
        <v>47</v>
      </c>
      <c r="J148" s="88" t="s">
        <v>452</v>
      </c>
      <c r="K148" s="88" t="s">
        <v>66</v>
      </c>
      <c r="L148" s="88" t="s">
        <v>49</v>
      </c>
      <c r="M148" s="88" t="s">
        <v>50</v>
      </c>
      <c r="N148" s="283" t="s">
        <v>915</v>
      </c>
      <c r="O148" s="283" t="str">
        <f t="shared" si="13"/>
        <v xml:space="preserve">m </v>
      </c>
      <c r="P148" s="127">
        <v>1</v>
      </c>
      <c r="Q148" s="60" t="s">
        <v>492</v>
      </c>
      <c r="R148" s="358">
        <v>7</v>
      </c>
      <c r="S148" s="90">
        <v>12.5</v>
      </c>
      <c r="T148" s="90" t="s">
        <v>454</v>
      </c>
      <c r="U148" s="90" t="s">
        <v>52</v>
      </c>
      <c r="V148" s="90">
        <v>0.79</v>
      </c>
      <c r="W148" s="90" t="s">
        <v>52</v>
      </c>
      <c r="X148" s="90" t="s">
        <v>52</v>
      </c>
      <c r="Y148" s="90">
        <v>0.69200000000000006</v>
      </c>
      <c r="Z148" s="60" t="s">
        <v>92</v>
      </c>
      <c r="AA148" s="92" t="s">
        <v>484</v>
      </c>
      <c r="AB148" s="60" t="s">
        <v>456</v>
      </c>
      <c r="AC148" s="60" t="s">
        <v>153</v>
      </c>
      <c r="AD148" s="60" t="s">
        <v>457</v>
      </c>
      <c r="AE148" s="60" t="s">
        <v>58</v>
      </c>
      <c r="AF148" s="60">
        <f>AF$142</f>
        <v>6800</v>
      </c>
      <c r="AG148" s="60">
        <f t="shared" si="14"/>
        <v>160</v>
      </c>
      <c r="AH148" s="60">
        <f t="shared" si="14"/>
        <v>42.5</v>
      </c>
      <c r="AI148" s="60" t="s">
        <v>59</v>
      </c>
      <c r="AJ148" s="60" t="s">
        <v>485</v>
      </c>
      <c r="AK148" s="60" t="s">
        <v>61</v>
      </c>
      <c r="AL148" s="60" t="s">
        <v>459</v>
      </c>
      <c r="AM148" s="152"/>
      <c r="AN148" s="120">
        <v>523.13</v>
      </c>
      <c r="AO148" s="120">
        <v>26.26</v>
      </c>
      <c r="AP148" s="120">
        <v>196</v>
      </c>
      <c r="AQ148" s="120">
        <v>526.38</v>
      </c>
      <c r="AR148" s="120">
        <v>28.99</v>
      </c>
      <c r="AS148" s="127">
        <v>196</v>
      </c>
      <c r="AT148" s="203" t="s">
        <v>52</v>
      </c>
      <c r="AU148" s="203" t="s">
        <v>52</v>
      </c>
      <c r="AV148" s="203" t="s">
        <v>52</v>
      </c>
      <c r="AW148" s="203" t="s">
        <v>52</v>
      </c>
      <c r="AX148" s="127"/>
      <c r="AY148" s="127"/>
    </row>
    <row r="149" spans="1:51" s="60" customFormat="1" ht="19" customHeight="1" x14ac:dyDescent="0.2">
      <c r="A149"/>
      <c r="B149"/>
      <c r="C149">
        <v>149</v>
      </c>
      <c r="D149"/>
      <c r="E149" t="str">
        <f>IF(coder1_YH!G149="","",TRUE)</f>
        <v/>
      </c>
      <c r="F149" t="b">
        <f>IF(coder1_YH!P149="","",TRUE)</f>
        <v>1</v>
      </c>
      <c r="G149" s="116"/>
      <c r="H149" s="117"/>
      <c r="I149" s="116"/>
      <c r="J149" s="88"/>
      <c r="K149" s="88"/>
      <c r="L149" s="88"/>
      <c r="M149" s="88"/>
      <c r="N149" s="283" t="s">
        <v>914</v>
      </c>
      <c r="O149" s="283" t="str">
        <f t="shared" si="13"/>
        <v xml:space="preserve">m </v>
      </c>
      <c r="P149" s="127" t="s">
        <v>924</v>
      </c>
      <c r="Q149" s="60" t="s">
        <v>493</v>
      </c>
      <c r="R149" s="358">
        <v>7</v>
      </c>
      <c r="S149" s="90">
        <v>12.5</v>
      </c>
      <c r="T149" s="90" t="s">
        <v>454</v>
      </c>
      <c r="U149" s="90" t="s">
        <v>52</v>
      </c>
      <c r="V149" s="90">
        <v>0.79</v>
      </c>
      <c r="W149" s="90" t="s">
        <v>52</v>
      </c>
      <c r="X149" s="90" t="s">
        <v>52</v>
      </c>
      <c r="Y149" s="90">
        <v>0.69200000000000006</v>
      </c>
      <c r="Z149" s="60" t="s">
        <v>92</v>
      </c>
      <c r="AA149" s="92" t="s">
        <v>487</v>
      </c>
      <c r="AB149" s="60" t="s">
        <v>80</v>
      </c>
      <c r="AC149" s="60" t="s">
        <v>78</v>
      </c>
      <c r="AD149" s="60" t="s">
        <v>78</v>
      </c>
      <c r="AE149" s="60" t="s">
        <v>78</v>
      </c>
      <c r="AF149" s="60" t="s">
        <v>78</v>
      </c>
      <c r="AG149" s="60" t="s">
        <v>78</v>
      </c>
      <c r="AH149" s="60" t="s">
        <v>78</v>
      </c>
      <c r="AI149" s="60" t="s">
        <v>78</v>
      </c>
      <c r="AJ149" s="60" t="s">
        <v>485</v>
      </c>
      <c r="AK149" s="60" t="s">
        <v>61</v>
      </c>
      <c r="AL149" s="60" t="s">
        <v>459</v>
      </c>
      <c r="AM149" s="152"/>
      <c r="AN149" s="120">
        <v>517.99</v>
      </c>
      <c r="AO149" s="120">
        <v>28.76</v>
      </c>
      <c r="AP149" s="120">
        <v>78</v>
      </c>
      <c r="AQ149" s="120">
        <v>521.44000000000005</v>
      </c>
      <c r="AR149" s="120">
        <v>30.89</v>
      </c>
      <c r="AS149" s="127">
        <v>78</v>
      </c>
      <c r="AT149" s="203" t="s">
        <v>52</v>
      </c>
      <c r="AU149" s="203" t="s">
        <v>52</v>
      </c>
      <c r="AV149" s="203" t="s">
        <v>52</v>
      </c>
      <c r="AW149" s="203" t="s">
        <v>52</v>
      </c>
      <c r="AX149" s="127"/>
      <c r="AY149" s="127"/>
    </row>
    <row r="150" spans="1:51" s="60" customFormat="1" ht="19" customHeight="1" x14ac:dyDescent="0.2">
      <c r="A150"/>
      <c r="B150"/>
      <c r="C150">
        <v>150</v>
      </c>
      <c r="D150"/>
      <c r="E150" t="b">
        <f>IF(coder1_YH!G150="","",TRUE)</f>
        <v>1</v>
      </c>
      <c r="F150" t="b">
        <f>IF(coder1_YH!P150="","",TRUE)</f>
        <v>1</v>
      </c>
      <c r="G150" s="116" t="s">
        <v>1002</v>
      </c>
      <c r="H150" s="117">
        <f>H148+0.01</f>
        <v>127.05000000000003</v>
      </c>
      <c r="I150" s="116" t="s">
        <v>47</v>
      </c>
      <c r="J150" s="88" t="s">
        <v>452</v>
      </c>
      <c r="K150" s="88" t="s">
        <v>66</v>
      </c>
      <c r="L150" s="88" t="s">
        <v>49</v>
      </c>
      <c r="M150" s="88" t="s">
        <v>50</v>
      </c>
      <c r="N150" s="283" t="s">
        <v>915</v>
      </c>
      <c r="O150" s="283" t="str">
        <f t="shared" si="13"/>
        <v xml:space="preserve">m </v>
      </c>
      <c r="P150" s="127">
        <v>1</v>
      </c>
      <c r="Q150" s="60" t="s">
        <v>494</v>
      </c>
      <c r="R150" s="358">
        <v>8</v>
      </c>
      <c r="S150" s="90">
        <v>13.5</v>
      </c>
      <c r="T150" s="90" t="s">
        <v>454</v>
      </c>
      <c r="U150" s="90" t="s">
        <v>52</v>
      </c>
      <c r="V150" s="90">
        <v>0.79</v>
      </c>
      <c r="W150" s="90" t="s">
        <v>52</v>
      </c>
      <c r="X150" s="90" t="s">
        <v>52</v>
      </c>
      <c r="Y150" s="90">
        <v>0.69200000000000006</v>
      </c>
      <c r="Z150" s="60" t="s">
        <v>92</v>
      </c>
      <c r="AA150" s="92" t="s">
        <v>484</v>
      </c>
      <c r="AB150" s="60" t="s">
        <v>456</v>
      </c>
      <c r="AC150" s="60" t="s">
        <v>153</v>
      </c>
      <c r="AD150" s="60" t="s">
        <v>457</v>
      </c>
      <c r="AE150" s="60" t="s">
        <v>58</v>
      </c>
      <c r="AF150" s="60">
        <f>AF$142</f>
        <v>6800</v>
      </c>
      <c r="AG150" s="60">
        <f t="shared" si="14"/>
        <v>160</v>
      </c>
      <c r="AH150" s="60">
        <f t="shared" si="14"/>
        <v>42.5</v>
      </c>
      <c r="AI150" s="60" t="s">
        <v>59</v>
      </c>
      <c r="AJ150" s="60" t="s">
        <v>485</v>
      </c>
      <c r="AK150" s="60" t="s">
        <v>61</v>
      </c>
      <c r="AL150" s="60" t="s">
        <v>459</v>
      </c>
      <c r="AM150" s="152"/>
      <c r="AN150" s="120">
        <v>535.05999999999995</v>
      </c>
      <c r="AO150" s="120">
        <v>30.68</v>
      </c>
      <c r="AP150" s="120">
        <v>200</v>
      </c>
      <c r="AQ150" s="120">
        <v>535.59</v>
      </c>
      <c r="AR150" s="120">
        <v>31.14</v>
      </c>
      <c r="AS150" s="127">
        <v>200</v>
      </c>
      <c r="AT150" s="203" t="s">
        <v>52</v>
      </c>
      <c r="AU150" s="203" t="s">
        <v>52</v>
      </c>
      <c r="AV150" s="203" t="s">
        <v>52</v>
      </c>
      <c r="AW150" s="203" t="s">
        <v>52</v>
      </c>
      <c r="AX150" s="127"/>
      <c r="AY150" s="127"/>
    </row>
    <row r="151" spans="1:51" s="60" customFormat="1" ht="19" customHeight="1" x14ac:dyDescent="0.2">
      <c r="A151"/>
      <c r="B151"/>
      <c r="C151">
        <v>151</v>
      </c>
      <c r="D151"/>
      <c r="E151" t="str">
        <f>IF(coder1_YH!G151="","",TRUE)</f>
        <v/>
      </c>
      <c r="F151" t="b">
        <f>IF(coder1_YH!P151="","",TRUE)</f>
        <v>1</v>
      </c>
      <c r="G151" s="116"/>
      <c r="H151" s="117"/>
      <c r="I151" s="116"/>
      <c r="J151" s="88"/>
      <c r="K151" s="88"/>
      <c r="L151" s="88"/>
      <c r="M151" s="88"/>
      <c r="N151" s="283" t="s">
        <v>914</v>
      </c>
      <c r="O151" s="283" t="str">
        <f t="shared" si="13"/>
        <v xml:space="preserve">m </v>
      </c>
      <c r="P151" s="127" t="s">
        <v>924</v>
      </c>
      <c r="Q151" s="60" t="s">
        <v>495</v>
      </c>
      <c r="R151" s="358">
        <v>8</v>
      </c>
      <c r="S151" s="90">
        <v>13.5</v>
      </c>
      <c r="T151" s="90" t="s">
        <v>454</v>
      </c>
      <c r="U151" s="90" t="s">
        <v>52</v>
      </c>
      <c r="V151" s="90">
        <v>0.79</v>
      </c>
      <c r="W151" s="90" t="s">
        <v>52</v>
      </c>
      <c r="X151" s="90" t="s">
        <v>52</v>
      </c>
      <c r="Y151" s="90">
        <v>0.69200000000000006</v>
      </c>
      <c r="Z151" s="60" t="s">
        <v>92</v>
      </c>
      <c r="AA151" s="92" t="s">
        <v>487</v>
      </c>
      <c r="AB151" s="60" t="s">
        <v>80</v>
      </c>
      <c r="AC151" s="60" t="s">
        <v>78</v>
      </c>
      <c r="AD151" s="60" t="s">
        <v>78</v>
      </c>
      <c r="AE151" s="60" t="s">
        <v>78</v>
      </c>
      <c r="AF151" s="60" t="s">
        <v>78</v>
      </c>
      <c r="AG151" s="60" t="s">
        <v>78</v>
      </c>
      <c r="AH151" s="60" t="s">
        <v>78</v>
      </c>
      <c r="AI151" s="60" t="s">
        <v>78</v>
      </c>
      <c r="AJ151" s="60" t="s">
        <v>485</v>
      </c>
      <c r="AK151" s="60" t="s">
        <v>61</v>
      </c>
      <c r="AL151" s="60" t="s">
        <v>459</v>
      </c>
      <c r="AM151" s="152"/>
      <c r="AN151" s="120">
        <v>530.72</v>
      </c>
      <c r="AO151" s="120">
        <v>27.92</v>
      </c>
      <c r="AP151" s="120">
        <v>106</v>
      </c>
      <c r="AQ151" s="120">
        <v>519.05999999999995</v>
      </c>
      <c r="AR151" s="120">
        <v>36.21</v>
      </c>
      <c r="AS151" s="127">
        <v>106</v>
      </c>
      <c r="AT151" s="203" t="s">
        <v>52</v>
      </c>
      <c r="AU151" s="203" t="s">
        <v>52</v>
      </c>
      <c r="AV151" s="203" t="s">
        <v>52</v>
      </c>
      <c r="AW151" s="203" t="s">
        <v>52</v>
      </c>
      <c r="AX151" s="127"/>
      <c r="AY151" s="127"/>
    </row>
    <row r="152" spans="1:51" s="60" customFormat="1" ht="19" customHeight="1" x14ac:dyDescent="0.2">
      <c r="A152"/>
      <c r="B152"/>
      <c r="C152">
        <v>152</v>
      </c>
      <c r="D152"/>
      <c r="E152" t="b">
        <f>IF(coder1_YH!G152="","",TRUE)</f>
        <v>1</v>
      </c>
      <c r="F152" t="b">
        <f>IF(coder1_YH!P152="","",TRUE)</f>
        <v>1</v>
      </c>
      <c r="G152" s="116" t="s">
        <v>1002</v>
      </c>
      <c r="H152" s="117">
        <f>H150+0.01</f>
        <v>127.06000000000003</v>
      </c>
      <c r="I152" s="116" t="s">
        <v>47</v>
      </c>
      <c r="J152" s="88" t="s">
        <v>452</v>
      </c>
      <c r="K152" s="88" t="s">
        <v>66</v>
      </c>
      <c r="L152" s="88" t="s">
        <v>49</v>
      </c>
      <c r="M152" s="88" t="s">
        <v>50</v>
      </c>
      <c r="N152" s="283" t="s">
        <v>915</v>
      </c>
      <c r="O152" s="283" t="str">
        <f t="shared" si="13"/>
        <v xml:space="preserve">m </v>
      </c>
      <c r="P152" s="127">
        <v>1</v>
      </c>
      <c r="Q152" s="60" t="s">
        <v>496</v>
      </c>
      <c r="R152" s="358">
        <v>6</v>
      </c>
      <c r="S152" s="90">
        <v>11.5</v>
      </c>
      <c r="T152" s="90" t="s">
        <v>454</v>
      </c>
      <c r="U152" s="90" t="s">
        <v>52</v>
      </c>
      <c r="V152" s="90">
        <v>0.76900000000000002</v>
      </c>
      <c r="W152" s="90" t="s">
        <v>52</v>
      </c>
      <c r="X152" s="90" t="s">
        <v>52</v>
      </c>
      <c r="Y152" s="90">
        <v>0.66700000000000004</v>
      </c>
      <c r="Z152" s="60" t="s">
        <v>92</v>
      </c>
      <c r="AA152" s="92" t="s">
        <v>484</v>
      </c>
      <c r="AB152" s="60" t="s">
        <v>456</v>
      </c>
      <c r="AC152" s="60" t="s">
        <v>153</v>
      </c>
      <c r="AD152" s="60" t="s">
        <v>457</v>
      </c>
      <c r="AE152" s="60" t="s">
        <v>58</v>
      </c>
      <c r="AF152" s="60">
        <f>AF$142</f>
        <v>6800</v>
      </c>
      <c r="AG152" s="60">
        <f t="shared" si="14"/>
        <v>160</v>
      </c>
      <c r="AH152" s="60">
        <f t="shared" si="14"/>
        <v>42.5</v>
      </c>
      <c r="AI152" s="60" t="s">
        <v>59</v>
      </c>
      <c r="AJ152" s="60" t="s">
        <v>485</v>
      </c>
      <c r="AK152" s="60" t="s">
        <v>61</v>
      </c>
      <c r="AL152" s="60" t="s">
        <v>459</v>
      </c>
      <c r="AM152" s="152"/>
      <c r="AN152" s="120">
        <v>509.06</v>
      </c>
      <c r="AO152" s="120">
        <v>28.54</v>
      </c>
      <c r="AP152" s="120">
        <v>49</v>
      </c>
      <c r="AQ152" s="120">
        <v>511.67</v>
      </c>
      <c r="AR152" s="120">
        <v>26.68</v>
      </c>
      <c r="AS152" s="127">
        <v>49</v>
      </c>
      <c r="AT152" s="203" t="s">
        <v>52</v>
      </c>
      <c r="AU152" s="203" t="s">
        <v>52</v>
      </c>
      <c r="AV152" s="203" t="s">
        <v>52</v>
      </c>
      <c r="AW152" s="203" t="s">
        <v>52</v>
      </c>
      <c r="AX152" s="127"/>
      <c r="AY152" s="127"/>
    </row>
    <row r="153" spans="1:51" s="60" customFormat="1" ht="19" customHeight="1" x14ac:dyDescent="0.2">
      <c r="A153"/>
      <c r="B153"/>
      <c r="C153">
        <v>153</v>
      </c>
      <c r="D153"/>
      <c r="E153" t="str">
        <f>IF(coder1_YH!G153="","",TRUE)</f>
        <v/>
      </c>
      <c r="F153" t="b">
        <f>IF(coder1_YH!P153="","",TRUE)</f>
        <v>1</v>
      </c>
      <c r="G153" s="116"/>
      <c r="H153" s="117"/>
      <c r="I153" s="116"/>
      <c r="J153" s="88"/>
      <c r="K153" s="88"/>
      <c r="L153" s="88"/>
      <c r="M153" s="88"/>
      <c r="N153" s="283" t="s">
        <v>914</v>
      </c>
      <c r="O153" s="283" t="str">
        <f t="shared" si="13"/>
        <v xml:space="preserve">m </v>
      </c>
      <c r="P153" s="127" t="s">
        <v>924</v>
      </c>
      <c r="Q153" s="60" t="s">
        <v>497</v>
      </c>
      <c r="R153" s="358">
        <v>6</v>
      </c>
      <c r="S153" s="90">
        <v>11.5</v>
      </c>
      <c r="T153" s="90" t="s">
        <v>454</v>
      </c>
      <c r="U153" s="90" t="s">
        <v>52</v>
      </c>
      <c r="V153" s="90">
        <v>0.76900000000000002</v>
      </c>
      <c r="W153" s="90" t="s">
        <v>52</v>
      </c>
      <c r="X153" s="90" t="s">
        <v>52</v>
      </c>
      <c r="Y153" s="90">
        <v>0.66700000000000004</v>
      </c>
      <c r="Z153" s="60" t="s">
        <v>92</v>
      </c>
      <c r="AA153" s="92" t="s">
        <v>487</v>
      </c>
      <c r="AB153" s="60" t="s">
        <v>80</v>
      </c>
      <c r="AC153" s="60" t="s">
        <v>78</v>
      </c>
      <c r="AD153" s="60" t="s">
        <v>78</v>
      </c>
      <c r="AE153" s="60" t="s">
        <v>78</v>
      </c>
      <c r="AF153" s="60" t="s">
        <v>78</v>
      </c>
      <c r="AG153" s="60" t="s">
        <v>78</v>
      </c>
      <c r="AH153" s="60" t="s">
        <v>78</v>
      </c>
      <c r="AI153" s="60" t="s">
        <v>78</v>
      </c>
      <c r="AJ153" s="60" t="s">
        <v>485</v>
      </c>
      <c r="AK153" s="60" t="s">
        <v>61</v>
      </c>
      <c r="AL153" s="60" t="s">
        <v>459</v>
      </c>
      <c r="AM153" s="152"/>
      <c r="AN153" s="120">
        <v>498.09</v>
      </c>
      <c r="AO153" s="120">
        <v>29.08</v>
      </c>
      <c r="AP153" s="120">
        <v>47</v>
      </c>
      <c r="AQ153" s="120">
        <v>494.35</v>
      </c>
      <c r="AR153" s="120">
        <v>30.34</v>
      </c>
      <c r="AS153" s="127">
        <v>47</v>
      </c>
      <c r="AT153" s="203" t="s">
        <v>52</v>
      </c>
      <c r="AU153" s="203" t="s">
        <v>52</v>
      </c>
      <c r="AV153" s="203" t="s">
        <v>52</v>
      </c>
      <c r="AW153" s="203" t="s">
        <v>52</v>
      </c>
      <c r="AX153" s="127"/>
      <c r="AY153" s="127"/>
    </row>
    <row r="154" spans="1:51" s="60" customFormat="1" ht="19" customHeight="1" x14ac:dyDescent="0.2">
      <c r="A154"/>
      <c r="B154"/>
      <c r="C154">
        <v>154</v>
      </c>
      <c r="D154"/>
      <c r="E154" t="b">
        <f>IF(coder1_YH!G154="","",TRUE)</f>
        <v>1</v>
      </c>
      <c r="F154" t="b">
        <f>IF(coder1_YH!P154="","",TRUE)</f>
        <v>1</v>
      </c>
      <c r="G154" s="116" t="s">
        <v>1002</v>
      </c>
      <c r="H154" s="117">
        <f>H152+0.01</f>
        <v>127.07000000000004</v>
      </c>
      <c r="I154" s="116" t="s">
        <v>47</v>
      </c>
      <c r="J154" s="88" t="s">
        <v>452</v>
      </c>
      <c r="K154" s="88" t="s">
        <v>66</v>
      </c>
      <c r="L154" s="88" t="s">
        <v>49</v>
      </c>
      <c r="M154" s="88" t="s">
        <v>50</v>
      </c>
      <c r="N154" s="283" t="s">
        <v>915</v>
      </c>
      <c r="O154" s="283" t="str">
        <f t="shared" si="13"/>
        <v xml:space="preserve">m </v>
      </c>
      <c r="P154" s="127">
        <v>1</v>
      </c>
      <c r="Q154" s="60" t="s">
        <v>498</v>
      </c>
      <c r="R154" s="358">
        <v>7</v>
      </c>
      <c r="S154" s="90">
        <v>12.5</v>
      </c>
      <c r="T154" s="90" t="s">
        <v>454</v>
      </c>
      <c r="U154" s="90" t="s">
        <v>52</v>
      </c>
      <c r="V154" s="90">
        <v>0.76900000000000002</v>
      </c>
      <c r="W154" s="90" t="s">
        <v>52</v>
      </c>
      <c r="X154" s="90" t="s">
        <v>52</v>
      </c>
      <c r="Y154" s="90">
        <v>0.66700000000000004</v>
      </c>
      <c r="Z154" s="60" t="s">
        <v>92</v>
      </c>
      <c r="AA154" s="92" t="s">
        <v>484</v>
      </c>
      <c r="AB154" s="60" t="s">
        <v>456</v>
      </c>
      <c r="AC154" s="60" t="s">
        <v>153</v>
      </c>
      <c r="AD154" s="60" t="s">
        <v>457</v>
      </c>
      <c r="AE154" s="60" t="s">
        <v>58</v>
      </c>
      <c r="AF154" s="60">
        <f>AF$142</f>
        <v>6800</v>
      </c>
      <c r="AG154" s="60">
        <f t="shared" si="14"/>
        <v>160</v>
      </c>
      <c r="AH154" s="60">
        <f t="shared" si="14"/>
        <v>42.5</v>
      </c>
      <c r="AI154" s="60" t="s">
        <v>59</v>
      </c>
      <c r="AJ154" s="60" t="s">
        <v>485</v>
      </c>
      <c r="AK154" s="60" t="s">
        <v>61</v>
      </c>
      <c r="AL154" s="60" t="s">
        <v>459</v>
      </c>
      <c r="AM154" s="152"/>
      <c r="AN154" s="120">
        <v>534.12</v>
      </c>
      <c r="AO154" s="120">
        <v>27.62</v>
      </c>
      <c r="AP154" s="120">
        <v>40</v>
      </c>
      <c r="AQ154" s="120">
        <v>546.67999999999995</v>
      </c>
      <c r="AR154" s="120">
        <v>30.07</v>
      </c>
      <c r="AS154" s="127">
        <v>40</v>
      </c>
      <c r="AT154" s="203" t="s">
        <v>52</v>
      </c>
      <c r="AU154" s="203" t="s">
        <v>52</v>
      </c>
      <c r="AV154" s="203" t="s">
        <v>52</v>
      </c>
      <c r="AW154" s="203" t="s">
        <v>52</v>
      </c>
      <c r="AX154" s="127"/>
      <c r="AY154" s="127"/>
    </row>
    <row r="155" spans="1:51" s="60" customFormat="1" ht="19" customHeight="1" x14ac:dyDescent="0.2">
      <c r="A155"/>
      <c r="B155"/>
      <c r="C155">
        <v>155</v>
      </c>
      <c r="D155"/>
      <c r="E155" t="str">
        <f>IF(coder1_YH!G155="","",TRUE)</f>
        <v/>
      </c>
      <c r="F155" t="b">
        <f>IF(coder1_YH!P155="","",TRUE)</f>
        <v>1</v>
      </c>
      <c r="G155" s="116"/>
      <c r="H155" s="117"/>
      <c r="I155" s="116"/>
      <c r="J155" s="88"/>
      <c r="K155" s="88"/>
      <c r="L155" s="88"/>
      <c r="M155" s="88"/>
      <c r="N155" s="283" t="s">
        <v>914</v>
      </c>
      <c r="O155" s="283" t="str">
        <f t="shared" si="13"/>
        <v xml:space="preserve">m </v>
      </c>
      <c r="P155" s="127" t="s">
        <v>924</v>
      </c>
      <c r="Q155" s="60" t="s">
        <v>499</v>
      </c>
      <c r="R155" s="358">
        <v>7</v>
      </c>
      <c r="S155" s="90">
        <v>12.5</v>
      </c>
      <c r="T155" s="90" t="s">
        <v>454</v>
      </c>
      <c r="U155" s="90" t="s">
        <v>52</v>
      </c>
      <c r="V155" s="90">
        <v>0.76900000000000002</v>
      </c>
      <c r="W155" s="90" t="s">
        <v>52</v>
      </c>
      <c r="X155" s="90" t="s">
        <v>52</v>
      </c>
      <c r="Y155" s="90">
        <v>0.66700000000000004</v>
      </c>
      <c r="Z155" s="60" t="s">
        <v>92</v>
      </c>
      <c r="AA155" s="92" t="s">
        <v>487</v>
      </c>
      <c r="AB155" s="60" t="s">
        <v>80</v>
      </c>
      <c r="AC155" s="60" t="s">
        <v>78</v>
      </c>
      <c r="AD155" s="60" t="s">
        <v>78</v>
      </c>
      <c r="AE155" s="60" t="s">
        <v>78</v>
      </c>
      <c r="AF155" s="60" t="s">
        <v>78</v>
      </c>
      <c r="AG155" s="60" t="s">
        <v>78</v>
      </c>
      <c r="AH155" s="60" t="s">
        <v>78</v>
      </c>
      <c r="AI155" s="60" t="s">
        <v>78</v>
      </c>
      <c r="AJ155" s="60" t="s">
        <v>485</v>
      </c>
      <c r="AK155" s="60" t="s">
        <v>61</v>
      </c>
      <c r="AL155" s="60" t="s">
        <v>459</v>
      </c>
      <c r="AM155" s="146"/>
      <c r="AN155" s="120">
        <v>516.22</v>
      </c>
      <c r="AO155" s="120">
        <v>27.44</v>
      </c>
      <c r="AP155" s="120">
        <v>36</v>
      </c>
      <c r="AQ155" s="120">
        <v>518.08000000000004</v>
      </c>
      <c r="AR155" s="120">
        <v>26.45</v>
      </c>
      <c r="AS155" s="127">
        <v>36</v>
      </c>
      <c r="AT155" s="203" t="s">
        <v>52</v>
      </c>
      <c r="AU155" s="203" t="s">
        <v>52</v>
      </c>
      <c r="AV155" s="203" t="s">
        <v>52</v>
      </c>
      <c r="AW155" s="203" t="s">
        <v>52</v>
      </c>
      <c r="AX155" s="127"/>
      <c r="AY155" s="127"/>
    </row>
    <row r="156" spans="1:51" s="60" customFormat="1" ht="19" customHeight="1" x14ac:dyDescent="0.2">
      <c r="A156"/>
      <c r="B156"/>
      <c r="C156">
        <v>156</v>
      </c>
      <c r="D156"/>
      <c r="E156" t="b">
        <f>IF(coder1_YH!G156="","",TRUE)</f>
        <v>1</v>
      </c>
      <c r="F156" t="b">
        <f>IF(coder1_YH!P156="","",TRUE)</f>
        <v>1</v>
      </c>
      <c r="G156" s="116" t="s">
        <v>1002</v>
      </c>
      <c r="H156" s="117">
        <f>H154+0.01</f>
        <v>127.08000000000004</v>
      </c>
      <c r="I156" s="116" t="s">
        <v>47</v>
      </c>
      <c r="J156" s="88" t="s">
        <v>452</v>
      </c>
      <c r="K156" s="88" t="s">
        <v>66</v>
      </c>
      <c r="L156" s="88" t="s">
        <v>49</v>
      </c>
      <c r="M156" s="88" t="s">
        <v>50</v>
      </c>
      <c r="N156" s="283" t="s">
        <v>915</v>
      </c>
      <c r="O156" s="283" t="str">
        <f t="shared" si="13"/>
        <v xml:space="preserve">m </v>
      </c>
      <c r="P156" s="127">
        <v>1</v>
      </c>
      <c r="Q156" s="60" t="s">
        <v>500</v>
      </c>
      <c r="R156" s="358">
        <v>8</v>
      </c>
      <c r="S156" s="90">
        <v>13.5</v>
      </c>
      <c r="T156" s="90" t="s">
        <v>454</v>
      </c>
      <c r="U156" s="90" t="s">
        <v>52</v>
      </c>
      <c r="V156" s="90">
        <v>0.76900000000000002</v>
      </c>
      <c r="W156" s="90" t="s">
        <v>52</v>
      </c>
      <c r="X156" s="90" t="s">
        <v>52</v>
      </c>
      <c r="Y156" s="90">
        <v>0.66700000000000004</v>
      </c>
      <c r="Z156" s="60" t="s">
        <v>92</v>
      </c>
      <c r="AA156" s="92" t="s">
        <v>484</v>
      </c>
      <c r="AB156" s="60" t="s">
        <v>456</v>
      </c>
      <c r="AC156" s="60" t="s">
        <v>153</v>
      </c>
      <c r="AD156" s="60" t="s">
        <v>457</v>
      </c>
      <c r="AE156" s="60" t="s">
        <v>58</v>
      </c>
      <c r="AF156" s="60">
        <f>AF$142</f>
        <v>6800</v>
      </c>
      <c r="AG156" s="60">
        <f t="shared" si="14"/>
        <v>160</v>
      </c>
      <c r="AH156" s="60">
        <f t="shared" si="14"/>
        <v>42.5</v>
      </c>
      <c r="AI156" s="60" t="s">
        <v>59</v>
      </c>
      <c r="AJ156" s="60" t="s">
        <v>485</v>
      </c>
      <c r="AK156" s="60" t="s">
        <v>61</v>
      </c>
      <c r="AL156" s="60" t="s">
        <v>459</v>
      </c>
      <c r="AM156" s="152"/>
      <c r="AN156" s="120">
        <v>524.51</v>
      </c>
      <c r="AO156" s="120">
        <v>21.49</v>
      </c>
      <c r="AP156" s="120">
        <v>43</v>
      </c>
      <c r="AQ156" s="120">
        <v>535.41999999999996</v>
      </c>
      <c r="AR156" s="120">
        <v>27.69</v>
      </c>
      <c r="AS156" s="127">
        <v>43</v>
      </c>
      <c r="AT156" s="203" t="s">
        <v>52</v>
      </c>
      <c r="AU156" s="203" t="s">
        <v>52</v>
      </c>
      <c r="AV156" s="203" t="s">
        <v>52</v>
      </c>
      <c r="AW156" s="203" t="s">
        <v>52</v>
      </c>
      <c r="AX156" s="127"/>
      <c r="AY156" s="127"/>
    </row>
    <row r="157" spans="1:51" s="60" customFormat="1" ht="19" customHeight="1" x14ac:dyDescent="0.2">
      <c r="A157"/>
      <c r="B157"/>
      <c r="C157">
        <v>157</v>
      </c>
      <c r="D157"/>
      <c r="E157" t="str">
        <f>IF(coder1_YH!G157="","",TRUE)</f>
        <v/>
      </c>
      <c r="F157" t="b">
        <f>IF(coder1_YH!P157="","",TRUE)</f>
        <v>1</v>
      </c>
      <c r="G157" s="116"/>
      <c r="H157" s="117"/>
      <c r="I157" s="116"/>
      <c r="J157" s="88"/>
      <c r="K157" s="88"/>
      <c r="L157" s="88"/>
      <c r="M157" s="88"/>
      <c r="N157" s="283" t="s">
        <v>914</v>
      </c>
      <c r="O157" s="283" t="str">
        <f t="shared" si="13"/>
        <v xml:space="preserve">m </v>
      </c>
      <c r="P157" s="127" t="s">
        <v>924</v>
      </c>
      <c r="Q157" s="60" t="s">
        <v>501</v>
      </c>
      <c r="R157" s="358">
        <v>8</v>
      </c>
      <c r="S157" s="90">
        <v>13.5</v>
      </c>
      <c r="T157" s="90" t="s">
        <v>454</v>
      </c>
      <c r="U157" s="90" t="s">
        <v>52</v>
      </c>
      <c r="V157" s="90">
        <v>0.76900000000000002</v>
      </c>
      <c r="W157" s="90" t="s">
        <v>52</v>
      </c>
      <c r="X157" s="90" t="s">
        <v>52</v>
      </c>
      <c r="Y157" s="90">
        <v>0.66700000000000004</v>
      </c>
      <c r="Z157" s="60" t="s">
        <v>92</v>
      </c>
      <c r="AA157" s="92" t="s">
        <v>487</v>
      </c>
      <c r="AB157" s="60" t="s">
        <v>80</v>
      </c>
      <c r="AC157" s="60" t="s">
        <v>78</v>
      </c>
      <c r="AD157" s="60" t="s">
        <v>78</v>
      </c>
      <c r="AE157" s="60" t="s">
        <v>78</v>
      </c>
      <c r="AF157" s="60" t="s">
        <v>78</v>
      </c>
      <c r="AG157" s="60" t="s">
        <v>78</v>
      </c>
      <c r="AH157" s="60" t="s">
        <v>78</v>
      </c>
      <c r="AI157" s="60" t="s">
        <v>78</v>
      </c>
      <c r="AJ157" s="60" t="s">
        <v>485</v>
      </c>
      <c r="AK157" s="60" t="s">
        <v>61</v>
      </c>
      <c r="AL157" s="60" t="s">
        <v>459</v>
      </c>
      <c r="AM157" s="152"/>
      <c r="AN157" s="120">
        <v>532.76</v>
      </c>
      <c r="AO157" s="120">
        <v>21.61</v>
      </c>
      <c r="AP157" s="120">
        <v>41</v>
      </c>
      <c r="AQ157" s="120">
        <v>535.54999999999995</v>
      </c>
      <c r="AR157" s="120">
        <v>31.68</v>
      </c>
      <c r="AS157" s="127">
        <v>41</v>
      </c>
      <c r="AT157" s="203" t="s">
        <v>52</v>
      </c>
      <c r="AU157" s="203" t="s">
        <v>52</v>
      </c>
      <c r="AV157" s="203" t="s">
        <v>52</v>
      </c>
      <c r="AW157" s="203" t="s">
        <v>52</v>
      </c>
      <c r="AX157" s="127"/>
      <c r="AY157" s="127"/>
    </row>
    <row r="158" spans="1:51" s="60" customFormat="1" ht="19" customHeight="1" x14ac:dyDescent="0.2">
      <c r="A158"/>
      <c r="B158"/>
      <c r="C158">
        <v>158</v>
      </c>
      <c r="D158"/>
      <c r="E158" t="b">
        <f>IF(coder1_YH!G158="","",TRUE)</f>
        <v>1</v>
      </c>
      <c r="F158" t="b">
        <f>IF(coder1_YH!P158="","",TRUE)</f>
        <v>1</v>
      </c>
      <c r="G158" s="116" t="s">
        <v>1002</v>
      </c>
      <c r="H158" s="117">
        <f>H156+0.01</f>
        <v>127.09000000000005</v>
      </c>
      <c r="I158" s="116" t="s">
        <v>47</v>
      </c>
      <c r="J158" s="88" t="s">
        <v>452</v>
      </c>
      <c r="K158" s="88" t="s">
        <v>66</v>
      </c>
      <c r="L158" s="88" t="s">
        <v>49</v>
      </c>
      <c r="M158" s="88" t="s">
        <v>50</v>
      </c>
      <c r="N158" s="283" t="s">
        <v>915</v>
      </c>
      <c r="O158" s="283" t="str">
        <f t="shared" si="13"/>
        <v xml:space="preserve">m </v>
      </c>
      <c r="P158" s="127">
        <v>1</v>
      </c>
      <c r="Q158" s="60" t="s">
        <v>502</v>
      </c>
      <c r="R158" s="358">
        <v>6</v>
      </c>
      <c r="S158" s="90">
        <v>11.5</v>
      </c>
      <c r="T158" s="90" t="s">
        <v>454</v>
      </c>
      <c r="U158" s="90" t="s">
        <v>52</v>
      </c>
      <c r="V158" s="90">
        <v>0.66200000000000003</v>
      </c>
      <c r="W158" s="90" t="s">
        <v>52</v>
      </c>
      <c r="X158" s="90" t="s">
        <v>52</v>
      </c>
      <c r="Y158" s="90">
        <v>0.85000000000000009</v>
      </c>
      <c r="Z158" s="60" t="s">
        <v>92</v>
      </c>
      <c r="AA158" s="92" t="s">
        <v>484</v>
      </c>
      <c r="AB158" s="60" t="s">
        <v>456</v>
      </c>
      <c r="AC158" s="60" t="s">
        <v>153</v>
      </c>
      <c r="AD158" s="60" t="s">
        <v>457</v>
      </c>
      <c r="AE158" s="60" t="s">
        <v>58</v>
      </c>
      <c r="AF158" s="60">
        <f>AF$142</f>
        <v>6800</v>
      </c>
      <c r="AG158" s="60">
        <f t="shared" si="14"/>
        <v>160</v>
      </c>
      <c r="AH158" s="60">
        <f t="shared" si="14"/>
        <v>42.5</v>
      </c>
      <c r="AI158" s="60" t="s">
        <v>59</v>
      </c>
      <c r="AJ158" s="60" t="s">
        <v>485</v>
      </c>
      <c r="AK158" s="60" t="s">
        <v>61</v>
      </c>
      <c r="AL158" s="60" t="s">
        <v>459</v>
      </c>
      <c r="AM158" s="152"/>
      <c r="AN158" s="120">
        <v>507.52</v>
      </c>
      <c r="AO158" s="120">
        <v>27.64</v>
      </c>
      <c r="AP158" s="120">
        <v>109</v>
      </c>
      <c r="AQ158" s="120">
        <v>507.61</v>
      </c>
      <c r="AR158" s="120">
        <v>29.89</v>
      </c>
      <c r="AS158" s="127">
        <v>109</v>
      </c>
      <c r="AT158" s="203" t="s">
        <v>52</v>
      </c>
      <c r="AU158" s="203" t="s">
        <v>52</v>
      </c>
      <c r="AV158" s="203" t="s">
        <v>52</v>
      </c>
      <c r="AW158" s="203" t="s">
        <v>52</v>
      </c>
      <c r="AX158" s="127"/>
      <c r="AY158" s="127"/>
    </row>
    <row r="159" spans="1:51" s="60" customFormat="1" ht="19" customHeight="1" x14ac:dyDescent="0.2">
      <c r="A159"/>
      <c r="B159"/>
      <c r="C159">
        <v>159</v>
      </c>
      <c r="D159"/>
      <c r="E159" t="str">
        <f>IF(coder1_YH!G159="","",TRUE)</f>
        <v/>
      </c>
      <c r="F159" t="b">
        <f>IF(coder1_YH!P159="","",TRUE)</f>
        <v>1</v>
      </c>
      <c r="G159" s="116"/>
      <c r="H159" s="117"/>
      <c r="I159" s="116"/>
      <c r="J159" s="88"/>
      <c r="K159" s="88"/>
      <c r="L159" s="88"/>
      <c r="M159" s="88"/>
      <c r="N159" s="283" t="s">
        <v>914</v>
      </c>
      <c r="O159" s="283" t="str">
        <f t="shared" si="13"/>
        <v xml:space="preserve">m </v>
      </c>
      <c r="P159" s="127" t="s">
        <v>924</v>
      </c>
      <c r="Q159" s="60" t="s">
        <v>503</v>
      </c>
      <c r="R159" s="358">
        <v>6</v>
      </c>
      <c r="S159" s="90">
        <v>11.5</v>
      </c>
      <c r="T159" s="90" t="s">
        <v>454</v>
      </c>
      <c r="U159" s="90" t="s">
        <v>52</v>
      </c>
      <c r="V159" s="90">
        <v>0.66200000000000003</v>
      </c>
      <c r="W159" s="90" t="s">
        <v>52</v>
      </c>
      <c r="X159" s="90" t="s">
        <v>52</v>
      </c>
      <c r="Y159" s="90">
        <v>0.85000000000000009</v>
      </c>
      <c r="Z159" s="60" t="s">
        <v>92</v>
      </c>
      <c r="AA159" s="92" t="s">
        <v>487</v>
      </c>
      <c r="AB159" s="60" t="s">
        <v>80</v>
      </c>
      <c r="AC159" s="60" t="s">
        <v>78</v>
      </c>
      <c r="AD159" s="60" t="s">
        <v>78</v>
      </c>
      <c r="AE159" s="60" t="s">
        <v>78</v>
      </c>
      <c r="AF159" s="60" t="s">
        <v>78</v>
      </c>
      <c r="AG159" s="60" t="s">
        <v>78</v>
      </c>
      <c r="AH159" s="60" t="s">
        <v>78</v>
      </c>
      <c r="AI159" s="60" t="s">
        <v>78</v>
      </c>
      <c r="AJ159" s="60" t="s">
        <v>485</v>
      </c>
      <c r="AK159" s="60" t="s">
        <v>61</v>
      </c>
      <c r="AL159" s="60" t="s">
        <v>459</v>
      </c>
      <c r="AM159" s="152"/>
      <c r="AN159" s="120">
        <v>475.49</v>
      </c>
      <c r="AO159" s="120">
        <v>37.799999999999997</v>
      </c>
      <c r="AP159" s="120">
        <v>53</v>
      </c>
      <c r="AQ159" s="120">
        <v>495.55</v>
      </c>
      <c r="AR159" s="120">
        <v>35.869999999999997</v>
      </c>
      <c r="AS159" s="127">
        <v>53</v>
      </c>
      <c r="AT159" s="203" t="s">
        <v>52</v>
      </c>
      <c r="AU159" s="203" t="s">
        <v>52</v>
      </c>
      <c r="AV159" s="203" t="s">
        <v>52</v>
      </c>
      <c r="AW159" s="203" t="s">
        <v>52</v>
      </c>
      <c r="AX159" s="127"/>
      <c r="AY159" s="127"/>
    </row>
    <row r="160" spans="1:51" s="60" customFormat="1" ht="19" customHeight="1" x14ac:dyDescent="0.2">
      <c r="A160"/>
      <c r="B160"/>
      <c r="C160">
        <v>160</v>
      </c>
      <c r="D160"/>
      <c r="E160" t="b">
        <f>IF(coder1_YH!G160="","",TRUE)</f>
        <v>1</v>
      </c>
      <c r="F160" t="b">
        <f>IF(coder1_YH!P160="","",TRUE)</f>
        <v>1</v>
      </c>
      <c r="G160" s="116" t="s">
        <v>1002</v>
      </c>
      <c r="H160" s="117">
        <f>H158+0.01</f>
        <v>127.10000000000005</v>
      </c>
      <c r="I160" s="116" t="s">
        <v>47</v>
      </c>
      <c r="J160" s="88" t="s">
        <v>452</v>
      </c>
      <c r="K160" s="88" t="s">
        <v>66</v>
      </c>
      <c r="L160" s="88" t="s">
        <v>49</v>
      </c>
      <c r="M160" s="88" t="s">
        <v>50</v>
      </c>
      <c r="N160" s="283" t="s">
        <v>915</v>
      </c>
      <c r="O160" s="283" t="str">
        <f t="shared" si="13"/>
        <v xml:space="preserve">m </v>
      </c>
      <c r="P160" s="127">
        <v>1</v>
      </c>
      <c r="Q160" s="60" t="s">
        <v>504</v>
      </c>
      <c r="R160" s="358">
        <v>7</v>
      </c>
      <c r="S160" s="90">
        <v>12.5</v>
      </c>
      <c r="T160" s="90" t="s">
        <v>454</v>
      </c>
      <c r="U160" s="90" t="s">
        <v>52</v>
      </c>
      <c r="V160" s="90">
        <v>0.66200000000000003</v>
      </c>
      <c r="W160" s="90" t="s">
        <v>52</v>
      </c>
      <c r="X160" s="90" t="s">
        <v>52</v>
      </c>
      <c r="Y160" s="90">
        <v>0.85000000000000009</v>
      </c>
      <c r="Z160" s="60" t="s">
        <v>92</v>
      </c>
      <c r="AA160" s="92" t="s">
        <v>484</v>
      </c>
      <c r="AB160" s="60" t="s">
        <v>456</v>
      </c>
      <c r="AC160" s="60" t="s">
        <v>153</v>
      </c>
      <c r="AD160" s="60" t="s">
        <v>457</v>
      </c>
      <c r="AE160" s="60" t="s">
        <v>58</v>
      </c>
      <c r="AF160" s="60">
        <f>AF$142</f>
        <v>6800</v>
      </c>
      <c r="AG160" s="60">
        <f t="shared" ref="AG160:AH162" si="15">AG$142</f>
        <v>160</v>
      </c>
      <c r="AH160" s="60">
        <f t="shared" si="15"/>
        <v>42.5</v>
      </c>
      <c r="AI160" s="60" t="s">
        <v>59</v>
      </c>
      <c r="AJ160" s="60" t="s">
        <v>485</v>
      </c>
      <c r="AK160" s="60" t="s">
        <v>61</v>
      </c>
      <c r="AL160" s="60" t="s">
        <v>459</v>
      </c>
      <c r="AM160" s="152"/>
      <c r="AN160" s="120">
        <v>526.86</v>
      </c>
      <c r="AO160" s="120">
        <v>35.799999999999997</v>
      </c>
      <c r="AP160" s="120">
        <v>58</v>
      </c>
      <c r="AQ160" s="120">
        <v>531.49</v>
      </c>
      <c r="AR160" s="120">
        <v>36.54</v>
      </c>
      <c r="AS160" s="127">
        <v>58</v>
      </c>
      <c r="AT160" s="203" t="s">
        <v>52</v>
      </c>
      <c r="AU160" s="203" t="s">
        <v>52</v>
      </c>
      <c r="AV160" s="203" t="s">
        <v>52</v>
      </c>
      <c r="AW160" s="203" t="s">
        <v>52</v>
      </c>
      <c r="AX160" s="127"/>
      <c r="AY160" s="127"/>
    </row>
    <row r="161" spans="1:54" s="60" customFormat="1" ht="19" customHeight="1" x14ac:dyDescent="0.2">
      <c r="A161"/>
      <c r="B161"/>
      <c r="C161">
        <v>161</v>
      </c>
      <c r="D161"/>
      <c r="E161" t="str">
        <f>IF(coder1_YH!G161="","",TRUE)</f>
        <v/>
      </c>
      <c r="F161" t="b">
        <f>IF(coder1_YH!P161="","",TRUE)</f>
        <v>1</v>
      </c>
      <c r="G161" s="116"/>
      <c r="H161" s="117"/>
      <c r="I161" s="116"/>
      <c r="J161" s="88"/>
      <c r="K161" s="88"/>
      <c r="L161" s="88"/>
      <c r="M161" s="88"/>
      <c r="N161" s="283" t="s">
        <v>914</v>
      </c>
      <c r="O161" s="283" t="str">
        <f t="shared" si="13"/>
        <v xml:space="preserve">m </v>
      </c>
      <c r="P161" s="127" t="s">
        <v>924</v>
      </c>
      <c r="Q161" s="60" t="s">
        <v>505</v>
      </c>
      <c r="R161" s="358">
        <v>7</v>
      </c>
      <c r="S161" s="90">
        <v>12.5</v>
      </c>
      <c r="T161" s="90" t="s">
        <v>454</v>
      </c>
      <c r="U161" s="90" t="s">
        <v>52</v>
      </c>
      <c r="V161" s="90">
        <v>0.66200000000000003</v>
      </c>
      <c r="W161" s="90" t="s">
        <v>52</v>
      </c>
      <c r="X161" s="90" t="s">
        <v>52</v>
      </c>
      <c r="Y161" s="90">
        <v>0.85000000000000009</v>
      </c>
      <c r="Z161" s="60" t="s">
        <v>92</v>
      </c>
      <c r="AA161" s="92" t="s">
        <v>487</v>
      </c>
      <c r="AB161" s="60" t="s">
        <v>80</v>
      </c>
      <c r="AC161" s="60" t="s">
        <v>78</v>
      </c>
      <c r="AD161" s="60" t="s">
        <v>78</v>
      </c>
      <c r="AE161" s="60" t="s">
        <v>78</v>
      </c>
      <c r="AF161" s="60" t="s">
        <v>78</v>
      </c>
      <c r="AG161" s="60" t="s">
        <v>78</v>
      </c>
      <c r="AH161" s="60" t="s">
        <v>78</v>
      </c>
      <c r="AI161" s="60" t="s">
        <v>78</v>
      </c>
      <c r="AJ161" s="60" t="s">
        <v>485</v>
      </c>
      <c r="AK161" s="60" t="s">
        <v>61</v>
      </c>
      <c r="AL161" s="60" t="s">
        <v>459</v>
      </c>
      <c r="AM161" s="152"/>
      <c r="AN161" s="120">
        <v>508.19</v>
      </c>
      <c r="AO161" s="120">
        <v>32.15</v>
      </c>
      <c r="AP161" s="120">
        <v>53</v>
      </c>
      <c r="AQ161" s="120">
        <v>515.25</v>
      </c>
      <c r="AR161" s="120">
        <v>27.47</v>
      </c>
      <c r="AS161" s="127">
        <v>53</v>
      </c>
      <c r="AT161" s="203" t="s">
        <v>52</v>
      </c>
      <c r="AU161" s="203" t="s">
        <v>52</v>
      </c>
      <c r="AV161" s="203" t="s">
        <v>52</v>
      </c>
      <c r="AW161" s="203" t="s">
        <v>52</v>
      </c>
      <c r="AX161" s="127"/>
      <c r="AY161" s="127"/>
    </row>
    <row r="162" spans="1:54" s="60" customFormat="1" ht="19" customHeight="1" x14ac:dyDescent="0.2">
      <c r="A162"/>
      <c r="B162"/>
      <c r="C162">
        <v>162</v>
      </c>
      <c r="D162"/>
      <c r="E162" t="b">
        <f>IF(coder1_YH!G162="","",TRUE)</f>
        <v>1</v>
      </c>
      <c r="F162" t="b">
        <f>IF(coder1_YH!P162="","",TRUE)</f>
        <v>1</v>
      </c>
      <c r="G162" s="116" t="s">
        <v>1002</v>
      </c>
      <c r="H162" s="117">
        <f>H160+0.01</f>
        <v>127.11000000000006</v>
      </c>
      <c r="I162" s="116" t="s">
        <v>47</v>
      </c>
      <c r="J162" s="88" t="s">
        <v>452</v>
      </c>
      <c r="K162" s="88" t="s">
        <v>66</v>
      </c>
      <c r="L162" s="88" t="s">
        <v>49</v>
      </c>
      <c r="M162" s="88" t="s">
        <v>50</v>
      </c>
      <c r="N162" s="283" t="s">
        <v>915</v>
      </c>
      <c r="O162" s="283" t="str">
        <f t="shared" si="13"/>
        <v xml:space="preserve">m </v>
      </c>
      <c r="P162" s="127">
        <v>1</v>
      </c>
      <c r="Q162" s="60" t="s">
        <v>506</v>
      </c>
      <c r="R162" s="358">
        <v>8</v>
      </c>
      <c r="S162" s="90">
        <v>13.5</v>
      </c>
      <c r="T162" s="90" t="s">
        <v>454</v>
      </c>
      <c r="U162" s="90" t="s">
        <v>52</v>
      </c>
      <c r="V162" s="90">
        <v>0.66200000000000003</v>
      </c>
      <c r="W162" s="90" t="s">
        <v>52</v>
      </c>
      <c r="X162" s="90" t="s">
        <v>52</v>
      </c>
      <c r="Y162" s="90">
        <v>0.85000000000000009</v>
      </c>
      <c r="Z162" s="60" t="s">
        <v>92</v>
      </c>
      <c r="AA162" s="92" t="s">
        <v>484</v>
      </c>
      <c r="AB162" s="60" t="s">
        <v>456</v>
      </c>
      <c r="AC162" s="60" t="s">
        <v>153</v>
      </c>
      <c r="AD162" s="60" t="s">
        <v>457</v>
      </c>
      <c r="AE162" s="60" t="s">
        <v>58</v>
      </c>
      <c r="AF162" s="60">
        <f>AF$142</f>
        <v>6800</v>
      </c>
      <c r="AG162" s="60">
        <f t="shared" si="15"/>
        <v>160</v>
      </c>
      <c r="AH162" s="60">
        <f t="shared" si="15"/>
        <v>42.5</v>
      </c>
      <c r="AI162" s="60" t="s">
        <v>59</v>
      </c>
      <c r="AJ162" s="60" t="s">
        <v>485</v>
      </c>
      <c r="AK162" s="60" t="s">
        <v>61</v>
      </c>
      <c r="AL162" s="60" t="s">
        <v>459</v>
      </c>
      <c r="AM162" s="152"/>
      <c r="AN162" s="120">
        <v>515.45000000000005</v>
      </c>
      <c r="AO162" s="120">
        <v>27.74</v>
      </c>
      <c r="AP162" s="120">
        <v>56</v>
      </c>
      <c r="AQ162" s="120">
        <v>509.12</v>
      </c>
      <c r="AR162" s="120">
        <v>31.63</v>
      </c>
      <c r="AS162" s="127">
        <v>56</v>
      </c>
      <c r="AT162" s="203" t="s">
        <v>52</v>
      </c>
      <c r="AU162" s="203" t="s">
        <v>52</v>
      </c>
      <c r="AV162" s="203" t="s">
        <v>52</v>
      </c>
      <c r="AW162" s="203" t="s">
        <v>52</v>
      </c>
      <c r="AX162" s="127"/>
      <c r="AY162" s="127"/>
    </row>
    <row r="163" spans="1:54" s="63" customFormat="1" ht="19" customHeight="1" x14ac:dyDescent="0.2">
      <c r="A163"/>
      <c r="B163"/>
      <c r="C163">
        <v>163</v>
      </c>
      <c r="D163"/>
      <c r="E163" t="str">
        <f>IF(coder1_YH!G163="","",TRUE)</f>
        <v/>
      </c>
      <c r="F163" t="b">
        <f>IF(coder1_YH!P163="","",TRUE)</f>
        <v>1</v>
      </c>
      <c r="G163" s="122"/>
      <c r="H163" s="123"/>
      <c r="I163" s="122"/>
      <c r="J163" s="89"/>
      <c r="K163" s="89"/>
      <c r="L163" s="89"/>
      <c r="M163" s="89"/>
      <c r="N163" s="284" t="s">
        <v>914</v>
      </c>
      <c r="O163" s="284" t="str">
        <f t="shared" si="13"/>
        <v xml:space="preserve">m </v>
      </c>
      <c r="P163" s="128" t="s">
        <v>924</v>
      </c>
      <c r="Q163" s="63" t="s">
        <v>507</v>
      </c>
      <c r="R163" s="359">
        <v>8</v>
      </c>
      <c r="S163" s="93">
        <v>13.5</v>
      </c>
      <c r="T163" s="93" t="s">
        <v>454</v>
      </c>
      <c r="U163" s="93" t="s">
        <v>52</v>
      </c>
      <c r="V163" s="93">
        <v>0.66200000000000003</v>
      </c>
      <c r="W163" s="93" t="s">
        <v>52</v>
      </c>
      <c r="X163" s="93" t="s">
        <v>52</v>
      </c>
      <c r="Y163" s="93">
        <v>0.85000000000000009</v>
      </c>
      <c r="Z163" s="63" t="s">
        <v>92</v>
      </c>
      <c r="AA163" s="95" t="s">
        <v>487</v>
      </c>
      <c r="AB163" s="63" t="s">
        <v>80</v>
      </c>
      <c r="AC163" s="63" t="s">
        <v>78</v>
      </c>
      <c r="AD163" s="63" t="s">
        <v>78</v>
      </c>
      <c r="AE163" s="63" t="s">
        <v>78</v>
      </c>
      <c r="AF163" s="63" t="s">
        <v>78</v>
      </c>
      <c r="AG163" s="63" t="s">
        <v>78</v>
      </c>
      <c r="AH163" s="63" t="s">
        <v>78</v>
      </c>
      <c r="AI163" s="63" t="s">
        <v>78</v>
      </c>
      <c r="AJ163" s="63" t="s">
        <v>485</v>
      </c>
      <c r="AK163" s="63" t="s">
        <v>61</v>
      </c>
      <c r="AL163" s="63" t="s">
        <v>459</v>
      </c>
      <c r="AM163" s="153"/>
      <c r="AN163" s="124">
        <v>521.79</v>
      </c>
      <c r="AO163" s="124">
        <v>23.65</v>
      </c>
      <c r="AP163" s="124">
        <v>55</v>
      </c>
      <c r="AQ163" s="124">
        <v>506.16</v>
      </c>
      <c r="AR163" s="124">
        <v>30.25</v>
      </c>
      <c r="AS163" s="128">
        <v>55</v>
      </c>
      <c r="AT163" s="204" t="s">
        <v>52</v>
      </c>
      <c r="AU163" s="204" t="s">
        <v>52</v>
      </c>
      <c r="AV163" s="204" t="s">
        <v>52</v>
      </c>
      <c r="AW163" s="204" t="s">
        <v>52</v>
      </c>
      <c r="AX163" s="128"/>
      <c r="AY163" s="128"/>
    </row>
    <row r="164" spans="1:54" s="60" customFormat="1" ht="19" customHeight="1" x14ac:dyDescent="0.2">
      <c r="A164"/>
      <c r="B164"/>
      <c r="C164">
        <v>164</v>
      </c>
      <c r="D164" t="b">
        <f>E164</f>
        <v>1</v>
      </c>
      <c r="E164" t="b">
        <f>IF(coder1_YH!G164="","",TRUE)</f>
        <v>1</v>
      </c>
      <c r="F164" t="b">
        <f>IF(coder1_YH!P164="","",TRUE)</f>
        <v>1</v>
      </c>
      <c r="G164" s="129" t="s">
        <v>508</v>
      </c>
      <c r="H164" s="130">
        <v>128</v>
      </c>
      <c r="I164" s="88" t="s">
        <v>47</v>
      </c>
      <c r="J164" s="88" t="s">
        <v>452</v>
      </c>
      <c r="K164" s="88" t="s">
        <v>66</v>
      </c>
      <c r="L164" s="88" t="s">
        <v>49</v>
      </c>
      <c r="M164" s="88" t="s">
        <v>238</v>
      </c>
      <c r="N164" s="283" t="s">
        <v>1020</v>
      </c>
      <c r="O164" s="283" t="str">
        <f t="shared" si="13"/>
        <v>cm</v>
      </c>
      <c r="P164" s="112">
        <v>1</v>
      </c>
      <c r="Q164" s="60" t="s">
        <v>509</v>
      </c>
      <c r="R164" s="358">
        <v>7</v>
      </c>
      <c r="S164" s="90">
        <v>12.5</v>
      </c>
      <c r="T164" s="90" t="s">
        <v>454</v>
      </c>
      <c r="U164" s="90" t="s">
        <v>52</v>
      </c>
      <c r="V164" s="90">
        <v>0.20300000000000001</v>
      </c>
      <c r="W164" s="90">
        <v>0.01</v>
      </c>
      <c r="X164" s="90">
        <v>0.47</v>
      </c>
      <c r="Y164" s="90">
        <v>0.21099999999999997</v>
      </c>
      <c r="Z164" s="60" t="s">
        <v>53</v>
      </c>
      <c r="AA164" s="92" t="s">
        <v>510</v>
      </c>
      <c r="AB164" s="60" t="s">
        <v>456</v>
      </c>
      <c r="AC164" s="60" t="s">
        <v>153</v>
      </c>
      <c r="AD164" s="60" t="s">
        <v>457</v>
      </c>
      <c r="AE164" s="60" t="s">
        <v>58</v>
      </c>
      <c r="AF164" s="60">
        <v>1800</v>
      </c>
      <c r="AG164" s="60">
        <v>20</v>
      </c>
      <c r="AH164" s="60">
        <v>90</v>
      </c>
      <c r="AI164" s="60" t="s">
        <v>59</v>
      </c>
      <c r="AJ164" s="60" t="s">
        <v>512</v>
      </c>
      <c r="AK164" s="60" t="s">
        <v>95</v>
      </c>
      <c r="AL164" s="60" t="s">
        <v>513</v>
      </c>
      <c r="AM164" s="146" t="s">
        <v>514</v>
      </c>
      <c r="AN164" s="127">
        <v>54.06</v>
      </c>
      <c r="AO164" s="127">
        <v>15.41</v>
      </c>
      <c r="AP164" s="127">
        <v>269</v>
      </c>
      <c r="AQ164" s="127">
        <v>56.94</v>
      </c>
      <c r="AR164" s="127">
        <v>16.7</v>
      </c>
      <c r="AS164" s="127">
        <v>269</v>
      </c>
      <c r="AT164" s="203" t="s">
        <v>52</v>
      </c>
      <c r="AU164" s="203" t="s">
        <v>52</v>
      </c>
      <c r="AV164" s="203" t="s">
        <v>52</v>
      </c>
      <c r="AW164" s="203" t="s">
        <v>52</v>
      </c>
      <c r="AX164" s="127"/>
      <c r="AY164" s="127"/>
    </row>
    <row r="165" spans="1:54" s="63" customFormat="1" ht="19" customHeight="1" x14ac:dyDescent="0.2">
      <c r="A165"/>
      <c r="B165"/>
      <c r="C165">
        <v>165</v>
      </c>
      <c r="D165"/>
      <c r="E165" t="str">
        <f>IF(coder1_YH!G165="","",TRUE)</f>
        <v/>
      </c>
      <c r="F165" t="b">
        <f>IF(coder1_YH!P165="","",TRUE)</f>
        <v>1</v>
      </c>
      <c r="G165" s="131"/>
      <c r="H165" s="132"/>
      <c r="I165" s="89"/>
      <c r="J165" s="89"/>
      <c r="K165" s="89"/>
      <c r="L165" s="89"/>
      <c r="M165" s="89"/>
      <c r="N165" s="284" t="s">
        <v>914</v>
      </c>
      <c r="O165" s="284" t="str">
        <f t="shared" si="13"/>
        <v xml:space="preserve">m </v>
      </c>
      <c r="P165" s="113" t="s">
        <v>924</v>
      </c>
      <c r="Q165" s="63" t="s">
        <v>515</v>
      </c>
      <c r="R165" s="359">
        <v>7</v>
      </c>
      <c r="S165" s="93">
        <v>12.5</v>
      </c>
      <c r="T165" s="93" t="s">
        <v>454</v>
      </c>
      <c r="U165" s="93" t="s">
        <v>52</v>
      </c>
      <c r="V165" s="93">
        <v>0.20300000000000001</v>
      </c>
      <c r="W165" s="93">
        <v>0.01</v>
      </c>
      <c r="X165" s="93">
        <v>0.47</v>
      </c>
      <c r="Y165" s="93">
        <v>0.21099999999999997</v>
      </c>
      <c r="Z165" s="63" t="s">
        <v>92</v>
      </c>
      <c r="AA165" s="95" t="s">
        <v>516</v>
      </c>
      <c r="AB165" s="63" t="s">
        <v>464</v>
      </c>
      <c r="AC165" s="63" t="s">
        <v>78</v>
      </c>
      <c r="AD165" s="63" t="s">
        <v>457</v>
      </c>
      <c r="AE165" s="63" t="s">
        <v>58</v>
      </c>
      <c r="AF165" s="63">
        <v>1800</v>
      </c>
      <c r="AG165" s="63">
        <v>20</v>
      </c>
      <c r="AH165" s="63">
        <v>90</v>
      </c>
      <c r="AI165" s="63" t="s">
        <v>78</v>
      </c>
      <c r="AJ165" s="63" t="s">
        <v>512</v>
      </c>
      <c r="AK165" s="63" t="s">
        <v>95</v>
      </c>
      <c r="AL165" s="63" t="s">
        <v>513</v>
      </c>
      <c r="AM165" s="147" t="s">
        <v>514</v>
      </c>
      <c r="AN165" s="128">
        <v>53.19</v>
      </c>
      <c r="AO165" s="128">
        <v>14.1</v>
      </c>
      <c r="AP165" s="128">
        <v>288</v>
      </c>
      <c r="AQ165" s="128">
        <v>53.6</v>
      </c>
      <c r="AR165" s="128">
        <v>17.55</v>
      </c>
      <c r="AS165" s="128">
        <v>288</v>
      </c>
      <c r="AT165" s="204" t="s">
        <v>52</v>
      </c>
      <c r="AU165" s="204" t="s">
        <v>52</v>
      </c>
      <c r="AV165" s="204" t="s">
        <v>52</v>
      </c>
      <c r="AW165" s="204" t="s">
        <v>52</v>
      </c>
      <c r="AX165" s="128"/>
      <c r="AY165" s="128"/>
    </row>
    <row r="166" spans="1:54" s="134" customFormat="1" ht="19" customHeight="1" x14ac:dyDescent="0.2">
      <c r="A166"/>
      <c r="B166"/>
      <c r="C166">
        <v>166</v>
      </c>
      <c r="D166" t="b">
        <f>E166</f>
        <v>1</v>
      </c>
      <c r="E166" t="b">
        <f>IF(coder1_YH!G166="","",TRUE)</f>
        <v>1</v>
      </c>
      <c r="F166" t="b">
        <f>IF(coder1_YH!P166="","",TRUE)</f>
        <v>1</v>
      </c>
      <c r="G166" s="133" t="s">
        <v>517</v>
      </c>
      <c r="H166" s="117">
        <v>129.1</v>
      </c>
      <c r="I166" s="116" t="s">
        <v>47</v>
      </c>
      <c r="J166" s="88" t="s">
        <v>452</v>
      </c>
      <c r="K166" s="116" t="s">
        <v>66</v>
      </c>
      <c r="L166" s="116" t="s">
        <v>49</v>
      </c>
      <c r="M166" s="116" t="s">
        <v>238</v>
      </c>
      <c r="N166" s="281" t="s">
        <v>915</v>
      </c>
      <c r="O166" s="281" t="str">
        <f t="shared" si="13"/>
        <v xml:space="preserve">m </v>
      </c>
      <c r="P166" s="112">
        <v>1</v>
      </c>
      <c r="Q166" s="134" t="s">
        <v>518</v>
      </c>
      <c r="R166" s="362">
        <v>3</v>
      </c>
      <c r="S166" s="135">
        <v>8.5</v>
      </c>
      <c r="T166" s="135">
        <v>1</v>
      </c>
      <c r="U166" s="135" t="s">
        <v>52</v>
      </c>
      <c r="V166" s="135" t="s">
        <v>52</v>
      </c>
      <c r="W166" s="135" t="s">
        <v>52</v>
      </c>
      <c r="X166" s="135">
        <v>0.5</v>
      </c>
      <c r="Y166" s="135">
        <v>0.78</v>
      </c>
      <c r="Z166" s="134" t="s">
        <v>92</v>
      </c>
      <c r="AA166" s="136" t="s">
        <v>519</v>
      </c>
      <c r="AB166" s="134" t="s">
        <v>456</v>
      </c>
      <c r="AC166" s="134" t="s">
        <v>153</v>
      </c>
      <c r="AD166" s="60" t="s">
        <v>457</v>
      </c>
      <c r="AE166" s="134" t="s">
        <v>58</v>
      </c>
      <c r="AF166" s="165">
        <v>7650</v>
      </c>
      <c r="AG166" s="165">
        <v>85</v>
      </c>
      <c r="AH166" s="165">
        <v>90</v>
      </c>
      <c r="AI166" s="134" t="s">
        <v>59</v>
      </c>
      <c r="AJ166" s="134" t="s">
        <v>520</v>
      </c>
      <c r="AK166" s="134" t="s">
        <v>95</v>
      </c>
      <c r="AL166" s="60" t="s">
        <v>513</v>
      </c>
      <c r="AM166" s="154" t="s">
        <v>52</v>
      </c>
      <c r="AN166" s="112" t="s">
        <v>52</v>
      </c>
      <c r="AO166" s="112" t="s">
        <v>52</v>
      </c>
      <c r="AP166" s="112" t="s">
        <v>52</v>
      </c>
      <c r="AQ166" s="112">
        <v>13.52</v>
      </c>
      <c r="AR166" s="112">
        <v>2.77</v>
      </c>
      <c r="AS166" s="112">
        <v>48</v>
      </c>
      <c r="AT166" s="203" t="s">
        <v>52</v>
      </c>
      <c r="AU166" s="203" t="s">
        <v>52</v>
      </c>
      <c r="AV166" s="203" t="s">
        <v>52</v>
      </c>
      <c r="AW166" s="203" t="s">
        <v>52</v>
      </c>
      <c r="AX166" s="112"/>
      <c r="AY166" s="112"/>
      <c r="BB166" s="134" t="s">
        <v>521</v>
      </c>
    </row>
    <row r="167" spans="1:54" s="134" customFormat="1" ht="19" customHeight="1" x14ac:dyDescent="0.2">
      <c r="A167"/>
      <c r="B167"/>
      <c r="C167">
        <v>167</v>
      </c>
      <c r="D167"/>
      <c r="E167" t="str">
        <f>IF(coder1_YH!G167="","",TRUE)</f>
        <v/>
      </c>
      <c r="F167" t="str">
        <f>IF(coder1_YH!P167="","",TRUE)</f>
        <v/>
      </c>
      <c r="G167" s="133"/>
      <c r="H167" s="117"/>
      <c r="I167" s="116"/>
      <c r="J167" s="116"/>
      <c r="K167" s="116"/>
      <c r="L167" s="116"/>
      <c r="M167" s="116"/>
      <c r="N167" s="281"/>
      <c r="O167" s="281" t="str">
        <f t="shared" si="13"/>
        <v/>
      </c>
      <c r="P167" s="112"/>
      <c r="R167" s="362"/>
      <c r="S167" s="135"/>
      <c r="T167" s="135"/>
      <c r="U167" s="135"/>
      <c r="V167" s="135"/>
      <c r="W167" s="135"/>
      <c r="X167" s="135"/>
      <c r="Y167" s="135"/>
      <c r="AA167" s="136"/>
      <c r="AF167" s="165"/>
      <c r="AG167" s="165"/>
      <c r="AH167" s="165"/>
      <c r="AJ167" s="134" t="s">
        <v>522</v>
      </c>
      <c r="AK167" s="134" t="s">
        <v>95</v>
      </c>
      <c r="AL167" s="60" t="s">
        <v>513</v>
      </c>
      <c r="AM167" s="154" t="s">
        <v>52</v>
      </c>
      <c r="AN167" s="112" t="s">
        <v>52</v>
      </c>
      <c r="AO167" s="112" t="s">
        <v>52</v>
      </c>
      <c r="AP167" s="112" t="s">
        <v>52</v>
      </c>
      <c r="AQ167" s="112">
        <v>6</v>
      </c>
      <c r="AR167" s="112">
        <v>1.62</v>
      </c>
      <c r="AS167" s="112">
        <v>48</v>
      </c>
      <c r="AT167" s="203" t="s">
        <v>52</v>
      </c>
      <c r="AU167" s="203" t="s">
        <v>52</v>
      </c>
      <c r="AV167" s="203" t="s">
        <v>52</v>
      </c>
      <c r="AW167" s="203" t="s">
        <v>52</v>
      </c>
      <c r="AX167" s="112"/>
      <c r="AY167" s="112"/>
    </row>
    <row r="168" spans="1:54" s="134" customFormat="1" ht="19" customHeight="1" x14ac:dyDescent="0.2">
      <c r="A168"/>
      <c r="B168"/>
      <c r="C168">
        <v>168</v>
      </c>
      <c r="D168"/>
      <c r="E168" t="str">
        <f>IF(coder1_YH!G168="","",TRUE)</f>
        <v/>
      </c>
      <c r="F168" t="str">
        <f>IF(coder1_YH!P168="","",TRUE)</f>
        <v/>
      </c>
      <c r="G168" s="133"/>
      <c r="H168" s="117"/>
      <c r="I168" s="116"/>
      <c r="J168" s="116"/>
      <c r="K168" s="116"/>
      <c r="L168" s="116"/>
      <c r="M168" s="116"/>
      <c r="N168" s="281"/>
      <c r="O168" s="281" t="str">
        <f t="shared" si="13"/>
        <v/>
      </c>
      <c r="P168" s="112"/>
      <c r="R168" s="362"/>
      <c r="S168" s="135"/>
      <c r="T168" s="135"/>
      <c r="U168" s="135"/>
      <c r="V168" s="135"/>
      <c r="W168" s="135"/>
      <c r="X168" s="135"/>
      <c r="Y168" s="135"/>
      <c r="AA168" s="136"/>
      <c r="AF168" s="165"/>
      <c r="AG168" s="165"/>
      <c r="AH168" s="165"/>
      <c r="AJ168" s="134" t="s">
        <v>523</v>
      </c>
      <c r="AK168" s="134" t="s">
        <v>95</v>
      </c>
      <c r="AL168" s="60" t="s">
        <v>513</v>
      </c>
      <c r="AM168" s="154" t="s">
        <v>52</v>
      </c>
      <c r="AN168" s="112" t="s">
        <v>52</v>
      </c>
      <c r="AO168" s="112" t="s">
        <v>52</v>
      </c>
      <c r="AP168" s="112" t="s">
        <v>52</v>
      </c>
      <c r="AQ168" s="112">
        <v>7.42</v>
      </c>
      <c r="AR168" s="112">
        <v>1.54</v>
      </c>
      <c r="AS168" s="112">
        <v>48</v>
      </c>
      <c r="AT168" s="203" t="s">
        <v>52</v>
      </c>
      <c r="AU168" s="203" t="s">
        <v>52</v>
      </c>
      <c r="AV168" s="203" t="s">
        <v>52</v>
      </c>
      <c r="AW168" s="203" t="s">
        <v>52</v>
      </c>
      <c r="AX168" s="112"/>
      <c r="AY168" s="112"/>
    </row>
    <row r="169" spans="1:54" s="134" customFormat="1" ht="19" customHeight="1" x14ac:dyDescent="0.2">
      <c r="A169"/>
      <c r="B169"/>
      <c r="C169">
        <v>169</v>
      </c>
      <c r="D169"/>
      <c r="E169" t="str">
        <f>IF(coder1_YH!G169="","",TRUE)</f>
        <v/>
      </c>
      <c r="F169" t="str">
        <f>IF(coder1_YH!P169="","",TRUE)</f>
        <v/>
      </c>
      <c r="G169" s="133"/>
      <c r="H169" s="117"/>
      <c r="I169" s="116"/>
      <c r="J169" s="116"/>
      <c r="K169" s="116"/>
      <c r="L169" s="116"/>
      <c r="M169" s="116"/>
      <c r="N169" s="281"/>
      <c r="O169" s="281" t="str">
        <f t="shared" si="13"/>
        <v/>
      </c>
      <c r="P169" s="112"/>
      <c r="R169" s="362"/>
      <c r="S169" s="135"/>
      <c r="T169" s="135"/>
      <c r="U169" s="135"/>
      <c r="V169" s="135"/>
      <c r="W169" s="135"/>
      <c r="X169" s="135"/>
      <c r="Y169" s="135"/>
      <c r="AA169" s="136"/>
      <c r="AF169" s="165"/>
      <c r="AG169" s="165"/>
      <c r="AH169" s="165"/>
      <c r="AJ169" s="165" t="s">
        <v>524</v>
      </c>
      <c r="AK169" s="165" t="s">
        <v>95</v>
      </c>
      <c r="AL169" s="165" t="s">
        <v>513</v>
      </c>
      <c r="AM169" s="166" t="s">
        <v>52</v>
      </c>
      <c r="AN169" s="167">
        <v>5.77</v>
      </c>
      <c r="AO169" s="167">
        <v>2.56</v>
      </c>
      <c r="AP169" s="167">
        <v>48</v>
      </c>
      <c r="AQ169" s="167" t="s">
        <v>52</v>
      </c>
      <c r="AR169" s="167" t="s">
        <v>52</v>
      </c>
      <c r="AS169" s="167" t="s">
        <v>52</v>
      </c>
      <c r="AT169" s="203" t="s">
        <v>52</v>
      </c>
      <c r="AU169" s="203" t="s">
        <v>52</v>
      </c>
      <c r="AV169" s="203" t="s">
        <v>52</v>
      </c>
      <c r="AW169" s="203" t="s">
        <v>52</v>
      </c>
      <c r="AX169" s="112"/>
      <c r="AY169" s="112"/>
    </row>
    <row r="170" spans="1:54" s="134" customFormat="1" ht="19" customHeight="1" x14ac:dyDescent="0.2">
      <c r="A170"/>
      <c r="B170"/>
      <c r="C170">
        <v>170</v>
      </c>
      <c r="D170"/>
      <c r="E170" t="str">
        <f>IF(coder1_YH!G170="","",TRUE)</f>
        <v/>
      </c>
      <c r="F170" t="str">
        <f>IF(coder1_YH!P170="","",TRUE)</f>
        <v/>
      </c>
      <c r="G170" s="133"/>
      <c r="H170" s="117"/>
      <c r="I170" s="116"/>
      <c r="J170" s="116"/>
      <c r="K170" s="116"/>
      <c r="L170" s="116"/>
      <c r="M170" s="116"/>
      <c r="N170" s="281"/>
      <c r="O170" s="281" t="str">
        <f t="shared" si="13"/>
        <v/>
      </c>
      <c r="P170" s="112"/>
      <c r="R170" s="362"/>
      <c r="S170" s="135"/>
      <c r="T170" s="135"/>
      <c r="U170" s="135"/>
      <c r="V170" s="135"/>
      <c r="W170" s="135"/>
      <c r="X170" s="135"/>
      <c r="Y170" s="135"/>
      <c r="AA170" s="136"/>
      <c r="AF170" s="165"/>
      <c r="AG170" s="165"/>
      <c r="AH170" s="165"/>
      <c r="AJ170" s="165" t="s">
        <v>525</v>
      </c>
      <c r="AK170" s="165" t="s">
        <v>95</v>
      </c>
      <c r="AL170" s="165" t="s">
        <v>513</v>
      </c>
      <c r="AM170" s="166" t="s">
        <v>52</v>
      </c>
      <c r="AN170" s="167">
        <v>2.87</v>
      </c>
      <c r="AO170" s="167">
        <v>1.2</v>
      </c>
      <c r="AP170" s="167">
        <v>48</v>
      </c>
      <c r="AQ170" s="167" t="s">
        <v>52</v>
      </c>
      <c r="AR170" s="167" t="s">
        <v>52</v>
      </c>
      <c r="AS170" s="167" t="s">
        <v>52</v>
      </c>
      <c r="AT170" s="203" t="s">
        <v>52</v>
      </c>
      <c r="AU170" s="203" t="s">
        <v>52</v>
      </c>
      <c r="AV170" s="203" t="s">
        <v>52</v>
      </c>
      <c r="AW170" s="203" t="s">
        <v>52</v>
      </c>
      <c r="AX170" s="112"/>
      <c r="AY170" s="112"/>
    </row>
    <row r="171" spans="1:54" s="134" customFormat="1" ht="19" customHeight="1" x14ac:dyDescent="0.2">
      <c r="A171"/>
      <c r="B171"/>
      <c r="C171">
        <v>171</v>
      </c>
      <c r="D171"/>
      <c r="E171" t="str">
        <f>IF(coder1_YH!G171="","",TRUE)</f>
        <v/>
      </c>
      <c r="F171" t="b">
        <f>IF(coder1_YH!P171="","",TRUE)</f>
        <v>1</v>
      </c>
      <c r="G171" s="319"/>
      <c r="H171" s="117"/>
      <c r="I171" s="116"/>
      <c r="J171" s="116"/>
      <c r="K171" s="116"/>
      <c r="L171" s="116"/>
      <c r="M171" s="116"/>
      <c r="N171" s="281" t="s">
        <v>914</v>
      </c>
      <c r="O171" s="281" t="s">
        <v>914</v>
      </c>
      <c r="P171" s="112" t="s">
        <v>924</v>
      </c>
      <c r="Q171" s="134" t="s">
        <v>526</v>
      </c>
      <c r="R171" s="362">
        <v>3</v>
      </c>
      <c r="S171" s="135">
        <v>8.5</v>
      </c>
      <c r="T171" s="135">
        <v>1</v>
      </c>
      <c r="U171" s="135" t="s">
        <v>52</v>
      </c>
      <c r="V171" s="135" t="s">
        <v>52</v>
      </c>
      <c r="W171" s="135" t="s">
        <v>52</v>
      </c>
      <c r="X171" s="135">
        <v>0.5</v>
      </c>
      <c r="Y171" s="135">
        <v>0.78</v>
      </c>
      <c r="Z171" s="134" t="s">
        <v>92</v>
      </c>
      <c r="AA171" s="136" t="s">
        <v>527</v>
      </c>
      <c r="AB171" s="134" t="s">
        <v>464</v>
      </c>
      <c r="AC171" s="134" t="s">
        <v>153</v>
      </c>
      <c r="AD171" s="134" t="s">
        <v>78</v>
      </c>
      <c r="AE171" s="134" t="s">
        <v>58</v>
      </c>
      <c r="AF171" s="134" t="s">
        <v>78</v>
      </c>
      <c r="AG171" s="134" t="s">
        <v>78</v>
      </c>
      <c r="AH171" s="134" t="s">
        <v>78</v>
      </c>
      <c r="AI171" s="134" t="s">
        <v>78</v>
      </c>
      <c r="AJ171" s="134" t="s">
        <v>520</v>
      </c>
      <c r="AK171" s="134" t="s">
        <v>95</v>
      </c>
      <c r="AL171" s="134" t="s">
        <v>528</v>
      </c>
      <c r="AM171" s="154" t="s">
        <v>52</v>
      </c>
      <c r="AN171" s="112" t="s">
        <v>52</v>
      </c>
      <c r="AO171" s="112" t="s">
        <v>52</v>
      </c>
      <c r="AP171" s="112" t="s">
        <v>52</v>
      </c>
      <c r="AQ171" s="112">
        <v>13.73</v>
      </c>
      <c r="AR171" s="112">
        <v>2.4500000000000002</v>
      </c>
      <c r="AS171" s="112">
        <v>42</v>
      </c>
      <c r="AT171" s="203" t="s">
        <v>52</v>
      </c>
      <c r="AU171" s="203" t="s">
        <v>52</v>
      </c>
      <c r="AV171" s="203" t="s">
        <v>52</v>
      </c>
      <c r="AW171" s="203" t="s">
        <v>52</v>
      </c>
      <c r="AX171" s="112"/>
      <c r="AY171" s="112"/>
    </row>
    <row r="172" spans="1:54" s="134" customFormat="1" ht="19" customHeight="1" x14ac:dyDescent="0.2">
      <c r="A172"/>
      <c r="B172"/>
      <c r="C172">
        <v>172</v>
      </c>
      <c r="D172"/>
      <c r="E172" t="str">
        <f>IF(coder1_YH!G172="","",TRUE)</f>
        <v/>
      </c>
      <c r="F172" t="str">
        <f>IF(coder1_YH!P172="","",TRUE)</f>
        <v/>
      </c>
      <c r="G172" s="319"/>
      <c r="H172" s="117"/>
      <c r="I172" s="116"/>
      <c r="J172" s="116"/>
      <c r="K172" s="116"/>
      <c r="L172" s="116"/>
      <c r="M172" s="116"/>
      <c r="N172" s="281"/>
      <c r="O172" s="281" t="str">
        <f t="shared" si="13"/>
        <v/>
      </c>
      <c r="P172" s="112"/>
      <c r="R172" s="362"/>
      <c r="S172" s="135"/>
      <c r="T172" s="135"/>
      <c r="U172" s="135"/>
      <c r="V172" s="135"/>
      <c r="W172" s="135"/>
      <c r="X172" s="135"/>
      <c r="Y172" s="135"/>
      <c r="AA172" s="136"/>
      <c r="AF172" s="165"/>
      <c r="AG172" s="165"/>
      <c r="AH172" s="165"/>
      <c r="AJ172" s="134" t="s">
        <v>522</v>
      </c>
      <c r="AK172" s="134" t="s">
        <v>95</v>
      </c>
      <c r="AL172" s="134" t="s">
        <v>528</v>
      </c>
      <c r="AM172" s="154" t="s">
        <v>52</v>
      </c>
      <c r="AN172" s="112" t="s">
        <v>52</v>
      </c>
      <c r="AO172" s="112" t="s">
        <v>52</v>
      </c>
      <c r="AP172" s="112" t="s">
        <v>52</v>
      </c>
      <c r="AQ172" s="112">
        <v>6.46</v>
      </c>
      <c r="AR172" s="112">
        <v>1.41</v>
      </c>
      <c r="AS172" s="112">
        <v>42</v>
      </c>
      <c r="AT172" s="203" t="s">
        <v>52</v>
      </c>
      <c r="AU172" s="203" t="s">
        <v>52</v>
      </c>
      <c r="AV172" s="203" t="s">
        <v>52</v>
      </c>
      <c r="AW172" s="203" t="s">
        <v>52</v>
      </c>
      <c r="AX172" s="112"/>
      <c r="AY172" s="112"/>
    </row>
    <row r="173" spans="1:54" s="134" customFormat="1" ht="19" customHeight="1" x14ac:dyDescent="0.2">
      <c r="A173"/>
      <c r="B173"/>
      <c r="C173">
        <v>173</v>
      </c>
      <c r="D173"/>
      <c r="E173" t="str">
        <f>IF(coder1_YH!G173="","",TRUE)</f>
        <v/>
      </c>
      <c r="F173" t="str">
        <f>IF(coder1_YH!P173="","",TRUE)</f>
        <v/>
      </c>
      <c r="G173" s="319"/>
      <c r="H173" s="117"/>
      <c r="I173" s="116"/>
      <c r="J173" s="116"/>
      <c r="K173" s="116"/>
      <c r="L173" s="116"/>
      <c r="M173" s="116"/>
      <c r="N173" s="281"/>
      <c r="O173" s="281" t="str">
        <f t="shared" si="13"/>
        <v/>
      </c>
      <c r="P173" s="112"/>
      <c r="R173" s="362"/>
      <c r="S173" s="135"/>
      <c r="T173" s="135"/>
      <c r="U173" s="135"/>
      <c r="V173" s="135"/>
      <c r="W173" s="135"/>
      <c r="X173" s="135"/>
      <c r="Y173" s="135"/>
      <c r="AA173" s="136"/>
      <c r="AF173" s="165"/>
      <c r="AG173" s="165"/>
      <c r="AH173" s="165"/>
      <c r="AJ173" s="134" t="s">
        <v>523</v>
      </c>
      <c r="AK173" s="134" t="s">
        <v>95</v>
      </c>
      <c r="AL173" s="134" t="s">
        <v>528</v>
      </c>
      <c r="AM173" s="154" t="s">
        <v>52</v>
      </c>
      <c r="AN173" s="112" t="s">
        <v>52</v>
      </c>
      <c r="AO173" s="112" t="s">
        <v>52</v>
      </c>
      <c r="AP173" s="112" t="s">
        <v>52</v>
      </c>
      <c r="AQ173" s="112">
        <v>7.02</v>
      </c>
      <c r="AR173" s="112">
        <v>1.87</v>
      </c>
      <c r="AS173" s="112">
        <v>42</v>
      </c>
      <c r="AT173" s="203" t="s">
        <v>52</v>
      </c>
      <c r="AU173" s="203" t="s">
        <v>52</v>
      </c>
      <c r="AV173" s="203" t="s">
        <v>52</v>
      </c>
      <c r="AW173" s="203" t="s">
        <v>52</v>
      </c>
      <c r="AX173" s="112"/>
      <c r="AY173" s="112"/>
    </row>
    <row r="174" spans="1:54" s="134" customFormat="1" ht="19" customHeight="1" x14ac:dyDescent="0.2">
      <c r="A174"/>
      <c r="B174"/>
      <c r="C174">
        <v>174</v>
      </c>
      <c r="D174"/>
      <c r="E174" t="str">
        <f>IF(coder1_YH!G174="","",TRUE)</f>
        <v/>
      </c>
      <c r="F174" t="str">
        <f>IF(coder1_YH!P174="","",TRUE)</f>
        <v/>
      </c>
      <c r="G174" s="319"/>
      <c r="H174" s="117"/>
      <c r="I174" s="116"/>
      <c r="J174" s="116"/>
      <c r="K174" s="116"/>
      <c r="L174" s="116"/>
      <c r="M174" s="116"/>
      <c r="N174" s="281"/>
      <c r="O174" s="281" t="str">
        <f t="shared" si="13"/>
        <v/>
      </c>
      <c r="P174" s="112"/>
      <c r="R174" s="362"/>
      <c r="S174" s="135"/>
      <c r="T174" s="135"/>
      <c r="U174" s="135"/>
      <c r="V174" s="135"/>
      <c r="W174" s="135"/>
      <c r="X174" s="135"/>
      <c r="Y174" s="135"/>
      <c r="AA174" s="136"/>
      <c r="AF174" s="165"/>
      <c r="AG174" s="165"/>
      <c r="AH174" s="165"/>
      <c r="AJ174" s="165" t="s">
        <v>524</v>
      </c>
      <c r="AK174" s="165" t="s">
        <v>95</v>
      </c>
      <c r="AL174" s="165" t="s">
        <v>513</v>
      </c>
      <c r="AM174" s="166" t="s">
        <v>52</v>
      </c>
      <c r="AN174" s="167">
        <v>6.51</v>
      </c>
      <c r="AO174" s="167">
        <v>2.6</v>
      </c>
      <c r="AP174" s="167">
        <v>42</v>
      </c>
      <c r="AQ174" s="167" t="s">
        <v>52</v>
      </c>
      <c r="AR174" s="167" t="s">
        <v>52</v>
      </c>
      <c r="AS174" s="167" t="s">
        <v>52</v>
      </c>
      <c r="AT174" s="203" t="s">
        <v>52</v>
      </c>
      <c r="AU174" s="203" t="s">
        <v>52</v>
      </c>
      <c r="AV174" s="203" t="s">
        <v>52</v>
      </c>
      <c r="AW174" s="203" t="s">
        <v>52</v>
      </c>
      <c r="AX174" s="112"/>
      <c r="AY174" s="112"/>
    </row>
    <row r="175" spans="1:54" s="134" customFormat="1" ht="19" customHeight="1" x14ac:dyDescent="0.2">
      <c r="A175"/>
      <c r="B175"/>
      <c r="C175">
        <v>175</v>
      </c>
      <c r="D175"/>
      <c r="E175" t="str">
        <f>IF(coder1_YH!G175="","",TRUE)</f>
        <v/>
      </c>
      <c r="F175" t="str">
        <f>IF(coder1_YH!P175="","",TRUE)</f>
        <v/>
      </c>
      <c r="G175" s="319"/>
      <c r="H175" s="117"/>
      <c r="I175" s="116"/>
      <c r="J175" s="116"/>
      <c r="K175" s="116"/>
      <c r="L175" s="116"/>
      <c r="M175" s="116"/>
      <c r="N175" s="281"/>
      <c r="O175" s="281" t="str">
        <f t="shared" si="13"/>
        <v/>
      </c>
      <c r="P175" s="112"/>
      <c r="R175" s="362"/>
      <c r="S175" s="135"/>
      <c r="T175" s="135"/>
      <c r="U175" s="135"/>
      <c r="V175" s="135"/>
      <c r="W175" s="135"/>
      <c r="X175" s="135"/>
      <c r="Y175" s="135"/>
      <c r="AA175" s="136"/>
      <c r="AF175" s="165"/>
      <c r="AG175" s="165"/>
      <c r="AH175" s="165"/>
      <c r="AJ175" s="165" t="s">
        <v>525</v>
      </c>
      <c r="AK175" s="165" t="s">
        <v>95</v>
      </c>
      <c r="AL175" s="165" t="s">
        <v>513</v>
      </c>
      <c r="AM175" s="166" t="s">
        <v>52</v>
      </c>
      <c r="AN175" s="167">
        <v>3.23</v>
      </c>
      <c r="AO175" s="167">
        <v>1.49</v>
      </c>
      <c r="AP175" s="167">
        <v>42</v>
      </c>
      <c r="AQ175" s="167" t="s">
        <v>52</v>
      </c>
      <c r="AR175" s="167" t="s">
        <v>52</v>
      </c>
      <c r="AS175" s="167" t="s">
        <v>52</v>
      </c>
      <c r="AT175" s="203" t="s">
        <v>52</v>
      </c>
      <c r="AU175" s="203" t="s">
        <v>52</v>
      </c>
      <c r="AV175" s="203" t="s">
        <v>52</v>
      </c>
      <c r="AW175" s="203" t="s">
        <v>52</v>
      </c>
      <c r="AX175" s="112"/>
      <c r="AY175" s="112"/>
    </row>
    <row r="176" spans="1:54" s="134" customFormat="1" ht="19" customHeight="1" x14ac:dyDescent="0.2">
      <c r="A176"/>
      <c r="B176"/>
      <c r="C176">
        <v>176</v>
      </c>
      <c r="D176"/>
      <c r="E176" t="b">
        <f>IF(coder1_YH!G176="","",TRUE)</f>
        <v>1</v>
      </c>
      <c r="F176" t="b">
        <f>IF(coder1_YH!P176="","",TRUE)</f>
        <v>1</v>
      </c>
      <c r="G176" s="133" t="s">
        <v>517</v>
      </c>
      <c r="H176" s="117">
        <v>129.19999999999999</v>
      </c>
      <c r="I176" s="116" t="s">
        <v>47</v>
      </c>
      <c r="J176" s="88" t="s">
        <v>452</v>
      </c>
      <c r="K176" s="116" t="s">
        <v>66</v>
      </c>
      <c r="L176" s="116" t="s">
        <v>49</v>
      </c>
      <c r="M176" s="116" t="s">
        <v>238</v>
      </c>
      <c r="N176" s="281" t="s">
        <v>915</v>
      </c>
      <c r="O176" s="281" t="str">
        <f t="shared" si="13"/>
        <v xml:space="preserve">m </v>
      </c>
      <c r="P176" s="112">
        <v>1</v>
      </c>
      <c r="Q176" s="134" t="s">
        <v>529</v>
      </c>
      <c r="R176" s="362">
        <v>5</v>
      </c>
      <c r="S176" s="135">
        <v>10.5</v>
      </c>
      <c r="T176" s="135">
        <v>1</v>
      </c>
      <c r="U176" s="135" t="s">
        <v>52</v>
      </c>
      <c r="V176" s="135" t="s">
        <v>52</v>
      </c>
      <c r="W176" s="135" t="s">
        <v>52</v>
      </c>
      <c r="X176" s="135">
        <v>0.5</v>
      </c>
      <c r="Y176" s="135">
        <v>0.78</v>
      </c>
      <c r="Z176" s="134" t="s">
        <v>92</v>
      </c>
      <c r="AA176" s="136" t="s">
        <v>519</v>
      </c>
      <c r="AB176" s="134" t="s">
        <v>456</v>
      </c>
      <c r="AC176" s="134" t="s">
        <v>153</v>
      </c>
      <c r="AD176" s="60" t="s">
        <v>457</v>
      </c>
      <c r="AE176" s="134" t="s">
        <v>58</v>
      </c>
      <c r="AF176" s="165">
        <v>7650</v>
      </c>
      <c r="AG176" s="165">
        <v>85</v>
      </c>
      <c r="AH176" s="165">
        <v>90</v>
      </c>
      <c r="AI176" s="134" t="s">
        <v>59</v>
      </c>
      <c r="AJ176" s="134" t="s">
        <v>520</v>
      </c>
      <c r="AK176" s="134" t="s">
        <v>95</v>
      </c>
      <c r="AL176" s="60" t="s">
        <v>513</v>
      </c>
      <c r="AM176" s="154" t="s">
        <v>52</v>
      </c>
      <c r="AN176" s="112" t="s">
        <v>52</v>
      </c>
      <c r="AO176" s="112" t="s">
        <v>52</v>
      </c>
      <c r="AP176" s="112" t="s">
        <v>52</v>
      </c>
      <c r="AQ176" s="112">
        <v>14.61</v>
      </c>
      <c r="AR176" s="112">
        <v>2.67</v>
      </c>
      <c r="AS176" s="112">
        <v>40</v>
      </c>
      <c r="AT176" s="203" t="s">
        <v>52</v>
      </c>
      <c r="AU176" s="203" t="s">
        <v>52</v>
      </c>
      <c r="AV176" s="203" t="s">
        <v>52</v>
      </c>
      <c r="AW176" s="203" t="s">
        <v>52</v>
      </c>
      <c r="AX176" s="112"/>
      <c r="AY176" s="112"/>
    </row>
    <row r="177" spans="1:54" s="134" customFormat="1" ht="19" customHeight="1" x14ac:dyDescent="0.2">
      <c r="A177"/>
      <c r="B177"/>
      <c r="C177">
        <v>177</v>
      </c>
      <c r="D177"/>
      <c r="E177" t="str">
        <f>IF(coder1_YH!G177="","",TRUE)</f>
        <v/>
      </c>
      <c r="F177" t="str">
        <f>IF(coder1_YH!P177="","",TRUE)</f>
        <v/>
      </c>
      <c r="G177" s="133"/>
      <c r="H177" s="117"/>
      <c r="I177" s="116"/>
      <c r="J177" s="116"/>
      <c r="K177" s="116"/>
      <c r="L177" s="116"/>
      <c r="M177" s="116"/>
      <c r="N177" s="281"/>
      <c r="O177" s="281" t="str">
        <f t="shared" si="13"/>
        <v/>
      </c>
      <c r="P177" s="112"/>
      <c r="R177" s="362"/>
      <c r="S177" s="135"/>
      <c r="T177" s="135"/>
      <c r="U177" s="135"/>
      <c r="V177" s="135"/>
      <c r="W177" s="135"/>
      <c r="X177" s="135"/>
      <c r="Y177" s="135"/>
      <c r="AA177" s="136"/>
      <c r="AF177" s="165"/>
      <c r="AG177" s="165"/>
      <c r="AH177" s="165"/>
      <c r="AJ177" s="134" t="s">
        <v>522</v>
      </c>
      <c r="AK177" s="134" t="s">
        <v>95</v>
      </c>
      <c r="AL177" s="60" t="s">
        <v>513</v>
      </c>
      <c r="AM177" s="154" t="s">
        <v>52</v>
      </c>
      <c r="AN177" s="112" t="s">
        <v>52</v>
      </c>
      <c r="AO177" s="112" t="s">
        <v>52</v>
      </c>
      <c r="AP177" s="112" t="s">
        <v>52</v>
      </c>
      <c r="AQ177" s="112">
        <v>5.9</v>
      </c>
      <c r="AR177" s="112">
        <v>1.61</v>
      </c>
      <c r="AS177" s="112">
        <v>40</v>
      </c>
      <c r="AT177" s="203" t="s">
        <v>52</v>
      </c>
      <c r="AU177" s="203" t="s">
        <v>52</v>
      </c>
      <c r="AV177" s="203" t="s">
        <v>52</v>
      </c>
      <c r="AW177" s="203" t="s">
        <v>52</v>
      </c>
      <c r="AX177" s="112"/>
      <c r="AY177" s="112"/>
    </row>
    <row r="178" spans="1:54" s="134" customFormat="1" ht="19" customHeight="1" x14ac:dyDescent="0.2">
      <c r="A178"/>
      <c r="B178"/>
      <c r="C178">
        <v>178</v>
      </c>
      <c r="D178"/>
      <c r="E178" t="str">
        <f>IF(coder1_YH!G178="","",TRUE)</f>
        <v/>
      </c>
      <c r="F178" t="str">
        <f>IF(coder1_YH!P178="","",TRUE)</f>
        <v/>
      </c>
      <c r="G178" s="133"/>
      <c r="H178" s="117"/>
      <c r="I178" s="116"/>
      <c r="J178" s="116"/>
      <c r="K178" s="116"/>
      <c r="L178" s="116"/>
      <c r="M178" s="116"/>
      <c r="N178" s="281"/>
      <c r="O178" s="281" t="str">
        <f t="shared" si="13"/>
        <v/>
      </c>
      <c r="P178" s="112"/>
      <c r="R178" s="362"/>
      <c r="S178" s="135"/>
      <c r="T178" s="135"/>
      <c r="U178" s="135"/>
      <c r="V178" s="135"/>
      <c r="W178" s="135"/>
      <c r="X178" s="135"/>
      <c r="Y178" s="135"/>
      <c r="AA178" s="136"/>
      <c r="AF178" s="165"/>
      <c r="AG178" s="165"/>
      <c r="AH178" s="165"/>
      <c r="AJ178" s="134" t="s">
        <v>523</v>
      </c>
      <c r="AK178" s="134" t="s">
        <v>95</v>
      </c>
      <c r="AL178" s="60" t="s">
        <v>513</v>
      </c>
      <c r="AM178" s="154" t="s">
        <v>52</v>
      </c>
      <c r="AN178" s="112" t="s">
        <v>52</v>
      </c>
      <c r="AO178" s="112" t="s">
        <v>52</v>
      </c>
      <c r="AP178" s="112" t="s">
        <v>52</v>
      </c>
      <c r="AQ178" s="112">
        <v>8.7100000000000009</v>
      </c>
      <c r="AR178" s="112">
        <v>1.47</v>
      </c>
      <c r="AS178" s="112">
        <v>40</v>
      </c>
      <c r="AT178" s="203" t="s">
        <v>52</v>
      </c>
      <c r="AU178" s="203" t="s">
        <v>52</v>
      </c>
      <c r="AV178" s="203" t="s">
        <v>52</v>
      </c>
      <c r="AW178" s="203" t="s">
        <v>52</v>
      </c>
      <c r="AX178" s="112"/>
      <c r="AY178" s="112"/>
    </row>
    <row r="179" spans="1:54" s="134" customFormat="1" ht="19" customHeight="1" x14ac:dyDescent="0.2">
      <c r="A179"/>
      <c r="B179"/>
      <c r="C179">
        <v>179</v>
      </c>
      <c r="D179"/>
      <c r="E179" t="str">
        <f>IF(coder1_YH!G179="","",TRUE)</f>
        <v/>
      </c>
      <c r="F179" t="str">
        <f>IF(coder1_YH!P179="","",TRUE)</f>
        <v/>
      </c>
      <c r="G179" s="133"/>
      <c r="H179" s="117"/>
      <c r="I179" s="116"/>
      <c r="J179" s="116"/>
      <c r="K179" s="116"/>
      <c r="L179" s="116"/>
      <c r="M179" s="116"/>
      <c r="N179" s="281"/>
      <c r="O179" s="281" t="str">
        <f t="shared" si="13"/>
        <v/>
      </c>
      <c r="P179" s="112"/>
      <c r="R179" s="362"/>
      <c r="S179" s="135"/>
      <c r="T179" s="135"/>
      <c r="U179" s="135"/>
      <c r="V179" s="135"/>
      <c r="W179" s="135"/>
      <c r="X179" s="135"/>
      <c r="Y179" s="135"/>
      <c r="AA179" s="136"/>
      <c r="AF179" s="165"/>
      <c r="AG179" s="165"/>
      <c r="AH179" s="165"/>
      <c r="AJ179" s="165" t="s">
        <v>524</v>
      </c>
      <c r="AK179" s="165" t="s">
        <v>95</v>
      </c>
      <c r="AL179" s="165" t="s">
        <v>513</v>
      </c>
      <c r="AM179" s="166" t="s">
        <v>52</v>
      </c>
      <c r="AN179" s="167">
        <v>7.06</v>
      </c>
      <c r="AO179" s="167">
        <v>2.56</v>
      </c>
      <c r="AP179" s="167">
        <v>40</v>
      </c>
      <c r="AQ179" s="167" t="s">
        <v>52</v>
      </c>
      <c r="AR179" s="167" t="s">
        <v>52</v>
      </c>
      <c r="AS179" s="167" t="s">
        <v>52</v>
      </c>
      <c r="AT179" s="203" t="s">
        <v>52</v>
      </c>
      <c r="AU179" s="203" t="s">
        <v>52</v>
      </c>
      <c r="AV179" s="203" t="s">
        <v>52</v>
      </c>
      <c r="AW179" s="203" t="s">
        <v>52</v>
      </c>
      <c r="AX179" s="112"/>
      <c r="AY179" s="112"/>
    </row>
    <row r="180" spans="1:54" s="134" customFormat="1" ht="19" customHeight="1" x14ac:dyDescent="0.2">
      <c r="A180"/>
      <c r="B180"/>
      <c r="C180">
        <v>180</v>
      </c>
      <c r="D180"/>
      <c r="E180" t="str">
        <f>IF(coder1_YH!G180="","",TRUE)</f>
        <v/>
      </c>
      <c r="F180" t="str">
        <f>IF(coder1_YH!P180="","",TRUE)</f>
        <v/>
      </c>
      <c r="G180" s="133"/>
      <c r="H180" s="117"/>
      <c r="I180" s="116"/>
      <c r="J180" s="116"/>
      <c r="K180" s="116"/>
      <c r="L180" s="116"/>
      <c r="M180" s="116"/>
      <c r="N180" s="281"/>
      <c r="O180" s="281" t="str">
        <f t="shared" si="13"/>
        <v/>
      </c>
      <c r="P180" s="112"/>
      <c r="R180" s="362"/>
      <c r="S180" s="135"/>
      <c r="T180" s="135"/>
      <c r="U180" s="135"/>
      <c r="V180" s="135"/>
      <c r="W180" s="135"/>
      <c r="X180" s="135"/>
      <c r="Y180" s="135"/>
      <c r="AA180" s="136"/>
      <c r="AF180" s="165"/>
      <c r="AG180" s="165"/>
      <c r="AH180" s="165"/>
      <c r="AJ180" s="165" t="s">
        <v>525</v>
      </c>
      <c r="AK180" s="165" t="s">
        <v>95</v>
      </c>
      <c r="AL180" s="165" t="s">
        <v>513</v>
      </c>
      <c r="AM180" s="166" t="s">
        <v>52</v>
      </c>
      <c r="AN180" s="167">
        <v>3.31</v>
      </c>
      <c r="AO180" s="167">
        <v>1.49</v>
      </c>
      <c r="AP180" s="167">
        <v>40</v>
      </c>
      <c r="AQ180" s="167" t="s">
        <v>52</v>
      </c>
      <c r="AR180" s="167" t="s">
        <v>52</v>
      </c>
      <c r="AS180" s="167" t="s">
        <v>52</v>
      </c>
      <c r="AT180" s="203" t="s">
        <v>52</v>
      </c>
      <c r="AU180" s="203" t="s">
        <v>52</v>
      </c>
      <c r="AV180" s="203" t="s">
        <v>52</v>
      </c>
      <c r="AW180" s="203" t="s">
        <v>52</v>
      </c>
      <c r="AX180" s="112"/>
      <c r="AY180" s="112"/>
      <c r="AZ180"/>
      <c r="BB180" s="134" t="s">
        <v>530</v>
      </c>
    </row>
    <row r="181" spans="1:54" s="134" customFormat="1" ht="19" customHeight="1" x14ac:dyDescent="0.2">
      <c r="A181"/>
      <c r="B181"/>
      <c r="C181">
        <v>181</v>
      </c>
      <c r="D181"/>
      <c r="E181" t="str">
        <f>IF(coder1_YH!G181="","",TRUE)</f>
        <v/>
      </c>
      <c r="F181" t="b">
        <f>IF(coder1_YH!P181="","",TRUE)</f>
        <v>1</v>
      </c>
      <c r="G181" s="133"/>
      <c r="H181" s="117"/>
      <c r="I181" s="116"/>
      <c r="J181" s="116"/>
      <c r="K181" s="116"/>
      <c r="L181" s="116"/>
      <c r="M181" s="116"/>
      <c r="N181" s="281" t="s">
        <v>914</v>
      </c>
      <c r="O181" s="281" t="s">
        <v>914</v>
      </c>
      <c r="P181" s="112" t="s">
        <v>924</v>
      </c>
      <c r="Q181" s="134" t="s">
        <v>531</v>
      </c>
      <c r="R181" s="362">
        <v>5</v>
      </c>
      <c r="S181" s="135">
        <v>10.5</v>
      </c>
      <c r="T181" s="135">
        <v>1</v>
      </c>
      <c r="U181" s="135" t="s">
        <v>52</v>
      </c>
      <c r="V181" s="135" t="s">
        <v>52</v>
      </c>
      <c r="W181" s="135" t="s">
        <v>52</v>
      </c>
      <c r="X181" s="135">
        <v>0.5</v>
      </c>
      <c r="Y181" s="135">
        <v>0.78</v>
      </c>
      <c r="Z181" s="134" t="s">
        <v>92</v>
      </c>
      <c r="AA181" s="136" t="s">
        <v>527</v>
      </c>
      <c r="AB181" s="134" t="s">
        <v>464</v>
      </c>
      <c r="AC181" s="134" t="s">
        <v>153</v>
      </c>
      <c r="AD181" s="134" t="s">
        <v>78</v>
      </c>
      <c r="AE181" s="134" t="s">
        <v>58</v>
      </c>
      <c r="AF181" s="134" t="s">
        <v>78</v>
      </c>
      <c r="AG181" s="134" t="s">
        <v>78</v>
      </c>
      <c r="AH181" s="134" t="s">
        <v>78</v>
      </c>
      <c r="AI181" s="134" t="s">
        <v>78</v>
      </c>
      <c r="AJ181" s="134" t="s">
        <v>520</v>
      </c>
      <c r="AK181" s="134" t="s">
        <v>95</v>
      </c>
      <c r="AL181" s="134" t="s">
        <v>528</v>
      </c>
      <c r="AM181" s="154" t="s">
        <v>52</v>
      </c>
      <c r="AN181" s="112" t="s">
        <v>52</v>
      </c>
      <c r="AO181" s="112" t="s">
        <v>52</v>
      </c>
      <c r="AP181" s="112" t="s">
        <v>52</v>
      </c>
      <c r="AQ181" s="112">
        <v>13.61</v>
      </c>
      <c r="AR181" s="112">
        <v>1.98</v>
      </c>
      <c r="AS181" s="112">
        <v>42</v>
      </c>
      <c r="AT181" s="203" t="s">
        <v>52</v>
      </c>
      <c r="AU181" s="203" t="s">
        <v>52</v>
      </c>
      <c r="AV181" s="203" t="s">
        <v>52</v>
      </c>
      <c r="AW181" s="203" t="s">
        <v>52</v>
      </c>
      <c r="AX181" s="112"/>
      <c r="AY181" s="112"/>
    </row>
    <row r="182" spans="1:54" s="134" customFormat="1" ht="19" customHeight="1" x14ac:dyDescent="0.2">
      <c r="A182"/>
      <c r="B182"/>
      <c r="C182">
        <v>182</v>
      </c>
      <c r="D182"/>
      <c r="E182" t="str">
        <f>IF(coder1_YH!G182="","",TRUE)</f>
        <v/>
      </c>
      <c r="F182" t="str">
        <f>IF(coder1_YH!P182="","",TRUE)</f>
        <v/>
      </c>
      <c r="G182" s="133"/>
      <c r="H182" s="117"/>
      <c r="I182" s="116"/>
      <c r="J182" s="116"/>
      <c r="K182" s="116"/>
      <c r="L182" s="116"/>
      <c r="M182" s="116"/>
      <c r="N182" s="281"/>
      <c r="O182" s="281" t="str">
        <f t="shared" si="13"/>
        <v/>
      </c>
      <c r="P182" s="112"/>
      <c r="R182" s="362"/>
      <c r="S182" s="135"/>
      <c r="T182" s="135"/>
      <c r="U182" s="135"/>
      <c r="V182" s="135"/>
      <c r="W182" s="135"/>
      <c r="X182" s="135"/>
      <c r="Y182" s="135"/>
      <c r="AA182" s="136"/>
      <c r="AJ182" s="134" t="s">
        <v>522</v>
      </c>
      <c r="AK182" s="134" t="s">
        <v>95</v>
      </c>
      <c r="AL182" s="134" t="s">
        <v>528</v>
      </c>
      <c r="AM182" s="154" t="s">
        <v>52</v>
      </c>
      <c r="AN182" s="112" t="s">
        <v>52</v>
      </c>
      <c r="AO182" s="112" t="s">
        <v>52</v>
      </c>
      <c r="AP182" s="112" t="s">
        <v>52</v>
      </c>
      <c r="AQ182" s="112">
        <v>4.67</v>
      </c>
      <c r="AR182" s="112">
        <v>1.44</v>
      </c>
      <c r="AS182" s="112">
        <v>42</v>
      </c>
      <c r="AT182" s="203" t="s">
        <v>52</v>
      </c>
      <c r="AU182" s="203" t="s">
        <v>52</v>
      </c>
      <c r="AV182" s="203" t="s">
        <v>52</v>
      </c>
      <c r="AW182" s="203" t="s">
        <v>52</v>
      </c>
      <c r="AX182" s="112"/>
      <c r="AY182" s="112"/>
    </row>
    <row r="183" spans="1:54" s="134" customFormat="1" ht="19" customHeight="1" x14ac:dyDescent="0.2">
      <c r="A183"/>
      <c r="B183"/>
      <c r="C183">
        <v>183</v>
      </c>
      <c r="D183"/>
      <c r="E183" t="str">
        <f>IF(coder1_YH!G183="","",TRUE)</f>
        <v/>
      </c>
      <c r="F183" t="str">
        <f>IF(coder1_YH!P183="","",TRUE)</f>
        <v/>
      </c>
      <c r="G183" s="133"/>
      <c r="H183" s="117"/>
      <c r="I183" s="116"/>
      <c r="J183" s="116"/>
      <c r="K183" s="116"/>
      <c r="L183" s="116"/>
      <c r="M183" s="116"/>
      <c r="N183" s="281"/>
      <c r="O183" s="281" t="str">
        <f t="shared" si="13"/>
        <v/>
      </c>
      <c r="P183" s="112"/>
      <c r="R183" s="362"/>
      <c r="S183" s="135"/>
      <c r="T183" s="135"/>
      <c r="U183" s="135"/>
      <c r="V183" s="135"/>
      <c r="W183" s="135"/>
      <c r="X183" s="135"/>
      <c r="Y183" s="135"/>
      <c r="AA183" s="136"/>
      <c r="AJ183" s="134" t="s">
        <v>523</v>
      </c>
      <c r="AK183" s="134" t="s">
        <v>95</v>
      </c>
      <c r="AL183" s="134" t="s">
        <v>528</v>
      </c>
      <c r="AM183" s="154" t="s">
        <v>52</v>
      </c>
      <c r="AN183" s="112" t="s">
        <v>52</v>
      </c>
      <c r="AO183" s="112" t="s">
        <v>52</v>
      </c>
      <c r="AP183" s="112" t="s">
        <v>52</v>
      </c>
      <c r="AQ183" s="112">
        <v>8.65</v>
      </c>
      <c r="AR183" s="112">
        <v>1.51</v>
      </c>
      <c r="AS183" s="112">
        <v>42</v>
      </c>
      <c r="AT183" s="203" t="s">
        <v>52</v>
      </c>
      <c r="AU183" s="203" t="s">
        <v>52</v>
      </c>
      <c r="AV183" s="203" t="s">
        <v>52</v>
      </c>
      <c r="AW183" s="203" t="s">
        <v>52</v>
      </c>
      <c r="AX183" s="112"/>
      <c r="AY183" s="112"/>
    </row>
    <row r="184" spans="1:54" s="134" customFormat="1" ht="19" customHeight="1" x14ac:dyDescent="0.2">
      <c r="A184"/>
      <c r="B184"/>
      <c r="C184">
        <v>184</v>
      </c>
      <c r="D184"/>
      <c r="E184" t="str">
        <f>IF(coder1_YH!G184="","",TRUE)</f>
        <v/>
      </c>
      <c r="F184" t="str">
        <f>IF(coder1_YH!P184="","",TRUE)</f>
        <v/>
      </c>
      <c r="G184" s="133"/>
      <c r="H184" s="117"/>
      <c r="I184" s="116"/>
      <c r="J184" s="116"/>
      <c r="K184" s="116"/>
      <c r="L184" s="116"/>
      <c r="M184" s="116"/>
      <c r="N184" s="281"/>
      <c r="O184" s="281" t="str">
        <f t="shared" si="13"/>
        <v/>
      </c>
      <c r="P184" s="112"/>
      <c r="R184" s="362"/>
      <c r="S184" s="135"/>
      <c r="T184" s="135"/>
      <c r="U184" s="135"/>
      <c r="V184" s="135"/>
      <c r="W184" s="135"/>
      <c r="X184" s="135"/>
      <c r="Y184" s="135"/>
      <c r="AA184" s="136"/>
      <c r="AJ184" s="165" t="s">
        <v>524</v>
      </c>
      <c r="AK184" s="165" t="s">
        <v>95</v>
      </c>
      <c r="AL184" s="165" t="s">
        <v>528</v>
      </c>
      <c r="AM184" s="166" t="s">
        <v>52</v>
      </c>
      <c r="AN184" s="167">
        <v>6.65</v>
      </c>
      <c r="AO184" s="167">
        <v>1.87</v>
      </c>
      <c r="AP184" s="167">
        <v>42</v>
      </c>
      <c r="AQ184" s="167" t="s">
        <v>52</v>
      </c>
      <c r="AR184" s="167" t="s">
        <v>52</v>
      </c>
      <c r="AS184" s="167" t="s">
        <v>52</v>
      </c>
      <c r="AT184" s="203" t="s">
        <v>52</v>
      </c>
      <c r="AU184" s="203" t="s">
        <v>52</v>
      </c>
      <c r="AV184" s="203" t="s">
        <v>52</v>
      </c>
      <c r="AW184" s="203" t="s">
        <v>52</v>
      </c>
      <c r="AX184" s="112"/>
      <c r="AY184" s="112"/>
    </row>
    <row r="185" spans="1:54" s="138" customFormat="1" ht="19" customHeight="1" x14ac:dyDescent="0.2">
      <c r="A185"/>
      <c r="B185"/>
      <c r="C185">
        <v>185</v>
      </c>
      <c r="D185"/>
      <c r="E185" t="str">
        <f>IF(coder1_YH!G185="","",TRUE)</f>
        <v/>
      </c>
      <c r="F185" t="str">
        <f>IF(coder1_YH!P185="","",TRUE)</f>
        <v/>
      </c>
      <c r="G185" s="137"/>
      <c r="H185" s="123"/>
      <c r="I185" s="122"/>
      <c r="J185" s="122"/>
      <c r="K185" s="122"/>
      <c r="L185" s="122"/>
      <c r="M185" s="122"/>
      <c r="N185" s="282"/>
      <c r="O185" s="282" t="str">
        <f t="shared" si="13"/>
        <v/>
      </c>
      <c r="P185" s="113"/>
      <c r="R185" s="363"/>
      <c r="S185" s="139"/>
      <c r="T185" s="139"/>
      <c r="U185" s="139"/>
      <c r="V185" s="139"/>
      <c r="W185" s="139"/>
      <c r="X185" s="139"/>
      <c r="Y185" s="139"/>
      <c r="AA185" s="140"/>
      <c r="AJ185" s="168" t="s">
        <v>525</v>
      </c>
      <c r="AK185" s="168" t="s">
        <v>95</v>
      </c>
      <c r="AL185" s="168" t="s">
        <v>528</v>
      </c>
      <c r="AM185" s="169" t="s">
        <v>52</v>
      </c>
      <c r="AN185" s="170">
        <v>3.35</v>
      </c>
      <c r="AO185" s="170">
        <v>0.89</v>
      </c>
      <c r="AP185" s="170">
        <v>42</v>
      </c>
      <c r="AQ185" s="170" t="s">
        <v>52</v>
      </c>
      <c r="AR185" s="170" t="s">
        <v>52</v>
      </c>
      <c r="AS185" s="170" t="s">
        <v>52</v>
      </c>
      <c r="AT185" s="204" t="s">
        <v>52</v>
      </c>
      <c r="AU185" s="204" t="s">
        <v>52</v>
      </c>
      <c r="AV185" s="204" t="s">
        <v>52</v>
      </c>
      <c r="AW185" s="204" t="s">
        <v>52</v>
      </c>
      <c r="AX185" s="113"/>
      <c r="AY185" s="113"/>
    </row>
    <row r="186" spans="1:54" s="60" customFormat="1" ht="19" customHeight="1" x14ac:dyDescent="0.2">
      <c r="A186"/>
      <c r="B186"/>
      <c r="C186">
        <v>186</v>
      </c>
      <c r="D186" t="b">
        <f>E186</f>
        <v>1</v>
      </c>
      <c r="E186" t="b">
        <f>IF(coder1_YH!G186="","",TRUE)</f>
        <v>1</v>
      </c>
      <c r="F186" t="b">
        <f>IF(coder1_YH!P186="","",TRUE)</f>
        <v>1</v>
      </c>
      <c r="G186" s="129" t="s">
        <v>532</v>
      </c>
      <c r="H186" s="130">
        <v>130</v>
      </c>
      <c r="I186" s="88" t="s">
        <v>244</v>
      </c>
      <c r="J186" s="88" t="s">
        <v>533</v>
      </c>
      <c r="K186" s="88" t="s">
        <v>66</v>
      </c>
      <c r="L186" s="88" t="s">
        <v>49</v>
      </c>
      <c r="M186" s="88" t="s">
        <v>50</v>
      </c>
      <c r="N186" s="283" t="s">
        <v>915</v>
      </c>
      <c r="O186" s="283" t="str">
        <f t="shared" si="13"/>
        <v xml:space="preserve">m </v>
      </c>
      <c r="P186" s="112">
        <v>1</v>
      </c>
      <c r="Q186" s="60" t="s">
        <v>197</v>
      </c>
      <c r="R186" s="364">
        <v>7</v>
      </c>
      <c r="S186" s="161">
        <v>13.5833333333333</v>
      </c>
      <c r="T186" s="90" t="s">
        <v>52</v>
      </c>
      <c r="U186" s="90" t="s">
        <v>52</v>
      </c>
      <c r="V186" s="90">
        <v>0.8</v>
      </c>
      <c r="W186" s="90" t="s">
        <v>52</v>
      </c>
      <c r="X186" s="90">
        <v>0.3</v>
      </c>
      <c r="Y186" s="90" t="s">
        <v>52</v>
      </c>
      <c r="Z186" s="60" t="s">
        <v>92</v>
      </c>
      <c r="AA186" s="92" t="s">
        <v>534</v>
      </c>
      <c r="AB186" s="60" t="s">
        <v>456</v>
      </c>
      <c r="AC186" s="60" t="s">
        <v>153</v>
      </c>
      <c r="AD186" s="60" t="s">
        <v>457</v>
      </c>
      <c r="AE186" s="60" t="s">
        <v>72</v>
      </c>
      <c r="AF186" s="60">
        <v>405</v>
      </c>
      <c r="AG186" s="60">
        <v>9</v>
      </c>
      <c r="AH186" s="60">
        <v>45</v>
      </c>
      <c r="AI186" s="60" t="s">
        <v>59</v>
      </c>
      <c r="AJ186" s="60" t="s">
        <v>535</v>
      </c>
      <c r="AK186" s="60" t="s">
        <v>61</v>
      </c>
      <c r="AL186" s="60" t="s">
        <v>536</v>
      </c>
      <c r="AM186" s="146" t="s">
        <v>537</v>
      </c>
      <c r="AN186" s="127">
        <v>12.73</v>
      </c>
      <c r="AO186" s="127">
        <v>4.38</v>
      </c>
      <c r="AP186" s="127">
        <v>40</v>
      </c>
      <c r="AQ186" s="127">
        <v>13.77</v>
      </c>
      <c r="AR186" s="127">
        <v>4.9400000000000004</v>
      </c>
      <c r="AS186" s="127">
        <v>40</v>
      </c>
      <c r="AT186" s="203" t="s">
        <v>52</v>
      </c>
      <c r="AU186" s="203" t="s">
        <v>52</v>
      </c>
      <c r="AV186" s="203" t="s">
        <v>52</v>
      </c>
      <c r="AW186" s="203" t="s">
        <v>52</v>
      </c>
      <c r="AX186" s="127"/>
      <c r="AY186" s="127"/>
    </row>
    <row r="187" spans="1:54" s="63" customFormat="1" ht="19" customHeight="1" x14ac:dyDescent="0.2">
      <c r="A187"/>
      <c r="B187"/>
      <c r="C187">
        <v>187</v>
      </c>
      <c r="D187"/>
      <c r="E187" t="str">
        <f>IF(coder1_YH!G187="","",TRUE)</f>
        <v/>
      </c>
      <c r="F187" t="b">
        <f>IF(coder1_YH!P187="","",TRUE)</f>
        <v>1</v>
      </c>
      <c r="G187" s="131"/>
      <c r="H187" s="132"/>
      <c r="I187" s="89"/>
      <c r="J187" s="89"/>
      <c r="K187" s="89"/>
      <c r="L187" s="89"/>
      <c r="M187" s="89"/>
      <c r="N187" s="284" t="s">
        <v>914</v>
      </c>
      <c r="O187" s="284" t="str">
        <f t="shared" si="13"/>
        <v>.</v>
      </c>
      <c r="P187" s="113" t="s">
        <v>924</v>
      </c>
      <c r="Q187" s="63" t="s">
        <v>538</v>
      </c>
      <c r="R187" s="365">
        <v>7</v>
      </c>
      <c r="S187" s="162">
        <v>13.5</v>
      </c>
      <c r="T187" s="93" t="s">
        <v>52</v>
      </c>
      <c r="U187" s="93" t="s">
        <v>52</v>
      </c>
      <c r="V187" s="93">
        <v>0.8</v>
      </c>
      <c r="W187" s="93" t="s">
        <v>52</v>
      </c>
      <c r="X187" s="93">
        <v>0.24</v>
      </c>
      <c r="Y187" s="93" t="s">
        <v>52</v>
      </c>
      <c r="Z187" s="63" t="s">
        <v>78</v>
      </c>
      <c r="AA187" s="95" t="s">
        <v>539</v>
      </c>
      <c r="AB187" s="63" t="s">
        <v>80</v>
      </c>
      <c r="AC187" s="63" t="s">
        <v>78</v>
      </c>
      <c r="AD187" s="63" t="s">
        <v>78</v>
      </c>
      <c r="AE187" s="63" t="s">
        <v>78</v>
      </c>
      <c r="AF187" s="63" t="s">
        <v>78</v>
      </c>
      <c r="AG187" s="63" t="s">
        <v>78</v>
      </c>
      <c r="AH187" s="63" t="s">
        <v>78</v>
      </c>
      <c r="AI187" s="63" t="s">
        <v>78</v>
      </c>
      <c r="AJ187" s="63" t="s">
        <v>535</v>
      </c>
      <c r="AK187" s="63" t="s">
        <v>61</v>
      </c>
      <c r="AL187" s="63" t="s">
        <v>536</v>
      </c>
      <c r="AM187" s="147" t="s">
        <v>537</v>
      </c>
      <c r="AN187" s="128">
        <v>13.14</v>
      </c>
      <c r="AO187" s="128">
        <v>4.5199999999999996</v>
      </c>
      <c r="AP187" s="128">
        <v>50</v>
      </c>
      <c r="AQ187" s="128">
        <v>11.96</v>
      </c>
      <c r="AR187" s="128">
        <v>5.32</v>
      </c>
      <c r="AS187" s="128">
        <v>50</v>
      </c>
      <c r="AT187" s="204" t="s">
        <v>52</v>
      </c>
      <c r="AU187" s="204" t="s">
        <v>52</v>
      </c>
      <c r="AV187" s="204" t="s">
        <v>52</v>
      </c>
      <c r="AW187" s="204" t="s">
        <v>52</v>
      </c>
      <c r="AX187" s="128"/>
      <c r="AY187" s="128"/>
    </row>
    <row r="188" spans="1:54" s="60" customFormat="1" ht="19" customHeight="1" x14ac:dyDescent="0.2">
      <c r="A188"/>
      <c r="B188"/>
      <c r="C188">
        <v>188</v>
      </c>
      <c r="D188" t="b">
        <f>E188</f>
        <v>1</v>
      </c>
      <c r="E188" t="b">
        <f>IF(coder1_YH!G188="","",TRUE)</f>
        <v>1</v>
      </c>
      <c r="F188" t="b">
        <f>IF(coder1_YH!P188="","",TRUE)</f>
        <v>1</v>
      </c>
      <c r="G188" s="116" t="s">
        <v>1014</v>
      </c>
      <c r="H188" s="117">
        <v>131</v>
      </c>
      <c r="I188" s="116" t="s">
        <v>47</v>
      </c>
      <c r="J188" s="88" t="s">
        <v>452</v>
      </c>
      <c r="K188" s="88" t="s">
        <v>66</v>
      </c>
      <c r="L188" s="88" t="s">
        <v>49</v>
      </c>
      <c r="M188" s="88" t="s">
        <v>50</v>
      </c>
      <c r="N188" s="283" t="s">
        <v>917</v>
      </c>
      <c r="O188" s="283" t="str">
        <f t="shared" si="13"/>
        <v xml:space="preserve">m </v>
      </c>
      <c r="P188" s="127">
        <v>1</v>
      </c>
      <c r="Q188" s="60" t="s">
        <v>540</v>
      </c>
      <c r="R188" s="358" t="s">
        <v>68</v>
      </c>
      <c r="S188" s="90">
        <v>11.2</v>
      </c>
      <c r="T188" s="90">
        <v>1</v>
      </c>
      <c r="U188" s="90" t="s">
        <v>52</v>
      </c>
      <c r="V188" s="90">
        <v>0.85</v>
      </c>
      <c r="W188" s="90">
        <v>0.25</v>
      </c>
      <c r="X188" s="90">
        <v>0.52500000000000002</v>
      </c>
      <c r="Y188" s="90">
        <v>0.74</v>
      </c>
      <c r="Z188" s="60" t="s">
        <v>92</v>
      </c>
      <c r="AA188" s="141" t="s">
        <v>541</v>
      </c>
      <c r="AB188" s="60" t="s">
        <v>456</v>
      </c>
      <c r="AC188" s="60" t="s">
        <v>56</v>
      </c>
      <c r="AD188" s="60" t="s">
        <v>57</v>
      </c>
      <c r="AE188" s="60" t="s">
        <v>72</v>
      </c>
      <c r="AF188" s="60">
        <v>525</v>
      </c>
      <c r="AG188" s="60">
        <v>15</v>
      </c>
      <c r="AH188" s="60">
        <v>35</v>
      </c>
      <c r="AI188" s="60" t="s">
        <v>59</v>
      </c>
      <c r="AJ188" s="60" t="s">
        <v>542</v>
      </c>
      <c r="AK188" s="134" t="s">
        <v>95</v>
      </c>
      <c r="AL188" s="60" t="s">
        <v>459</v>
      </c>
      <c r="AM188" s="152" t="s">
        <v>543</v>
      </c>
      <c r="AN188" s="120">
        <v>4.5</v>
      </c>
      <c r="AO188" s="120">
        <v>2.7</v>
      </c>
      <c r="AP188" s="120">
        <v>10</v>
      </c>
      <c r="AQ188" s="120">
        <v>6.3</v>
      </c>
      <c r="AR188" s="120">
        <v>3.1</v>
      </c>
      <c r="AS188" s="127">
        <v>10</v>
      </c>
      <c r="AT188" s="203" t="s">
        <v>52</v>
      </c>
      <c r="AU188" s="203" t="s">
        <v>52</v>
      </c>
      <c r="AV188" s="203" t="s">
        <v>52</v>
      </c>
      <c r="AW188" s="203" t="s">
        <v>52</v>
      </c>
      <c r="AX188" s="127"/>
      <c r="AY188" s="127"/>
    </row>
    <row r="189" spans="1:54" s="60" customFormat="1" ht="19" customHeight="1" x14ac:dyDescent="0.2">
      <c r="A189"/>
      <c r="B189"/>
      <c r="C189">
        <v>189</v>
      </c>
      <c r="D189"/>
      <c r="E189" t="b">
        <f>IF(coder1_YH!G189="","",TRUE)</f>
        <v>1</v>
      </c>
      <c r="F189" t="b">
        <f>IF(coder1_YH!P189="","",TRUE)</f>
        <v>1</v>
      </c>
      <c r="G189" s="116" t="s">
        <v>1014</v>
      </c>
      <c r="H189" s="117">
        <v>131</v>
      </c>
      <c r="I189" s="116" t="s">
        <v>47</v>
      </c>
      <c r="J189" s="88" t="s">
        <v>452</v>
      </c>
      <c r="K189" s="88" t="s">
        <v>66</v>
      </c>
      <c r="L189" s="88" t="s">
        <v>49</v>
      </c>
      <c r="M189" s="88" t="s">
        <v>50</v>
      </c>
      <c r="N189" s="283" t="s">
        <v>917</v>
      </c>
      <c r="O189" s="283" t="str">
        <f t="shared" si="13"/>
        <v xml:space="preserve">m </v>
      </c>
      <c r="P189" s="127">
        <v>2</v>
      </c>
      <c r="Q189" s="60" t="s">
        <v>544</v>
      </c>
      <c r="R189" s="358" t="s">
        <v>68</v>
      </c>
      <c r="S189" s="90">
        <v>11.2</v>
      </c>
      <c r="T189" s="90">
        <v>1</v>
      </c>
      <c r="U189" s="90" t="s">
        <v>52</v>
      </c>
      <c r="V189" s="90">
        <v>0.85</v>
      </c>
      <c r="W189" s="90">
        <v>0.25</v>
      </c>
      <c r="X189" s="90">
        <v>0.52500000000000002</v>
      </c>
      <c r="Y189" s="90">
        <v>0.74</v>
      </c>
      <c r="Z189" s="60" t="s">
        <v>92</v>
      </c>
      <c r="AA189" s="92" t="s">
        <v>541</v>
      </c>
      <c r="AB189" s="60" t="s">
        <v>456</v>
      </c>
      <c r="AC189" s="60" t="s">
        <v>56</v>
      </c>
      <c r="AD189" s="60" t="s">
        <v>57</v>
      </c>
      <c r="AE189" s="60" t="s">
        <v>72</v>
      </c>
      <c r="AF189" s="60">
        <v>525</v>
      </c>
      <c r="AG189" s="60">
        <v>15</v>
      </c>
      <c r="AH189" s="60">
        <v>35</v>
      </c>
      <c r="AI189" s="60" t="s">
        <v>59</v>
      </c>
      <c r="AJ189" s="60" t="s">
        <v>542</v>
      </c>
      <c r="AK189" s="134" t="s">
        <v>95</v>
      </c>
      <c r="AL189" s="60" t="s">
        <v>459</v>
      </c>
      <c r="AM189" s="152" t="s">
        <v>543</v>
      </c>
      <c r="AN189" s="120">
        <v>4.5</v>
      </c>
      <c r="AO189" s="120">
        <v>2.8</v>
      </c>
      <c r="AP189" s="120">
        <v>10</v>
      </c>
      <c r="AQ189" s="120">
        <v>6.2</v>
      </c>
      <c r="AR189" s="120">
        <v>4.9000000000000004</v>
      </c>
      <c r="AS189" s="127">
        <v>10</v>
      </c>
      <c r="AT189" s="203" t="s">
        <v>52</v>
      </c>
      <c r="AU189" s="203" t="s">
        <v>52</v>
      </c>
      <c r="AV189" s="203" t="s">
        <v>52</v>
      </c>
      <c r="AW189" s="203" t="s">
        <v>52</v>
      </c>
      <c r="AX189" s="127"/>
      <c r="AY189" s="127"/>
    </row>
    <row r="190" spans="1:54" s="60" customFormat="1" ht="19" customHeight="1" x14ac:dyDescent="0.2">
      <c r="A190"/>
      <c r="B190"/>
      <c r="C190">
        <v>190</v>
      </c>
      <c r="D190"/>
      <c r="E190" t="b">
        <f>IF(coder1_YH!G190="","",TRUE)</f>
        <v>1</v>
      </c>
      <c r="F190" t="b">
        <f>IF(coder1_YH!P190="","",TRUE)</f>
        <v>1</v>
      </c>
      <c r="G190" s="116" t="s">
        <v>1014</v>
      </c>
      <c r="H190" s="117">
        <v>131</v>
      </c>
      <c r="I190" s="116" t="s">
        <v>47</v>
      </c>
      <c r="J190" s="88" t="s">
        <v>452</v>
      </c>
      <c r="K190" s="88" t="s">
        <v>66</v>
      </c>
      <c r="L190" s="88" t="s">
        <v>49</v>
      </c>
      <c r="M190" s="88" t="s">
        <v>50</v>
      </c>
      <c r="N190" s="283" t="s">
        <v>917</v>
      </c>
      <c r="O190" s="283" t="str">
        <f t="shared" si="13"/>
        <v xml:space="preserve">m </v>
      </c>
      <c r="P190" s="127">
        <v>3</v>
      </c>
      <c r="Q190" s="60" t="s">
        <v>545</v>
      </c>
      <c r="R190" s="358" t="s">
        <v>68</v>
      </c>
      <c r="S190" s="90">
        <v>11.2</v>
      </c>
      <c r="T190" s="90">
        <v>1</v>
      </c>
      <c r="U190" s="90" t="s">
        <v>52</v>
      </c>
      <c r="V190" s="90">
        <v>0.85</v>
      </c>
      <c r="W190" s="90">
        <v>0.25</v>
      </c>
      <c r="X190" s="90">
        <v>0.52500000000000002</v>
      </c>
      <c r="Y190" s="90">
        <v>0.74</v>
      </c>
      <c r="Z190" s="60" t="s">
        <v>92</v>
      </c>
      <c r="AA190" s="92" t="s">
        <v>541</v>
      </c>
      <c r="AB190" s="60" t="s">
        <v>456</v>
      </c>
      <c r="AC190" s="60" t="s">
        <v>56</v>
      </c>
      <c r="AD190" s="60" t="s">
        <v>57</v>
      </c>
      <c r="AE190" s="60" t="s">
        <v>72</v>
      </c>
      <c r="AF190" s="60">
        <v>525</v>
      </c>
      <c r="AG190" s="60">
        <v>15</v>
      </c>
      <c r="AH190" s="60">
        <v>35</v>
      </c>
      <c r="AI190" s="60" t="s">
        <v>59</v>
      </c>
      <c r="AJ190" s="60" t="s">
        <v>542</v>
      </c>
      <c r="AK190" s="134" t="s">
        <v>95</v>
      </c>
      <c r="AL190" s="60" t="s">
        <v>459</v>
      </c>
      <c r="AM190" s="152" t="s">
        <v>543</v>
      </c>
      <c r="AN190" s="120">
        <v>4.9000000000000004</v>
      </c>
      <c r="AO190" s="120">
        <v>1.9</v>
      </c>
      <c r="AP190" s="120">
        <v>10</v>
      </c>
      <c r="AQ190" s="120">
        <v>11.2</v>
      </c>
      <c r="AR190" s="120">
        <v>4.9000000000000004</v>
      </c>
      <c r="AS190" s="127">
        <v>10</v>
      </c>
      <c r="AT190" s="203" t="s">
        <v>52</v>
      </c>
      <c r="AU190" s="203" t="s">
        <v>52</v>
      </c>
      <c r="AV190" s="203" t="s">
        <v>52</v>
      </c>
      <c r="AW190" s="203" t="s">
        <v>52</v>
      </c>
      <c r="AX190" s="127"/>
      <c r="AY190" s="127"/>
    </row>
    <row r="191" spans="1:54" s="63" customFormat="1" ht="19" customHeight="1" x14ac:dyDescent="0.2">
      <c r="A191"/>
      <c r="B191"/>
      <c r="C191">
        <v>191</v>
      </c>
      <c r="D191"/>
      <c r="E191" t="b">
        <f>IF(coder1_YH!G191="","",TRUE)</f>
        <v>1</v>
      </c>
      <c r="F191" t="b">
        <f>IF(coder1_YH!P191="","",TRUE)</f>
        <v>1</v>
      </c>
      <c r="G191" s="122" t="s">
        <v>1014</v>
      </c>
      <c r="H191" s="123">
        <v>131</v>
      </c>
      <c r="I191" s="122" t="s">
        <v>47</v>
      </c>
      <c r="J191" s="89" t="s">
        <v>452</v>
      </c>
      <c r="K191" s="89" t="s">
        <v>66</v>
      </c>
      <c r="L191" s="89" t="s">
        <v>49</v>
      </c>
      <c r="M191" s="89" t="s">
        <v>50</v>
      </c>
      <c r="N191" s="284" t="s">
        <v>914</v>
      </c>
      <c r="O191" s="284" t="str">
        <f t="shared" si="13"/>
        <v xml:space="preserve">m </v>
      </c>
      <c r="P191" s="128" t="s">
        <v>924</v>
      </c>
      <c r="Q191" s="63" t="s">
        <v>546</v>
      </c>
      <c r="R191" s="359" t="s">
        <v>68</v>
      </c>
      <c r="S191" s="93">
        <v>11.2</v>
      </c>
      <c r="T191" s="93">
        <v>1</v>
      </c>
      <c r="U191" s="93" t="s">
        <v>52</v>
      </c>
      <c r="V191" s="93">
        <v>0.85</v>
      </c>
      <c r="W191" s="93">
        <v>0.25</v>
      </c>
      <c r="X191" s="93">
        <v>0.52500000000000002</v>
      </c>
      <c r="Y191" s="93">
        <v>0.74</v>
      </c>
      <c r="Z191" s="63" t="s">
        <v>92</v>
      </c>
      <c r="AA191" s="95" t="s">
        <v>541</v>
      </c>
      <c r="AB191" s="63" t="s">
        <v>456</v>
      </c>
      <c r="AC191" s="63" t="s">
        <v>56</v>
      </c>
      <c r="AD191" s="63" t="s">
        <v>57</v>
      </c>
      <c r="AE191" s="63" t="s">
        <v>72</v>
      </c>
      <c r="AF191" s="63">
        <v>525</v>
      </c>
      <c r="AG191" s="63">
        <v>15</v>
      </c>
      <c r="AH191" s="63">
        <v>35</v>
      </c>
      <c r="AI191" s="63" t="s">
        <v>59</v>
      </c>
      <c r="AJ191" s="63" t="s">
        <v>542</v>
      </c>
      <c r="AK191" s="138" t="s">
        <v>95</v>
      </c>
      <c r="AL191" s="63" t="s">
        <v>459</v>
      </c>
      <c r="AM191" s="153" t="s">
        <v>543</v>
      </c>
      <c r="AN191" s="124">
        <v>4.3</v>
      </c>
      <c r="AO191" s="124">
        <v>2.2000000000000002</v>
      </c>
      <c r="AP191" s="124">
        <v>10</v>
      </c>
      <c r="AQ191" s="124">
        <v>6.3</v>
      </c>
      <c r="AR191" s="124">
        <v>2.5</v>
      </c>
      <c r="AS191" s="128">
        <v>10</v>
      </c>
      <c r="AT191" s="204" t="s">
        <v>52</v>
      </c>
      <c r="AU191" s="204" t="s">
        <v>52</v>
      </c>
      <c r="AV191" s="204" t="s">
        <v>52</v>
      </c>
      <c r="AW191" s="204" t="s">
        <v>52</v>
      </c>
      <c r="AX191" s="128"/>
      <c r="AY191" s="128"/>
    </row>
    <row r="192" spans="1:54" s="60" customFormat="1" ht="19" customHeight="1" x14ac:dyDescent="0.2">
      <c r="A192"/>
      <c r="B192"/>
      <c r="C192">
        <v>192</v>
      </c>
      <c r="D192" t="b">
        <f>E192</f>
        <v>1</v>
      </c>
      <c r="E192" t="b">
        <f>IF(coder1_YH!G194="","",TRUE)</f>
        <v>1</v>
      </c>
      <c r="F192" t="b">
        <f>IF(coder1_YH!P192="","",TRUE)</f>
        <v>1</v>
      </c>
      <c r="G192" s="116" t="s">
        <v>1015</v>
      </c>
      <c r="H192" s="117">
        <v>132</v>
      </c>
      <c r="I192" s="116" t="s">
        <v>47</v>
      </c>
      <c r="J192" s="88" t="s">
        <v>452</v>
      </c>
      <c r="K192" s="88" t="s">
        <v>66</v>
      </c>
      <c r="L192" s="88" t="s">
        <v>49</v>
      </c>
      <c r="M192" s="88" t="s">
        <v>50</v>
      </c>
      <c r="N192" s="283" t="s">
        <v>917</v>
      </c>
      <c r="O192" s="283" t="str">
        <f t="shared" si="13"/>
        <v xml:space="preserve">m </v>
      </c>
      <c r="P192" s="127">
        <v>1</v>
      </c>
      <c r="Q192" s="60" t="s">
        <v>547</v>
      </c>
      <c r="R192" s="358" t="s">
        <v>68</v>
      </c>
      <c r="S192" s="90">
        <v>11</v>
      </c>
      <c r="T192" s="90">
        <v>1</v>
      </c>
      <c r="U192" s="90" t="s">
        <v>52</v>
      </c>
      <c r="V192" s="90" t="s">
        <v>52</v>
      </c>
      <c r="W192" s="90" t="s">
        <v>52</v>
      </c>
      <c r="X192" s="90">
        <v>0.5</v>
      </c>
      <c r="Y192" s="90" t="s">
        <v>52</v>
      </c>
      <c r="Z192" s="60" t="s">
        <v>92</v>
      </c>
      <c r="AA192" s="92" t="s">
        <v>548</v>
      </c>
      <c r="AB192" s="60" t="s">
        <v>456</v>
      </c>
      <c r="AC192" s="60" t="s">
        <v>56</v>
      </c>
      <c r="AD192" s="60" t="s">
        <v>57</v>
      </c>
      <c r="AE192" s="60" t="s">
        <v>72</v>
      </c>
      <c r="AF192" s="60">
        <v>525</v>
      </c>
      <c r="AG192" s="60">
        <v>15</v>
      </c>
      <c r="AH192" s="60">
        <v>35</v>
      </c>
      <c r="AI192" s="60" t="s">
        <v>59</v>
      </c>
      <c r="AJ192" s="60" t="s">
        <v>542</v>
      </c>
      <c r="AK192" s="60" t="s">
        <v>95</v>
      </c>
      <c r="AL192" s="60" t="s">
        <v>459</v>
      </c>
      <c r="AM192" s="152" t="s">
        <v>543</v>
      </c>
      <c r="AN192" s="120">
        <v>4.5</v>
      </c>
      <c r="AO192" s="120">
        <v>2</v>
      </c>
      <c r="AP192" s="120">
        <v>10</v>
      </c>
      <c r="AQ192" s="120">
        <v>8.1</v>
      </c>
      <c r="AR192" s="120">
        <v>2.6</v>
      </c>
      <c r="AS192" s="127">
        <v>10</v>
      </c>
      <c r="AT192" s="203" t="s">
        <v>52</v>
      </c>
      <c r="AU192" s="203" t="s">
        <v>52</v>
      </c>
      <c r="AV192" s="203" t="s">
        <v>52</v>
      </c>
      <c r="AW192" s="203" t="s">
        <v>52</v>
      </c>
      <c r="AX192" s="127"/>
      <c r="AY192" s="127"/>
    </row>
    <row r="193" spans="1:51" s="60" customFormat="1" ht="19" customHeight="1" x14ac:dyDescent="0.2">
      <c r="A193"/>
      <c r="B193"/>
      <c r="C193">
        <v>193</v>
      </c>
      <c r="D193"/>
      <c r="F193" t="b">
        <f>IF(coder1_YH!P193="","",TRUE)</f>
        <v>1</v>
      </c>
      <c r="G193" s="116" t="s">
        <v>1015</v>
      </c>
      <c r="H193" s="117">
        <v>132</v>
      </c>
      <c r="I193" s="116" t="s">
        <v>47</v>
      </c>
      <c r="J193" s="88" t="s">
        <v>452</v>
      </c>
      <c r="K193" s="88" t="s">
        <v>66</v>
      </c>
      <c r="L193" s="88" t="s">
        <v>49</v>
      </c>
      <c r="M193" s="88" t="s">
        <v>50</v>
      </c>
      <c r="N193" s="283" t="s">
        <v>926</v>
      </c>
      <c r="O193" s="283" t="str">
        <f t="shared" si="13"/>
        <v xml:space="preserve">m </v>
      </c>
      <c r="P193" s="127" t="s">
        <v>924</v>
      </c>
      <c r="Q193" s="60" t="s">
        <v>549</v>
      </c>
      <c r="R193" s="358" t="s">
        <v>68</v>
      </c>
      <c r="S193" s="90">
        <v>11</v>
      </c>
      <c r="T193" s="90">
        <v>1</v>
      </c>
      <c r="U193" s="90" t="s">
        <v>52</v>
      </c>
      <c r="V193" s="90" t="s">
        <v>52</v>
      </c>
      <c r="W193" s="90" t="s">
        <v>52</v>
      </c>
      <c r="X193" s="90">
        <v>0.5</v>
      </c>
      <c r="Y193" s="90" t="s">
        <v>52</v>
      </c>
      <c r="Z193" s="60" t="s">
        <v>92</v>
      </c>
      <c r="AA193" s="92" t="s">
        <v>548</v>
      </c>
      <c r="AB193" s="60" t="s">
        <v>456</v>
      </c>
      <c r="AC193" s="60" t="s">
        <v>56</v>
      </c>
      <c r="AD193" s="60" t="s">
        <v>57</v>
      </c>
      <c r="AE193" s="60" t="s">
        <v>72</v>
      </c>
      <c r="AF193" s="60">
        <v>525</v>
      </c>
      <c r="AG193" s="60">
        <v>15</v>
      </c>
      <c r="AH193" s="60">
        <v>35</v>
      </c>
      <c r="AI193" s="60" t="s">
        <v>59</v>
      </c>
      <c r="AJ193" s="60" t="s">
        <v>542</v>
      </c>
      <c r="AK193" s="60" t="s">
        <v>95</v>
      </c>
      <c r="AL193" s="60" t="s">
        <v>459</v>
      </c>
      <c r="AM193" s="152" t="s">
        <v>543</v>
      </c>
      <c r="AN193" s="120">
        <v>5.9</v>
      </c>
      <c r="AO193" s="120">
        <v>2.2999999999999998</v>
      </c>
      <c r="AP193" s="120">
        <v>10</v>
      </c>
      <c r="AQ193" s="374">
        <v>7.7</v>
      </c>
      <c r="AR193" s="374">
        <v>3.1</v>
      </c>
      <c r="AS193" s="375">
        <v>10</v>
      </c>
      <c r="AT193" s="203" t="s">
        <v>52</v>
      </c>
      <c r="AU193" s="203" t="s">
        <v>52</v>
      </c>
      <c r="AV193" s="203" t="s">
        <v>52</v>
      </c>
      <c r="AW193" s="203" t="s">
        <v>52</v>
      </c>
      <c r="AX193" s="127"/>
      <c r="AY193" s="127"/>
    </row>
    <row r="194" spans="1:51" s="63" customFormat="1" ht="19" customHeight="1" x14ac:dyDescent="0.2">
      <c r="A194" s="376" t="s">
        <v>986</v>
      </c>
      <c r="B194" s="376" t="s">
        <v>949</v>
      </c>
      <c r="C194">
        <v>194</v>
      </c>
      <c r="D194"/>
      <c r="F194" t="b">
        <f>IF(coder1_YH!P194="","",TRUE)</f>
        <v>1</v>
      </c>
      <c r="G194" s="122" t="s">
        <v>1015</v>
      </c>
      <c r="H194" s="123">
        <v>132</v>
      </c>
      <c r="I194" s="122" t="s">
        <v>47</v>
      </c>
      <c r="J194" s="89" t="s">
        <v>452</v>
      </c>
      <c r="K194" s="89" t="s">
        <v>66</v>
      </c>
      <c r="L194" s="89" t="s">
        <v>49</v>
      </c>
      <c r="M194" s="89" t="s">
        <v>50</v>
      </c>
      <c r="N194" s="284" t="s">
        <v>928</v>
      </c>
      <c r="O194" s="284" t="str">
        <f t="shared" si="13"/>
        <v xml:space="preserve">m </v>
      </c>
      <c r="P194" s="128">
        <v>2</v>
      </c>
      <c r="Q194" s="63" t="s">
        <v>550</v>
      </c>
      <c r="R194" s="359" t="s">
        <v>68</v>
      </c>
      <c r="S194" s="93">
        <v>11</v>
      </c>
      <c r="T194" s="93">
        <v>1</v>
      </c>
      <c r="U194" s="93" t="s">
        <v>52</v>
      </c>
      <c r="V194" s="93" t="s">
        <v>52</v>
      </c>
      <c r="W194" s="93" t="s">
        <v>52</v>
      </c>
      <c r="X194" s="93">
        <v>0.5</v>
      </c>
      <c r="Y194" s="93" t="s">
        <v>52</v>
      </c>
      <c r="Z194" s="63" t="s">
        <v>92</v>
      </c>
      <c r="AA194" s="95" t="s">
        <v>548</v>
      </c>
      <c r="AB194" s="63" t="s">
        <v>456</v>
      </c>
      <c r="AC194" s="63" t="s">
        <v>56</v>
      </c>
      <c r="AD194" s="63" t="s">
        <v>57</v>
      </c>
      <c r="AE194" s="63" t="s">
        <v>72</v>
      </c>
      <c r="AF194" s="63">
        <v>525</v>
      </c>
      <c r="AG194" s="63">
        <v>15</v>
      </c>
      <c r="AH194" s="63">
        <v>35</v>
      </c>
      <c r="AI194" s="63" t="s">
        <v>59</v>
      </c>
      <c r="AJ194" s="63" t="s">
        <v>542</v>
      </c>
      <c r="AK194" s="138" t="s">
        <v>95</v>
      </c>
      <c r="AL194" s="63" t="s">
        <v>459</v>
      </c>
      <c r="AM194" s="153" t="s">
        <v>543</v>
      </c>
      <c r="AN194" s="124">
        <v>5.5</v>
      </c>
      <c r="AO194" s="124">
        <v>1.5</v>
      </c>
      <c r="AP194" s="124">
        <v>10</v>
      </c>
      <c r="AQ194" s="377">
        <v>13.5</v>
      </c>
      <c r="AR194" s="377">
        <v>2.2999999999999998</v>
      </c>
      <c r="AS194" s="378">
        <v>10</v>
      </c>
      <c r="AT194" s="204" t="s">
        <v>52</v>
      </c>
      <c r="AU194" s="204" t="s">
        <v>52</v>
      </c>
      <c r="AV194" s="204" t="s">
        <v>52</v>
      </c>
      <c r="AW194" s="204" t="s">
        <v>52</v>
      </c>
      <c r="AX194" s="128"/>
      <c r="AY194" s="128"/>
    </row>
    <row r="195" spans="1:51" s="60" customFormat="1" ht="19" customHeight="1" x14ac:dyDescent="0.2">
      <c r="A195"/>
      <c r="B195"/>
      <c r="C195">
        <v>195</v>
      </c>
      <c r="D195" t="b">
        <f>E195</f>
        <v>1</v>
      </c>
      <c r="E195" t="b">
        <f>IF(coder1_YH!G195="","",TRUE)</f>
        <v>1</v>
      </c>
      <c r="F195" t="b">
        <f>IF(coder1_YH!P195="","",TRUE)</f>
        <v>1</v>
      </c>
      <c r="G195" s="116" t="s">
        <v>709</v>
      </c>
      <c r="H195" s="117">
        <v>133</v>
      </c>
      <c r="I195" s="116" t="s">
        <v>47</v>
      </c>
      <c r="J195" s="88" t="s">
        <v>452</v>
      </c>
      <c r="K195" s="88" t="s">
        <v>48</v>
      </c>
      <c r="L195" s="88" t="s">
        <v>228</v>
      </c>
      <c r="M195" s="88" t="s">
        <v>238</v>
      </c>
      <c r="N195" s="283" t="s">
        <v>916</v>
      </c>
      <c r="O195" s="283" t="str">
        <f t="shared" ref="O195:O258" si="16">IF(Z195="BAU",".",LEFT(Z195,2))</f>
        <v xml:space="preserve">c </v>
      </c>
      <c r="P195" s="127">
        <v>1</v>
      </c>
      <c r="Q195" s="60" t="s">
        <v>551</v>
      </c>
      <c r="R195" s="406" t="s">
        <v>363</v>
      </c>
      <c r="S195" s="90">
        <v>8.16</v>
      </c>
      <c r="T195" s="90">
        <v>1</v>
      </c>
      <c r="U195" s="90">
        <v>0.89</v>
      </c>
      <c r="V195" s="90" t="s">
        <v>52</v>
      </c>
      <c r="W195" s="90" t="s">
        <v>52</v>
      </c>
      <c r="X195" s="90">
        <v>0.41666666666666663</v>
      </c>
      <c r="Y195" s="90">
        <v>0.16000000000000003</v>
      </c>
      <c r="Z195" s="134" t="s">
        <v>69</v>
      </c>
      <c r="AA195" s="92" t="s">
        <v>552</v>
      </c>
      <c r="AB195" s="60" t="s">
        <v>464</v>
      </c>
      <c r="AC195" s="60" t="s">
        <v>56</v>
      </c>
      <c r="AD195" s="60" t="s">
        <v>57</v>
      </c>
      <c r="AE195" s="134" t="s">
        <v>58</v>
      </c>
      <c r="AF195" s="60">
        <v>2400</v>
      </c>
      <c r="AG195" s="99">
        <v>25</v>
      </c>
      <c r="AH195" s="99">
        <v>120</v>
      </c>
      <c r="AI195" s="60" t="s">
        <v>59</v>
      </c>
      <c r="AJ195" s="60" t="s">
        <v>553</v>
      </c>
      <c r="AK195" s="110" t="s">
        <v>61</v>
      </c>
      <c r="AL195" s="60" t="s">
        <v>459</v>
      </c>
      <c r="AM195" s="152" t="s">
        <v>52</v>
      </c>
      <c r="AN195" s="120">
        <v>7.75</v>
      </c>
      <c r="AO195" s="120">
        <v>2.41</v>
      </c>
      <c r="AP195" s="120">
        <v>12</v>
      </c>
      <c r="AQ195" s="120">
        <v>7.75</v>
      </c>
      <c r="AR195" s="120">
        <v>2.56</v>
      </c>
      <c r="AS195" s="127">
        <v>12</v>
      </c>
      <c r="AT195" s="203" t="s">
        <v>52</v>
      </c>
      <c r="AU195" s="203" t="s">
        <v>52</v>
      </c>
      <c r="AV195" s="203" t="s">
        <v>52</v>
      </c>
      <c r="AW195" s="203" t="s">
        <v>52</v>
      </c>
      <c r="AX195" s="127"/>
      <c r="AY195" s="127"/>
    </row>
    <row r="196" spans="1:51" s="63" customFormat="1" ht="19" customHeight="1" x14ac:dyDescent="0.2">
      <c r="A196"/>
      <c r="B196"/>
      <c r="C196">
        <v>196</v>
      </c>
      <c r="D196"/>
      <c r="E196" t="str">
        <f>IF(coder1_YH!G196="","",TRUE)</f>
        <v/>
      </c>
      <c r="F196" t="b">
        <f>IF(coder1_YH!P196="","",TRUE)</f>
        <v>1</v>
      </c>
      <c r="G196" s="122"/>
      <c r="H196" s="123"/>
      <c r="I196" s="122"/>
      <c r="J196" s="89"/>
      <c r="K196" s="89"/>
      <c r="L196" s="89"/>
      <c r="M196" s="89"/>
      <c r="N196" s="284" t="s">
        <v>914</v>
      </c>
      <c r="O196" s="284" t="str">
        <f t="shared" si="16"/>
        <v xml:space="preserve">c </v>
      </c>
      <c r="P196" s="128" t="s">
        <v>924</v>
      </c>
      <c r="Q196" s="63" t="s">
        <v>554</v>
      </c>
      <c r="R196" s="407" t="s">
        <v>363</v>
      </c>
      <c r="S196" s="93">
        <v>8.16</v>
      </c>
      <c r="T196" s="93">
        <v>1</v>
      </c>
      <c r="U196" s="93">
        <v>0.89</v>
      </c>
      <c r="V196" s="93" t="s">
        <v>52</v>
      </c>
      <c r="W196" s="93" t="s">
        <v>52</v>
      </c>
      <c r="X196" s="93">
        <v>0.41666666666666663</v>
      </c>
      <c r="Y196" s="93">
        <v>0.16000000000000003</v>
      </c>
      <c r="Z196" s="138" t="s">
        <v>69</v>
      </c>
      <c r="AA196" s="95" t="s">
        <v>552</v>
      </c>
      <c r="AB196" s="63" t="s">
        <v>464</v>
      </c>
      <c r="AC196" s="63" t="s">
        <v>56</v>
      </c>
      <c r="AD196" s="63" t="s">
        <v>57</v>
      </c>
      <c r="AE196" s="138" t="s">
        <v>58</v>
      </c>
      <c r="AF196" s="63">
        <v>2400</v>
      </c>
      <c r="AG196" s="100">
        <v>25</v>
      </c>
      <c r="AH196" s="100">
        <v>120</v>
      </c>
      <c r="AI196" s="63" t="s">
        <v>59</v>
      </c>
      <c r="AJ196" s="63" t="s">
        <v>553</v>
      </c>
      <c r="AK196" s="111" t="s">
        <v>61</v>
      </c>
      <c r="AL196" s="63" t="s">
        <v>459</v>
      </c>
      <c r="AM196" s="153" t="s">
        <v>52</v>
      </c>
      <c r="AN196" s="124">
        <v>8.25</v>
      </c>
      <c r="AO196" s="124">
        <v>2.41</v>
      </c>
      <c r="AP196" s="124">
        <v>12</v>
      </c>
      <c r="AQ196" s="124">
        <v>8.5</v>
      </c>
      <c r="AR196" s="124">
        <v>2.2799999999999998</v>
      </c>
      <c r="AS196" s="128">
        <v>12</v>
      </c>
      <c r="AT196" s="204" t="s">
        <v>52</v>
      </c>
      <c r="AU196" s="204" t="s">
        <v>52</v>
      </c>
      <c r="AV196" s="204" t="s">
        <v>52</v>
      </c>
      <c r="AW196" s="204" t="s">
        <v>52</v>
      </c>
      <c r="AX196" s="128"/>
      <c r="AY196" s="128"/>
    </row>
    <row r="197" spans="1:51" s="294" customFormat="1" ht="19" customHeight="1" x14ac:dyDescent="0.2">
      <c r="A197" s="320" t="s">
        <v>954</v>
      </c>
      <c r="B197" s="320" t="s">
        <v>949</v>
      </c>
      <c r="C197">
        <v>197</v>
      </c>
      <c r="D197" t="b">
        <f>E197</f>
        <v>1</v>
      </c>
      <c r="E197" t="b">
        <f>IF(coder1_YH!G197="","",TRUE)</f>
        <v>1</v>
      </c>
      <c r="F197" t="b">
        <f>IF(coder1_YH!P197="","",TRUE)</f>
        <v>1</v>
      </c>
      <c r="G197" s="310" t="s">
        <v>710</v>
      </c>
      <c r="H197" s="336" t="s">
        <v>921</v>
      </c>
      <c r="I197" s="310" t="s">
        <v>47</v>
      </c>
      <c r="J197" s="294" t="s">
        <v>452</v>
      </c>
      <c r="K197" s="294" t="s">
        <v>66</v>
      </c>
      <c r="L197" s="294" t="s">
        <v>49</v>
      </c>
      <c r="M197" s="294" t="s">
        <v>50</v>
      </c>
      <c r="N197" s="295"/>
      <c r="O197" s="295"/>
      <c r="P197" s="295">
        <v>1</v>
      </c>
      <c r="Q197" s="294" t="s">
        <v>555</v>
      </c>
      <c r="R197" s="360">
        <v>3</v>
      </c>
      <c r="S197" s="311">
        <v>8.5</v>
      </c>
      <c r="T197" s="311">
        <v>1</v>
      </c>
      <c r="U197" s="311">
        <v>0.13</v>
      </c>
      <c r="V197" s="311">
        <v>0.47</v>
      </c>
      <c r="W197" s="311">
        <v>0.25</v>
      </c>
      <c r="X197" s="311">
        <v>0.56000000000000005</v>
      </c>
      <c r="Y197" s="311">
        <v>0.81</v>
      </c>
      <c r="Z197" s="294" t="s">
        <v>92</v>
      </c>
      <c r="AA197" s="312" t="s">
        <v>556</v>
      </c>
      <c r="AB197" s="294" t="s">
        <v>456</v>
      </c>
      <c r="AC197" s="294" t="s">
        <v>56</v>
      </c>
      <c r="AD197" s="310" t="s">
        <v>511</v>
      </c>
      <c r="AE197" s="310" t="s">
        <v>58</v>
      </c>
      <c r="AF197" s="294">
        <v>517.65000000000009</v>
      </c>
      <c r="AG197" s="294">
        <v>29</v>
      </c>
      <c r="AH197" s="294">
        <v>17.850000000000001</v>
      </c>
      <c r="AI197" s="294" t="s">
        <v>59</v>
      </c>
      <c r="AJ197" s="294" t="s">
        <v>557</v>
      </c>
      <c r="AK197" s="294" t="s">
        <v>61</v>
      </c>
      <c r="AL197" s="294" t="s">
        <v>536</v>
      </c>
      <c r="AM197" s="313" t="s">
        <v>558</v>
      </c>
      <c r="AN197" s="314">
        <v>86.56</v>
      </c>
      <c r="AO197" s="314">
        <v>7.88</v>
      </c>
      <c r="AP197" s="314">
        <v>100</v>
      </c>
      <c r="AQ197" s="314">
        <v>86.13</v>
      </c>
      <c r="AR197" s="314">
        <v>10.74</v>
      </c>
      <c r="AS197" s="303">
        <v>92</v>
      </c>
      <c r="AT197" s="339" t="s">
        <v>52</v>
      </c>
      <c r="AU197" s="339" t="s">
        <v>52</v>
      </c>
      <c r="AV197" s="339" t="s">
        <v>52</v>
      </c>
      <c r="AW197" s="339" t="s">
        <v>52</v>
      </c>
      <c r="AX197" s="295"/>
      <c r="AY197" s="295"/>
    </row>
    <row r="198" spans="1:51" s="305" customFormat="1" ht="19" customHeight="1" x14ac:dyDescent="0.2">
      <c r="A198" s="320" t="s">
        <v>954</v>
      </c>
      <c r="B198" s="320" t="s">
        <v>949</v>
      </c>
      <c r="C198">
        <v>198</v>
      </c>
      <c r="D198"/>
      <c r="E198" t="str">
        <f>IF(coder1_YH!G198="","",TRUE)</f>
        <v/>
      </c>
      <c r="F198" t="b">
        <f>IF(coder1_YH!P198="","",TRUE)</f>
        <v>1</v>
      </c>
      <c r="G198" s="331"/>
      <c r="H198" s="332"/>
      <c r="I198" s="331"/>
      <c r="N198" s="304"/>
      <c r="O198" s="304"/>
      <c r="P198" s="304" t="s">
        <v>924</v>
      </c>
      <c r="Q198" s="305" t="s">
        <v>559</v>
      </c>
      <c r="R198" s="361">
        <v>3</v>
      </c>
      <c r="S198" s="333">
        <v>8.5</v>
      </c>
      <c r="T198" s="333">
        <v>1</v>
      </c>
      <c r="U198" s="333">
        <v>0.18</v>
      </c>
      <c r="V198" s="333">
        <v>0.52</v>
      </c>
      <c r="W198" s="333">
        <v>0.27</v>
      </c>
      <c r="X198" s="333">
        <v>0.54</v>
      </c>
      <c r="Y198" s="333">
        <v>0.66</v>
      </c>
      <c r="Z198" s="305" t="s">
        <v>92</v>
      </c>
      <c r="AA198" s="334" t="s">
        <v>733</v>
      </c>
      <c r="AB198" s="305" t="s">
        <v>235</v>
      </c>
      <c r="AC198" s="305" t="s">
        <v>78</v>
      </c>
      <c r="AD198" s="331" t="s">
        <v>511</v>
      </c>
      <c r="AE198" s="331" t="s">
        <v>58</v>
      </c>
      <c r="AF198" s="305" t="s">
        <v>78</v>
      </c>
      <c r="AG198" s="305" t="s">
        <v>78</v>
      </c>
      <c r="AH198" s="305" t="s">
        <v>78</v>
      </c>
      <c r="AI198" s="305" t="s">
        <v>59</v>
      </c>
      <c r="AJ198" s="305" t="s">
        <v>557</v>
      </c>
      <c r="AK198" s="305" t="s">
        <v>61</v>
      </c>
      <c r="AL198" s="305" t="s">
        <v>536</v>
      </c>
      <c r="AM198" s="340" t="s">
        <v>558</v>
      </c>
      <c r="AN198" s="341">
        <v>84.64</v>
      </c>
      <c r="AO198" s="341">
        <v>8.6300000000000008</v>
      </c>
      <c r="AP198" s="341">
        <v>100</v>
      </c>
      <c r="AQ198" s="341">
        <v>85.14</v>
      </c>
      <c r="AR198" s="341">
        <v>12.78</v>
      </c>
      <c r="AS198" s="342">
        <v>92</v>
      </c>
      <c r="AT198" s="343" t="s">
        <v>52</v>
      </c>
      <c r="AU198" s="343" t="s">
        <v>52</v>
      </c>
      <c r="AV198" s="343" t="s">
        <v>52</v>
      </c>
      <c r="AW198" s="343" t="s">
        <v>52</v>
      </c>
      <c r="AX198" s="304"/>
      <c r="AY198" s="304"/>
    </row>
    <row r="199" spans="1:51" s="60" customFormat="1" ht="19" customHeight="1" x14ac:dyDescent="0.2">
      <c r="A199"/>
      <c r="B199"/>
      <c r="C199">
        <v>199</v>
      </c>
      <c r="D199" t="b">
        <f>E199</f>
        <v>1</v>
      </c>
      <c r="E199" t="b">
        <f>IF(coder1_YH!G199="","",TRUE)</f>
        <v>1</v>
      </c>
      <c r="F199" t="b">
        <f>IF(coder1_YH!P199="","",TRUE)</f>
        <v>1</v>
      </c>
      <c r="G199" s="116" t="s">
        <v>711</v>
      </c>
      <c r="H199" s="117">
        <v>135</v>
      </c>
      <c r="I199" s="116" t="s">
        <v>47</v>
      </c>
      <c r="J199" s="88" t="s">
        <v>452</v>
      </c>
      <c r="K199" s="88" t="s">
        <v>66</v>
      </c>
      <c r="L199" s="88" t="s">
        <v>49</v>
      </c>
      <c r="M199" s="88" t="s">
        <v>238</v>
      </c>
      <c r="N199" s="283" t="s">
        <v>919</v>
      </c>
      <c r="O199" s="283" t="str">
        <f t="shared" si="16"/>
        <v>cm</v>
      </c>
      <c r="P199" s="127">
        <v>1</v>
      </c>
      <c r="Q199" s="60" t="s">
        <v>560</v>
      </c>
      <c r="R199" s="358">
        <v>6</v>
      </c>
      <c r="S199" s="90">
        <v>11.5</v>
      </c>
      <c r="T199" s="90">
        <v>1</v>
      </c>
      <c r="U199" s="90">
        <v>1</v>
      </c>
      <c r="V199" s="90">
        <v>0.55000000000000004</v>
      </c>
      <c r="W199" s="90" t="s">
        <v>52</v>
      </c>
      <c r="X199" s="90">
        <v>0.6</v>
      </c>
      <c r="Y199" s="90">
        <v>0.35</v>
      </c>
      <c r="Z199" s="60" t="s">
        <v>53</v>
      </c>
      <c r="AA199" s="92" t="s">
        <v>561</v>
      </c>
      <c r="AB199" s="60" t="s">
        <v>464</v>
      </c>
      <c r="AC199" s="99" t="s">
        <v>56</v>
      </c>
      <c r="AD199" s="60" t="s">
        <v>57</v>
      </c>
      <c r="AE199" s="134" t="s">
        <v>58</v>
      </c>
      <c r="AF199" s="60">
        <v>9000</v>
      </c>
      <c r="AG199" s="60">
        <v>180</v>
      </c>
      <c r="AH199" s="60">
        <v>50</v>
      </c>
      <c r="AI199" s="60" t="s">
        <v>59</v>
      </c>
      <c r="AJ199" s="60" t="s">
        <v>562</v>
      </c>
      <c r="AK199" s="60" t="s">
        <v>61</v>
      </c>
      <c r="AL199" s="60" t="s">
        <v>536</v>
      </c>
      <c r="AM199" s="152" t="s">
        <v>563</v>
      </c>
      <c r="AN199" s="120">
        <v>4.8499999999999996</v>
      </c>
      <c r="AO199" s="120">
        <v>2.11</v>
      </c>
      <c r="AP199" s="142">
        <v>20</v>
      </c>
      <c r="AQ199" s="120">
        <v>7.8</v>
      </c>
      <c r="AR199" s="120">
        <v>2.61</v>
      </c>
      <c r="AS199" s="142">
        <v>20</v>
      </c>
      <c r="AT199" s="200" t="s">
        <v>52</v>
      </c>
      <c r="AU199" s="200" t="s">
        <v>52</v>
      </c>
      <c r="AV199" s="200" t="s">
        <v>52</v>
      </c>
      <c r="AW199" s="200" t="s">
        <v>52</v>
      </c>
      <c r="AX199" s="120"/>
      <c r="AY199" s="120"/>
    </row>
    <row r="200" spans="1:51" s="60" customFormat="1" ht="19" customHeight="1" x14ac:dyDescent="0.2">
      <c r="A200"/>
      <c r="B200"/>
      <c r="C200">
        <v>200</v>
      </c>
      <c r="D200"/>
      <c r="E200" t="str">
        <f>IF(coder1_YH!G200="","",TRUE)</f>
        <v/>
      </c>
      <c r="F200" t="str">
        <f>IF(coder1_YH!P200="","",TRUE)</f>
        <v/>
      </c>
      <c r="G200" s="116"/>
      <c r="H200" s="117"/>
      <c r="I200" s="116"/>
      <c r="J200" s="88"/>
      <c r="K200" s="88"/>
      <c r="L200" s="88"/>
      <c r="M200" s="88"/>
      <c r="N200" s="283"/>
      <c r="O200" s="283" t="str">
        <f t="shared" si="16"/>
        <v/>
      </c>
      <c r="P200" s="127"/>
      <c r="R200" s="358"/>
      <c r="S200" s="90"/>
      <c r="T200" s="90"/>
      <c r="U200" s="90"/>
      <c r="V200" s="90"/>
      <c r="W200" s="90"/>
      <c r="X200" s="90"/>
      <c r="Y200" s="90"/>
      <c r="AA200" s="92"/>
      <c r="AJ200" s="60" t="s">
        <v>564</v>
      </c>
      <c r="AK200" s="60" t="s">
        <v>61</v>
      </c>
      <c r="AL200" s="60" t="s">
        <v>536</v>
      </c>
      <c r="AM200" s="152" t="s">
        <v>563</v>
      </c>
      <c r="AN200" s="120">
        <v>7.65</v>
      </c>
      <c r="AO200" s="120">
        <v>2.5</v>
      </c>
      <c r="AP200" s="120">
        <v>20</v>
      </c>
      <c r="AQ200" s="120">
        <v>12</v>
      </c>
      <c r="AR200" s="120">
        <v>4.4400000000000004</v>
      </c>
      <c r="AS200" s="120">
        <v>20</v>
      </c>
      <c r="AT200" s="200" t="s">
        <v>52</v>
      </c>
      <c r="AU200" s="200" t="s">
        <v>52</v>
      </c>
      <c r="AV200" s="200" t="s">
        <v>52</v>
      </c>
      <c r="AW200" s="200" t="s">
        <v>52</v>
      </c>
      <c r="AX200" s="120"/>
      <c r="AY200" s="120"/>
    </row>
    <row r="201" spans="1:51" s="60" customFormat="1" ht="19" customHeight="1" x14ac:dyDescent="0.2">
      <c r="A201"/>
      <c r="B201"/>
      <c r="C201">
        <v>201</v>
      </c>
      <c r="D201"/>
      <c r="E201" t="str">
        <f>IF(coder1_YH!G201="","",TRUE)</f>
        <v/>
      </c>
      <c r="F201" t="str">
        <f>IF(coder1_YH!P201="","",TRUE)</f>
        <v/>
      </c>
      <c r="G201" s="116"/>
      <c r="H201" s="117"/>
      <c r="I201" s="116"/>
      <c r="J201" s="88"/>
      <c r="K201" s="88"/>
      <c r="L201" s="88"/>
      <c r="M201" s="88"/>
      <c r="N201" s="283"/>
      <c r="O201" s="283" t="str">
        <f t="shared" si="16"/>
        <v/>
      </c>
      <c r="P201" s="127"/>
      <c r="R201" s="358"/>
      <c r="S201" s="90"/>
      <c r="T201" s="90"/>
      <c r="U201" s="90"/>
      <c r="V201" s="90"/>
      <c r="W201" s="90"/>
      <c r="X201" s="90"/>
      <c r="Y201" s="90"/>
      <c r="AA201" s="92"/>
      <c r="AJ201" s="60" t="s">
        <v>565</v>
      </c>
      <c r="AK201" s="60" t="s">
        <v>61</v>
      </c>
      <c r="AL201" s="60" t="s">
        <v>536</v>
      </c>
      <c r="AM201" s="152" t="s">
        <v>566</v>
      </c>
      <c r="AN201" s="120">
        <v>186.2</v>
      </c>
      <c r="AO201" s="120">
        <v>11.12</v>
      </c>
      <c r="AP201" s="120">
        <v>20</v>
      </c>
      <c r="AQ201" s="120">
        <v>195.79</v>
      </c>
      <c r="AR201" s="120">
        <v>6.9</v>
      </c>
      <c r="AS201" s="120">
        <v>20</v>
      </c>
      <c r="AT201" s="120">
        <v>201.17</v>
      </c>
      <c r="AU201" s="120">
        <v>7.17</v>
      </c>
      <c r="AV201" s="120">
        <v>20</v>
      </c>
      <c r="AW201" s="120">
        <v>12</v>
      </c>
      <c r="AX201" s="120"/>
      <c r="AY201" s="120"/>
    </row>
    <row r="202" spans="1:51" s="60" customFormat="1" ht="19" customHeight="1" x14ac:dyDescent="0.2">
      <c r="A202"/>
      <c r="B202"/>
      <c r="C202">
        <v>202</v>
      </c>
      <c r="D202"/>
      <c r="E202" t="str">
        <f>IF(coder1_YH!G202="","",TRUE)</f>
        <v/>
      </c>
      <c r="F202" t="b">
        <f>IF(coder1_YH!P202="","",TRUE)</f>
        <v>1</v>
      </c>
      <c r="G202" s="116"/>
      <c r="H202" s="117"/>
      <c r="I202" s="116"/>
      <c r="J202" s="88"/>
      <c r="K202" s="88"/>
      <c r="L202" s="88"/>
      <c r="M202" s="88"/>
      <c r="N202" s="283" t="s">
        <v>914</v>
      </c>
      <c r="O202" s="283" t="str">
        <f t="shared" si="16"/>
        <v xml:space="preserve">m </v>
      </c>
      <c r="P202" s="127" t="s">
        <v>924</v>
      </c>
      <c r="Q202" s="60" t="s">
        <v>567</v>
      </c>
      <c r="R202" s="358">
        <v>6</v>
      </c>
      <c r="S202" s="90">
        <v>11.5</v>
      </c>
      <c r="T202" s="90">
        <v>1</v>
      </c>
      <c r="U202" s="90">
        <v>1</v>
      </c>
      <c r="V202" s="90">
        <v>0.55000000000000004</v>
      </c>
      <c r="W202" s="90" t="s">
        <v>52</v>
      </c>
      <c r="X202" s="90">
        <v>0.75</v>
      </c>
      <c r="Y202" s="90">
        <v>0.35</v>
      </c>
      <c r="Z202" s="99" t="s">
        <v>92</v>
      </c>
      <c r="AA202" s="92" t="s">
        <v>568</v>
      </c>
      <c r="AB202" s="99" t="s">
        <v>464</v>
      </c>
      <c r="AD202" s="60" t="s">
        <v>57</v>
      </c>
      <c r="AE202" s="134" t="s">
        <v>58</v>
      </c>
      <c r="AF202" s="60" t="s">
        <v>78</v>
      </c>
      <c r="AG202" s="60" t="s">
        <v>78</v>
      </c>
      <c r="AH202" s="60" t="s">
        <v>78</v>
      </c>
      <c r="AI202" s="60" t="s">
        <v>59</v>
      </c>
      <c r="AJ202" s="60" t="s">
        <v>562</v>
      </c>
      <c r="AK202" s="60" t="s">
        <v>61</v>
      </c>
      <c r="AL202" s="60" t="s">
        <v>536</v>
      </c>
      <c r="AM202" s="152" t="s">
        <v>563</v>
      </c>
      <c r="AN202" s="120">
        <v>4.4000000000000004</v>
      </c>
      <c r="AO202" s="120">
        <v>2.19</v>
      </c>
      <c r="AP202" s="120">
        <v>20</v>
      </c>
      <c r="AQ202" s="120">
        <v>5.2</v>
      </c>
      <c r="AR202" s="120">
        <v>1.85</v>
      </c>
      <c r="AS202" s="120">
        <v>20</v>
      </c>
      <c r="AT202" s="200" t="s">
        <v>52</v>
      </c>
      <c r="AU202" s="200" t="s">
        <v>52</v>
      </c>
      <c r="AV202" s="200" t="s">
        <v>52</v>
      </c>
      <c r="AW202" s="200" t="s">
        <v>52</v>
      </c>
      <c r="AX202" s="120"/>
      <c r="AY202" s="120"/>
    </row>
    <row r="203" spans="1:51" s="60" customFormat="1" ht="19" customHeight="1" x14ac:dyDescent="0.2">
      <c r="A203"/>
      <c r="B203"/>
      <c r="C203">
        <v>203</v>
      </c>
      <c r="D203"/>
      <c r="E203" t="str">
        <f>IF(coder1_YH!G203="","",TRUE)</f>
        <v/>
      </c>
      <c r="F203" t="str">
        <f>IF(coder1_YH!P203="","",TRUE)</f>
        <v/>
      </c>
      <c r="G203" s="116"/>
      <c r="H203" s="117"/>
      <c r="I203" s="116"/>
      <c r="J203" s="88"/>
      <c r="K203" s="88"/>
      <c r="L203" s="88"/>
      <c r="M203" s="88"/>
      <c r="N203" s="283"/>
      <c r="O203" s="283" t="str">
        <f t="shared" si="16"/>
        <v/>
      </c>
      <c r="P203" s="127"/>
      <c r="R203" s="358"/>
      <c r="S203" s="90"/>
      <c r="T203" s="90"/>
      <c r="U203" s="90"/>
      <c r="V203" s="90"/>
      <c r="W203" s="90"/>
      <c r="X203" s="90"/>
      <c r="Y203" s="90"/>
      <c r="AA203" s="92"/>
      <c r="AJ203" s="60" t="s">
        <v>564</v>
      </c>
      <c r="AK203" s="60" t="s">
        <v>61</v>
      </c>
      <c r="AL203" s="60" t="s">
        <v>536</v>
      </c>
      <c r="AM203" s="152" t="s">
        <v>563</v>
      </c>
      <c r="AN203" s="120">
        <v>8.5</v>
      </c>
      <c r="AO203" s="120">
        <v>3.02</v>
      </c>
      <c r="AP203" s="120">
        <v>20</v>
      </c>
      <c r="AQ203" s="120">
        <v>7.8</v>
      </c>
      <c r="AR203" s="120">
        <v>4.7</v>
      </c>
      <c r="AS203" s="120">
        <v>20</v>
      </c>
      <c r="AT203" s="200" t="s">
        <v>52</v>
      </c>
      <c r="AU203" s="200" t="s">
        <v>52</v>
      </c>
      <c r="AV203" s="200" t="s">
        <v>52</v>
      </c>
      <c r="AW203" s="200" t="s">
        <v>52</v>
      </c>
      <c r="AX203" s="120"/>
      <c r="AY203" s="120"/>
    </row>
    <row r="204" spans="1:51" s="63" customFormat="1" ht="19" customHeight="1" x14ac:dyDescent="0.2">
      <c r="A204"/>
      <c r="B204"/>
      <c r="C204">
        <v>204</v>
      </c>
      <c r="D204"/>
      <c r="E204" t="str">
        <f>IF(coder1_YH!G204="","",TRUE)</f>
        <v/>
      </c>
      <c r="F204" t="str">
        <f>IF(coder1_YH!P204="","",TRUE)</f>
        <v/>
      </c>
      <c r="G204" s="122"/>
      <c r="H204" s="123"/>
      <c r="I204" s="122"/>
      <c r="J204" s="89"/>
      <c r="K204" s="89"/>
      <c r="L204" s="89"/>
      <c r="M204" s="89"/>
      <c r="N204" s="284"/>
      <c r="O204" s="284" t="str">
        <f t="shared" si="16"/>
        <v/>
      </c>
      <c r="P204" s="128"/>
      <c r="R204" s="359"/>
      <c r="S204" s="93"/>
      <c r="T204" s="93"/>
      <c r="U204" s="93"/>
      <c r="V204" s="93"/>
      <c r="W204" s="93"/>
      <c r="X204" s="93"/>
      <c r="Y204" s="93"/>
      <c r="AA204" s="95"/>
      <c r="AJ204" s="63" t="s">
        <v>565</v>
      </c>
      <c r="AK204" s="63" t="s">
        <v>61</v>
      </c>
      <c r="AL204" s="63" t="s">
        <v>536</v>
      </c>
      <c r="AM204" s="153" t="s">
        <v>566</v>
      </c>
      <c r="AN204" s="124">
        <v>185.47</v>
      </c>
      <c r="AO204" s="124">
        <v>9.02</v>
      </c>
      <c r="AP204" s="124">
        <v>20</v>
      </c>
      <c r="AQ204" s="124">
        <v>188.94</v>
      </c>
      <c r="AR204" s="124">
        <v>9.4</v>
      </c>
      <c r="AS204" s="124">
        <v>20</v>
      </c>
      <c r="AT204" s="124">
        <v>199.33</v>
      </c>
      <c r="AU204" s="124">
        <v>8.58</v>
      </c>
      <c r="AV204" s="124">
        <v>20</v>
      </c>
      <c r="AW204" s="124">
        <v>12</v>
      </c>
      <c r="AX204" s="124"/>
      <c r="AY204" s="124"/>
    </row>
    <row r="205" spans="1:51" s="60" customFormat="1" x14ac:dyDescent="0.2">
      <c r="A205"/>
      <c r="B205"/>
      <c r="C205">
        <v>205</v>
      </c>
      <c r="F205" t="b">
        <f>IF(coder1_YH!P205="","",TRUE)</f>
        <v>1</v>
      </c>
      <c r="G205" s="116" t="s">
        <v>745</v>
      </c>
      <c r="H205" s="117">
        <v>136</v>
      </c>
      <c r="I205" s="116" t="s">
        <v>47</v>
      </c>
      <c r="J205" s="88" t="s">
        <v>452</v>
      </c>
      <c r="K205" s="88" t="s">
        <v>66</v>
      </c>
      <c r="L205" s="88" t="s">
        <v>49</v>
      </c>
      <c r="M205" s="88" t="s">
        <v>50</v>
      </c>
      <c r="N205" s="283" t="s">
        <v>914</v>
      </c>
      <c r="O205" s="283" t="str">
        <f t="shared" si="16"/>
        <v xml:space="preserve">m </v>
      </c>
      <c r="P205" s="127">
        <v>1</v>
      </c>
      <c r="Q205" s="60" t="s">
        <v>746</v>
      </c>
      <c r="R205" s="358">
        <v>5</v>
      </c>
      <c r="S205" s="90">
        <v>10.7</v>
      </c>
      <c r="T205" s="90">
        <v>1</v>
      </c>
      <c r="U205" s="90" t="s">
        <v>52</v>
      </c>
      <c r="V205" s="90">
        <v>0.85</v>
      </c>
      <c r="W205" s="90">
        <f>3/11</f>
        <v>0.27272727272727271</v>
      </c>
      <c r="X205" s="90">
        <f>4/11</f>
        <v>0.36363636363636365</v>
      </c>
      <c r="Y205" s="90">
        <f>1-1/11</f>
        <v>0.90909090909090906</v>
      </c>
      <c r="Z205" s="60" t="s">
        <v>92</v>
      </c>
      <c r="AA205" s="92" t="s">
        <v>747</v>
      </c>
      <c r="AB205" s="60" t="s">
        <v>456</v>
      </c>
      <c r="AC205" s="60" t="s">
        <v>56</v>
      </c>
      <c r="AD205" s="60" t="s">
        <v>57</v>
      </c>
      <c r="AE205" s="60" t="s">
        <v>72</v>
      </c>
      <c r="AF205" s="60">
        <f>AG205*AH205</f>
        <v>420</v>
      </c>
      <c r="AG205" s="60">
        <v>12</v>
      </c>
      <c r="AH205" s="60">
        <v>35</v>
      </c>
      <c r="AI205" s="60" t="s">
        <v>148</v>
      </c>
      <c r="AJ205" s="60" t="s">
        <v>542</v>
      </c>
      <c r="AK205" s="60" t="s">
        <v>95</v>
      </c>
      <c r="AL205" s="60" t="s">
        <v>459</v>
      </c>
      <c r="AM205" s="152" t="s">
        <v>543</v>
      </c>
      <c r="AN205" s="142">
        <v>5.6</v>
      </c>
      <c r="AO205" s="142">
        <v>1.4</v>
      </c>
      <c r="AP205" s="142">
        <v>11</v>
      </c>
      <c r="AQ205" s="142">
        <v>12.1</v>
      </c>
      <c r="AR205" s="142">
        <v>2.6</v>
      </c>
      <c r="AS205" s="142">
        <v>11</v>
      </c>
      <c r="AT205" s="200" t="s">
        <v>52</v>
      </c>
      <c r="AU205" s="200" t="s">
        <v>52</v>
      </c>
      <c r="AV205" s="200" t="s">
        <v>52</v>
      </c>
      <c r="AW205" s="200" t="s">
        <v>52</v>
      </c>
      <c r="AX205" s="120"/>
      <c r="AY205" s="120"/>
    </row>
    <row r="206" spans="1:51" s="60" customFormat="1" x14ac:dyDescent="0.2">
      <c r="A206"/>
      <c r="B206"/>
      <c r="C206">
        <v>206</v>
      </c>
      <c r="D206" t="b">
        <f>E206</f>
        <v>1</v>
      </c>
      <c r="E206" t="b">
        <f>IF(coder1_YH!G207="","",TRUE)</f>
        <v>1</v>
      </c>
      <c r="F206" t="b">
        <f>IF(coder1_YH!P206="","",TRUE)</f>
        <v>1</v>
      </c>
      <c r="G206" s="116" t="s">
        <v>745</v>
      </c>
      <c r="H206" s="117">
        <v>136</v>
      </c>
      <c r="I206" s="116" t="s">
        <v>47</v>
      </c>
      <c r="J206" s="88" t="s">
        <v>452</v>
      </c>
      <c r="K206" s="88" t="s">
        <v>66</v>
      </c>
      <c r="L206" s="88" t="s">
        <v>49</v>
      </c>
      <c r="M206" s="88" t="s">
        <v>50</v>
      </c>
      <c r="N206" s="283" t="s">
        <v>928</v>
      </c>
      <c r="O206" s="283" t="str">
        <f t="shared" si="16"/>
        <v xml:space="preserve">m </v>
      </c>
      <c r="P206" s="127">
        <v>2</v>
      </c>
      <c r="Q206" s="60" t="s">
        <v>748</v>
      </c>
      <c r="R206" s="358">
        <v>5</v>
      </c>
      <c r="S206" s="90">
        <v>10.4</v>
      </c>
      <c r="T206" s="90">
        <v>1</v>
      </c>
      <c r="U206" s="90" t="s">
        <v>52</v>
      </c>
      <c r="V206" s="90">
        <v>0.85</v>
      </c>
      <c r="W206" s="90">
        <f t="shared" ref="W206:W207" si="17">3/11</f>
        <v>0.27272727272727271</v>
      </c>
      <c r="X206" s="90">
        <f>4/11</f>
        <v>0.36363636363636365</v>
      </c>
      <c r="Y206" s="90">
        <f>1-4/11</f>
        <v>0.63636363636363635</v>
      </c>
      <c r="Z206" s="60" t="s">
        <v>92</v>
      </c>
      <c r="AA206" s="92" t="s">
        <v>747</v>
      </c>
      <c r="AB206" s="60" t="s">
        <v>456</v>
      </c>
      <c r="AC206" s="60" t="s">
        <v>56</v>
      </c>
      <c r="AD206" s="60" t="s">
        <v>57</v>
      </c>
      <c r="AE206" s="60" t="s">
        <v>72</v>
      </c>
      <c r="AF206" s="60">
        <f t="shared" ref="AF206:AF208" si="18">AG206*AH206</f>
        <v>420</v>
      </c>
      <c r="AG206" s="60">
        <v>12</v>
      </c>
      <c r="AH206" s="60">
        <v>35</v>
      </c>
      <c r="AI206" s="60" t="s">
        <v>148</v>
      </c>
      <c r="AJ206" s="60" t="s">
        <v>542</v>
      </c>
      <c r="AK206" s="60" t="s">
        <v>95</v>
      </c>
      <c r="AL206" s="60" t="s">
        <v>459</v>
      </c>
      <c r="AM206" s="152" t="s">
        <v>543</v>
      </c>
      <c r="AN206" s="120">
        <v>5.4</v>
      </c>
      <c r="AO206" s="120">
        <v>1.2</v>
      </c>
      <c r="AP206" s="120">
        <v>11</v>
      </c>
      <c r="AQ206" s="120">
        <v>10</v>
      </c>
      <c r="AR206" s="120">
        <v>1.9</v>
      </c>
      <c r="AS206" s="120">
        <v>11</v>
      </c>
      <c r="AT206" s="200" t="s">
        <v>52</v>
      </c>
      <c r="AU206" s="200" t="s">
        <v>52</v>
      </c>
      <c r="AV206" s="200" t="s">
        <v>52</v>
      </c>
      <c r="AW206" s="200" t="s">
        <v>52</v>
      </c>
      <c r="AX206" s="120"/>
      <c r="AY206" s="120"/>
    </row>
    <row r="207" spans="1:51" s="60" customFormat="1" x14ac:dyDescent="0.2">
      <c r="A207"/>
      <c r="B207" t="s">
        <v>949</v>
      </c>
      <c r="C207">
        <v>207</v>
      </c>
      <c r="F207" t="b">
        <f>IF(coder1_YH!P207="","",TRUE)</f>
        <v>1</v>
      </c>
      <c r="G207" s="116" t="s">
        <v>745</v>
      </c>
      <c r="H207" s="117">
        <v>136</v>
      </c>
      <c r="I207" s="116" t="s">
        <v>47</v>
      </c>
      <c r="J207" s="88" t="s">
        <v>452</v>
      </c>
      <c r="K207" s="88" t="s">
        <v>66</v>
      </c>
      <c r="L207" s="88" t="s">
        <v>49</v>
      </c>
      <c r="M207" s="88" t="s">
        <v>50</v>
      </c>
      <c r="N207" s="283" t="s">
        <v>928</v>
      </c>
      <c r="O207" s="283" t="str">
        <f t="shared" si="16"/>
        <v xml:space="preserve">m </v>
      </c>
      <c r="P207" s="127">
        <v>3</v>
      </c>
      <c r="Q207" s="60" t="s">
        <v>749</v>
      </c>
      <c r="R207" s="358">
        <v>5</v>
      </c>
      <c r="S207" s="90">
        <v>10.8</v>
      </c>
      <c r="T207" s="90">
        <v>1</v>
      </c>
      <c r="U207" s="90" t="s">
        <v>52</v>
      </c>
      <c r="V207" s="90">
        <v>0.85</v>
      </c>
      <c r="W207" s="90">
        <f t="shared" si="17"/>
        <v>0.27272727272727271</v>
      </c>
      <c r="X207" s="90">
        <f>5/11</f>
        <v>0.45454545454545453</v>
      </c>
      <c r="Y207" s="90">
        <f>1-3/11</f>
        <v>0.72727272727272729</v>
      </c>
      <c r="Z207" s="60" t="s">
        <v>92</v>
      </c>
      <c r="AA207" s="92" t="s">
        <v>747</v>
      </c>
      <c r="AB207" s="60" t="s">
        <v>456</v>
      </c>
      <c r="AC207" s="60" t="s">
        <v>56</v>
      </c>
      <c r="AD207" s="60" t="s">
        <v>57</v>
      </c>
      <c r="AE207" s="60" t="s">
        <v>72</v>
      </c>
      <c r="AF207" s="60">
        <f t="shared" si="18"/>
        <v>420</v>
      </c>
      <c r="AG207" s="60">
        <v>12</v>
      </c>
      <c r="AH207" s="60">
        <v>35</v>
      </c>
      <c r="AI207" s="60" t="s">
        <v>148</v>
      </c>
      <c r="AJ207" s="60" t="s">
        <v>542</v>
      </c>
      <c r="AK207" s="60" t="s">
        <v>95</v>
      </c>
      <c r="AL207" s="60" t="s">
        <v>459</v>
      </c>
      <c r="AM207" s="152" t="s">
        <v>543</v>
      </c>
      <c r="AN207" s="120">
        <v>5.8</v>
      </c>
      <c r="AO207" s="120">
        <v>1.5</v>
      </c>
      <c r="AP207" s="120">
        <v>11</v>
      </c>
      <c r="AQ207" s="120">
        <v>13.1</v>
      </c>
      <c r="AR207" s="120">
        <v>2.4</v>
      </c>
      <c r="AS207" s="120">
        <v>11</v>
      </c>
      <c r="AT207" s="200" t="s">
        <v>52</v>
      </c>
      <c r="AU207" s="200" t="s">
        <v>52</v>
      </c>
      <c r="AV207" s="200" t="s">
        <v>52</v>
      </c>
      <c r="AW207" s="200" t="s">
        <v>52</v>
      </c>
      <c r="AX207" s="120"/>
      <c r="AY207" s="120"/>
    </row>
    <row r="208" spans="1:51" s="63" customFormat="1" x14ac:dyDescent="0.2">
      <c r="A208"/>
      <c r="B208"/>
      <c r="C208">
        <v>208</v>
      </c>
      <c r="D208"/>
      <c r="E208"/>
      <c r="F208" t="b">
        <f>IF(coder1_YH!P208="","",TRUE)</f>
        <v>1</v>
      </c>
      <c r="G208" s="122" t="s">
        <v>745</v>
      </c>
      <c r="H208" s="123">
        <v>136</v>
      </c>
      <c r="I208" s="122" t="s">
        <v>47</v>
      </c>
      <c r="J208" s="89" t="s">
        <v>452</v>
      </c>
      <c r="K208" s="89" t="s">
        <v>66</v>
      </c>
      <c r="L208" s="89" t="s">
        <v>49</v>
      </c>
      <c r="M208" s="89" t="s">
        <v>50</v>
      </c>
      <c r="N208" s="284" t="s">
        <v>914</v>
      </c>
      <c r="O208" s="284" t="s">
        <v>1018</v>
      </c>
      <c r="P208" s="128" t="s">
        <v>924</v>
      </c>
      <c r="Q208" s="63" t="s">
        <v>750</v>
      </c>
      <c r="R208" s="359">
        <v>5</v>
      </c>
      <c r="S208" s="93">
        <v>10.8</v>
      </c>
      <c r="T208" s="93">
        <v>1</v>
      </c>
      <c r="U208" s="93" t="s">
        <v>52</v>
      </c>
      <c r="V208" s="93">
        <v>0.85</v>
      </c>
      <c r="W208" s="93">
        <f>2/11</f>
        <v>0.18181818181818182</v>
      </c>
      <c r="X208" s="93">
        <f>3/11</f>
        <v>0.27272727272727271</v>
      </c>
      <c r="Y208" s="93">
        <f>1-3/11</f>
        <v>0.72727272727272729</v>
      </c>
      <c r="Z208" s="63" t="s">
        <v>92</v>
      </c>
      <c r="AA208" s="95" t="s">
        <v>747</v>
      </c>
      <c r="AB208" s="63" t="s">
        <v>456</v>
      </c>
      <c r="AC208" s="63" t="s">
        <v>56</v>
      </c>
      <c r="AD208" s="63" t="s">
        <v>57</v>
      </c>
      <c r="AE208" s="63" t="s">
        <v>72</v>
      </c>
      <c r="AF208" s="63">
        <f t="shared" si="18"/>
        <v>420</v>
      </c>
      <c r="AG208" s="63">
        <v>12</v>
      </c>
      <c r="AH208" s="63">
        <v>35</v>
      </c>
      <c r="AI208" s="63" t="s">
        <v>148</v>
      </c>
      <c r="AJ208" s="63" t="s">
        <v>542</v>
      </c>
      <c r="AK208" s="63" t="s">
        <v>95</v>
      </c>
      <c r="AL208" s="63" t="s">
        <v>459</v>
      </c>
      <c r="AM208" s="153" t="s">
        <v>543</v>
      </c>
      <c r="AN208" s="124">
        <v>5.5</v>
      </c>
      <c r="AO208" s="124">
        <v>3.2</v>
      </c>
      <c r="AP208" s="124">
        <v>11</v>
      </c>
      <c r="AQ208" s="124">
        <v>7.1</v>
      </c>
      <c r="AR208" s="124">
        <v>2.1</v>
      </c>
      <c r="AS208" s="124">
        <v>11</v>
      </c>
      <c r="AT208" s="201" t="s">
        <v>52</v>
      </c>
      <c r="AU208" s="201" t="s">
        <v>52</v>
      </c>
      <c r="AV208" s="201" t="s">
        <v>52</v>
      </c>
      <c r="AW208" s="201" t="s">
        <v>52</v>
      </c>
      <c r="AX208" s="124"/>
      <c r="AY208" s="124"/>
    </row>
    <row r="209" spans="1:53" s="60" customFormat="1" x14ac:dyDescent="0.2">
      <c r="A209"/>
      <c r="B209"/>
      <c r="C209">
        <v>209</v>
      </c>
      <c r="D209"/>
      <c r="E209"/>
      <c r="F209" t="b">
        <f>IF(coder1_YH!P209="","",TRUE)</f>
        <v>1</v>
      </c>
      <c r="G209" s="116" t="s">
        <v>751</v>
      </c>
      <c r="H209" s="117">
        <v>137</v>
      </c>
      <c r="I209" s="116" t="s">
        <v>47</v>
      </c>
      <c r="J209" s="88" t="s">
        <v>452</v>
      </c>
      <c r="K209" s="88" t="s">
        <v>66</v>
      </c>
      <c r="L209" s="88" t="s">
        <v>49</v>
      </c>
      <c r="M209" s="88" t="s">
        <v>752</v>
      </c>
      <c r="N209" s="283" t="s">
        <v>915</v>
      </c>
      <c r="O209" s="283" t="str">
        <f t="shared" si="16"/>
        <v xml:space="preserve">m </v>
      </c>
      <c r="P209" s="127">
        <v>1</v>
      </c>
      <c r="Q209" s="60" t="s">
        <v>753</v>
      </c>
      <c r="R209" s="366">
        <v>5</v>
      </c>
      <c r="S209" s="186">
        <v>10.6</v>
      </c>
      <c r="T209" s="186">
        <v>1</v>
      </c>
      <c r="U209" s="186" t="s">
        <v>52</v>
      </c>
      <c r="V209" s="186">
        <v>0.85</v>
      </c>
      <c r="W209" s="186">
        <v>0.25</v>
      </c>
      <c r="X209" s="186">
        <f>19/33</f>
        <v>0.5757575757575758</v>
      </c>
      <c r="Y209" s="186">
        <f>1-0.26</f>
        <v>0.74</v>
      </c>
      <c r="Z209" s="60" t="s">
        <v>92</v>
      </c>
      <c r="AA209" s="92" t="s">
        <v>754</v>
      </c>
      <c r="AB209" s="60" t="s">
        <v>456</v>
      </c>
      <c r="AC209" s="60" t="s">
        <v>56</v>
      </c>
      <c r="AD209" s="60" t="s">
        <v>57</v>
      </c>
      <c r="AE209" s="60" t="s">
        <v>72</v>
      </c>
      <c r="AF209" s="60">
        <f>AG209*AH209</f>
        <v>525</v>
      </c>
      <c r="AG209" s="60">
        <v>15</v>
      </c>
      <c r="AH209" s="60">
        <v>35</v>
      </c>
      <c r="AI209" s="60" t="s">
        <v>148</v>
      </c>
      <c r="AJ209" s="60" t="s">
        <v>542</v>
      </c>
      <c r="AK209" s="60" t="s">
        <v>95</v>
      </c>
      <c r="AL209" s="60" t="s">
        <v>459</v>
      </c>
      <c r="AM209" s="152" t="s">
        <v>543</v>
      </c>
      <c r="AN209" s="120">
        <v>5.7</v>
      </c>
      <c r="AO209" s="120">
        <v>1.7</v>
      </c>
      <c r="AP209" s="120">
        <v>11</v>
      </c>
      <c r="AQ209" s="120">
        <v>7.9</v>
      </c>
      <c r="AR209" s="120">
        <v>3.1</v>
      </c>
      <c r="AS209" s="120">
        <v>11</v>
      </c>
      <c r="AT209" s="120">
        <v>7.8</v>
      </c>
      <c r="AU209" s="120">
        <v>2.6</v>
      </c>
      <c r="AV209" s="120">
        <v>11</v>
      </c>
      <c r="AW209" s="120">
        <v>2.5</v>
      </c>
      <c r="AX209" s="120"/>
      <c r="AY209" s="120"/>
      <c r="BA209" s="60">
        <v>1</v>
      </c>
    </row>
    <row r="210" spans="1:53" s="60" customFormat="1" x14ac:dyDescent="0.2">
      <c r="A210"/>
      <c r="B210"/>
      <c r="C210">
        <v>210</v>
      </c>
      <c r="D210" t="b">
        <f>E210</f>
        <v>1</v>
      </c>
      <c r="E210" t="b">
        <f>IF(coder1_YH!G210="","",TRUE)</f>
        <v>1</v>
      </c>
      <c r="F210" t="b">
        <f>IF(coder1_YH!P210="","",TRUE)</f>
        <v>1</v>
      </c>
      <c r="G210" s="116" t="s">
        <v>751</v>
      </c>
      <c r="H210" s="117">
        <v>137</v>
      </c>
      <c r="I210" s="116" t="s">
        <v>47</v>
      </c>
      <c r="J210" s="88" t="s">
        <v>452</v>
      </c>
      <c r="K210" s="88" t="s">
        <v>66</v>
      </c>
      <c r="L210" s="88" t="s">
        <v>49</v>
      </c>
      <c r="M210" s="88" t="s">
        <v>752</v>
      </c>
      <c r="N210" s="283" t="s">
        <v>1032</v>
      </c>
      <c r="O210" s="283" t="str">
        <f t="shared" si="16"/>
        <v xml:space="preserve">m </v>
      </c>
      <c r="P210" s="127">
        <v>2</v>
      </c>
      <c r="Q210" s="60" t="s">
        <v>755</v>
      </c>
      <c r="R210" s="358">
        <v>5</v>
      </c>
      <c r="S210" s="90">
        <v>10.6</v>
      </c>
      <c r="T210" s="90">
        <v>1</v>
      </c>
      <c r="U210" s="90" t="s">
        <v>52</v>
      </c>
      <c r="V210" s="90">
        <v>0.85</v>
      </c>
      <c r="W210" s="90">
        <v>0.25</v>
      </c>
      <c r="X210" s="90">
        <f t="shared" ref="X210:X211" si="19">19/33</f>
        <v>0.5757575757575758</v>
      </c>
      <c r="Y210" s="90">
        <f t="shared" ref="Y210:Y211" si="20">1-0.26</f>
        <v>0.74</v>
      </c>
      <c r="Z210" s="60" t="s">
        <v>92</v>
      </c>
      <c r="AA210" s="92" t="s">
        <v>754</v>
      </c>
      <c r="AB210" s="60" t="s">
        <v>456</v>
      </c>
      <c r="AC210" s="60" t="s">
        <v>56</v>
      </c>
      <c r="AD210" s="60" t="s">
        <v>57</v>
      </c>
      <c r="AE210" s="60" t="s">
        <v>72</v>
      </c>
      <c r="AF210" s="60">
        <f t="shared" ref="AF210:AF215" si="21">AG210*AH210</f>
        <v>525</v>
      </c>
      <c r="AG210" s="60">
        <v>15</v>
      </c>
      <c r="AH210" s="60">
        <v>35</v>
      </c>
      <c r="AI210" s="60" t="s">
        <v>148</v>
      </c>
      <c r="AJ210" s="60" t="s">
        <v>542</v>
      </c>
      <c r="AK210" s="60" t="s">
        <v>95</v>
      </c>
      <c r="AL210" s="60" t="s">
        <v>459</v>
      </c>
      <c r="AM210" s="152" t="s">
        <v>543</v>
      </c>
      <c r="AN210" s="120">
        <v>6.4</v>
      </c>
      <c r="AO210" s="120">
        <v>1.7</v>
      </c>
      <c r="AP210" s="120">
        <v>11</v>
      </c>
      <c r="AQ210" s="120">
        <v>10.8</v>
      </c>
      <c r="AR210" s="120">
        <v>2.2000000000000002</v>
      </c>
      <c r="AS210" s="127">
        <v>11</v>
      </c>
      <c r="AT210" s="127">
        <v>10.6</v>
      </c>
      <c r="AU210" s="127">
        <v>2.6</v>
      </c>
      <c r="AV210" s="127">
        <v>11</v>
      </c>
      <c r="AW210" s="120">
        <v>2.5</v>
      </c>
      <c r="AX210" s="127"/>
      <c r="AY210" s="127"/>
      <c r="BA210" s="60">
        <v>1</v>
      </c>
    </row>
    <row r="211" spans="1:53" s="63" customFormat="1" x14ac:dyDescent="0.2">
      <c r="A211"/>
      <c r="B211"/>
      <c r="C211">
        <v>211</v>
      </c>
      <c r="D211"/>
      <c r="E211" t="str">
        <f>IF(coder1_YH!G211="","",TRUE)</f>
        <v/>
      </c>
      <c r="F211" t="b">
        <f>IF(coder1_YH!P211="","",TRUE)</f>
        <v>1</v>
      </c>
      <c r="G211" s="122"/>
      <c r="H211" s="123"/>
      <c r="I211" s="122"/>
      <c r="J211" s="89"/>
      <c r="K211" s="89"/>
      <c r="L211" s="89"/>
      <c r="M211" s="89"/>
      <c r="N211" s="284" t="s">
        <v>914</v>
      </c>
      <c r="O211" s="284" t="str">
        <f t="shared" si="16"/>
        <v xml:space="preserve">m </v>
      </c>
      <c r="P211" s="128" t="s">
        <v>924</v>
      </c>
      <c r="Q211" s="63" t="s">
        <v>756</v>
      </c>
      <c r="R211" s="359">
        <v>5</v>
      </c>
      <c r="S211" s="93">
        <v>10.6</v>
      </c>
      <c r="T211" s="93">
        <v>1</v>
      </c>
      <c r="U211" s="93" t="s">
        <v>52</v>
      </c>
      <c r="V211" s="93">
        <v>0.85</v>
      </c>
      <c r="W211" s="93">
        <v>0.25</v>
      </c>
      <c r="X211" s="93">
        <f t="shared" si="19"/>
        <v>0.5757575757575758</v>
      </c>
      <c r="Y211" s="93">
        <f t="shared" si="20"/>
        <v>0.74</v>
      </c>
      <c r="Z211" s="63" t="s">
        <v>92</v>
      </c>
      <c r="AA211" s="95" t="s">
        <v>757</v>
      </c>
      <c r="AB211" s="63" t="s">
        <v>456</v>
      </c>
      <c r="AC211" s="63" t="s">
        <v>56</v>
      </c>
      <c r="AD211" s="63" t="s">
        <v>57</v>
      </c>
      <c r="AE211" s="63" t="s">
        <v>72</v>
      </c>
      <c r="AF211" s="63">
        <f t="shared" si="21"/>
        <v>525</v>
      </c>
      <c r="AG211" s="63">
        <v>15</v>
      </c>
      <c r="AH211" s="63">
        <v>35</v>
      </c>
      <c r="AI211" s="63" t="s">
        <v>148</v>
      </c>
      <c r="AJ211" s="63" t="s">
        <v>542</v>
      </c>
      <c r="AK211" s="63" t="s">
        <v>95</v>
      </c>
      <c r="AL211" s="63" t="s">
        <v>459</v>
      </c>
      <c r="AM211" s="153" t="s">
        <v>543</v>
      </c>
      <c r="AN211" s="124">
        <v>6.5</v>
      </c>
      <c r="AO211" s="124">
        <v>2.9</v>
      </c>
      <c r="AP211" s="124">
        <v>11</v>
      </c>
      <c r="AQ211" s="124">
        <v>7.2</v>
      </c>
      <c r="AR211" s="124">
        <v>3.3</v>
      </c>
      <c r="AS211" s="128">
        <v>11</v>
      </c>
      <c r="AT211" s="128">
        <v>7.5</v>
      </c>
      <c r="AU211" s="128">
        <v>2.8</v>
      </c>
      <c r="AV211" s="128">
        <v>11</v>
      </c>
      <c r="AW211" s="124">
        <v>2.5</v>
      </c>
      <c r="AX211" s="128"/>
      <c r="AY211" s="128"/>
      <c r="BA211" s="63">
        <v>1</v>
      </c>
    </row>
    <row r="212" spans="1:53" s="60" customFormat="1" x14ac:dyDescent="0.2">
      <c r="A212"/>
      <c r="B212"/>
      <c r="C212">
        <v>212</v>
      </c>
      <c r="D212" t="b">
        <f>E212</f>
        <v>1</v>
      </c>
      <c r="E212" t="b">
        <f>IF(coder1_YH!G212="","",TRUE)</f>
        <v>1</v>
      </c>
      <c r="F212" t="b">
        <f>IF(coder1_YH!P212="","",TRUE)</f>
        <v>1</v>
      </c>
      <c r="G212" s="116" t="s">
        <v>758</v>
      </c>
      <c r="H212" s="117">
        <v>138</v>
      </c>
      <c r="I212" s="116" t="s">
        <v>244</v>
      </c>
      <c r="J212" s="88" t="s">
        <v>533</v>
      </c>
      <c r="K212" s="88" t="s">
        <v>66</v>
      </c>
      <c r="L212" s="88" t="s">
        <v>49</v>
      </c>
      <c r="M212" s="88" t="s">
        <v>238</v>
      </c>
      <c r="N212" s="283" t="s">
        <v>915</v>
      </c>
      <c r="O212" s="283" t="str">
        <f t="shared" si="16"/>
        <v xml:space="preserve">m </v>
      </c>
      <c r="P212" s="127">
        <v>1</v>
      </c>
      <c r="Q212" s="60" t="s">
        <v>759</v>
      </c>
      <c r="R212" s="358">
        <v>4</v>
      </c>
      <c r="S212" s="90">
        <v>9.5</v>
      </c>
      <c r="T212" s="90" t="s">
        <v>52</v>
      </c>
      <c r="U212" s="90" t="s">
        <v>52</v>
      </c>
      <c r="V212" s="90">
        <f>0.074</f>
        <v>7.3999999999999996E-2</v>
      </c>
      <c r="W212" s="90">
        <v>5.3999999999999999E-2</v>
      </c>
      <c r="X212" s="90">
        <v>0.46100000000000002</v>
      </c>
      <c r="Y212" s="90">
        <f>1-0.686</f>
        <v>0.31399999999999995</v>
      </c>
      <c r="Z212" s="60" t="s">
        <v>92</v>
      </c>
      <c r="AA212" s="92" t="s">
        <v>760</v>
      </c>
      <c r="AB212" s="60" t="s">
        <v>456</v>
      </c>
      <c r="AC212" s="60" t="s">
        <v>153</v>
      </c>
      <c r="AD212" s="60" t="s">
        <v>511</v>
      </c>
      <c r="AE212" s="60" t="s">
        <v>58</v>
      </c>
      <c r="AF212" s="60">
        <f t="shared" si="21"/>
        <v>2880</v>
      </c>
      <c r="AG212" s="60">
        <f>2*8*4</f>
        <v>64</v>
      </c>
      <c r="AH212" s="60">
        <v>45</v>
      </c>
      <c r="AI212" s="60" t="s">
        <v>148</v>
      </c>
      <c r="AJ212" s="60" t="s">
        <v>761</v>
      </c>
      <c r="AK212" s="60" t="s">
        <v>95</v>
      </c>
      <c r="AL212" s="60" t="s">
        <v>459</v>
      </c>
      <c r="AM212" s="152" t="s">
        <v>762</v>
      </c>
      <c r="AN212" s="120">
        <v>7.33</v>
      </c>
      <c r="AO212" s="120">
        <v>3.09</v>
      </c>
      <c r="AP212" s="120">
        <v>248</v>
      </c>
      <c r="AQ212" s="120">
        <v>9.26</v>
      </c>
      <c r="AR212" s="120">
        <v>3.43</v>
      </c>
      <c r="AS212" s="127">
        <v>243</v>
      </c>
      <c r="AT212" s="200" t="s">
        <v>52</v>
      </c>
      <c r="AU212" s="200" t="s">
        <v>52</v>
      </c>
      <c r="AV212" s="200" t="s">
        <v>52</v>
      </c>
      <c r="AW212" s="200" t="s">
        <v>52</v>
      </c>
      <c r="AX212" s="127"/>
      <c r="AY212" s="127"/>
    </row>
    <row r="213" spans="1:53" s="63" customFormat="1" x14ac:dyDescent="0.2">
      <c r="A213"/>
      <c r="B213"/>
      <c r="C213">
        <v>213</v>
      </c>
      <c r="D213"/>
      <c r="E213" t="str">
        <f>IF(coder1_YH!G213="","",TRUE)</f>
        <v/>
      </c>
      <c r="F213" t="b">
        <f>IF(coder1_YH!P213="","",TRUE)</f>
        <v>1</v>
      </c>
      <c r="G213" s="122"/>
      <c r="H213" s="123"/>
      <c r="I213" s="122"/>
      <c r="J213" s="89"/>
      <c r="K213" s="89"/>
      <c r="L213" s="89"/>
      <c r="M213" s="89"/>
      <c r="N213" s="284" t="s">
        <v>914</v>
      </c>
      <c r="O213" s="284" t="str">
        <f t="shared" si="16"/>
        <v xml:space="preserve">m </v>
      </c>
      <c r="P213" s="128" t="s">
        <v>924</v>
      </c>
      <c r="Q213" s="63" t="s">
        <v>763</v>
      </c>
      <c r="R213" s="359">
        <v>4</v>
      </c>
      <c r="S213" s="93">
        <v>9.5</v>
      </c>
      <c r="T213" s="93" t="s">
        <v>52</v>
      </c>
      <c r="U213" s="93" t="s">
        <v>52</v>
      </c>
      <c r="V213" s="93">
        <v>5.8000000000000003E-2</v>
      </c>
      <c r="W213" s="93">
        <v>1.9E-2</v>
      </c>
      <c r="X213" s="93">
        <v>0.49399999999999999</v>
      </c>
      <c r="Y213" s="93">
        <f>1-0.747</f>
        <v>0.253</v>
      </c>
      <c r="Z213" s="63" t="s">
        <v>92</v>
      </c>
      <c r="AA213" s="95" t="s">
        <v>760</v>
      </c>
      <c r="AB213" s="63" t="s">
        <v>80</v>
      </c>
      <c r="AC213" s="63" t="s">
        <v>153</v>
      </c>
      <c r="AD213" s="63" t="s">
        <v>511</v>
      </c>
      <c r="AE213" s="63" t="s">
        <v>58</v>
      </c>
      <c r="AF213" s="63">
        <f t="shared" si="21"/>
        <v>2880</v>
      </c>
      <c r="AG213" s="63">
        <f>2*8*4</f>
        <v>64</v>
      </c>
      <c r="AH213" s="63">
        <v>45</v>
      </c>
      <c r="AI213" s="63" t="s">
        <v>148</v>
      </c>
      <c r="AJ213" s="63" t="s">
        <v>761</v>
      </c>
      <c r="AK213" s="63" t="s">
        <v>95</v>
      </c>
      <c r="AL213" s="63" t="s">
        <v>459</v>
      </c>
      <c r="AM213" s="153" t="s">
        <v>762</v>
      </c>
      <c r="AN213" s="124">
        <v>6.93</v>
      </c>
      <c r="AO213" s="124">
        <v>2.96</v>
      </c>
      <c r="AP213" s="124">
        <v>293</v>
      </c>
      <c r="AQ213" s="124">
        <v>9.6199999999999992</v>
      </c>
      <c r="AR213" s="124">
        <v>3.41</v>
      </c>
      <c r="AS213" s="128">
        <v>291</v>
      </c>
      <c r="AT213" s="201" t="s">
        <v>52</v>
      </c>
      <c r="AU213" s="201" t="s">
        <v>52</v>
      </c>
      <c r="AV213" s="201" t="s">
        <v>52</v>
      </c>
      <c r="AW213" s="201" t="s">
        <v>52</v>
      </c>
      <c r="AX213" s="128"/>
      <c r="AY213" s="128"/>
    </row>
    <row r="214" spans="1:53" s="60" customFormat="1" x14ac:dyDescent="0.2">
      <c r="A214"/>
      <c r="B214"/>
      <c r="C214">
        <v>214</v>
      </c>
      <c r="D214" t="b">
        <f>E214</f>
        <v>1</v>
      </c>
      <c r="E214" t="b">
        <f>IF(coder1_YH!G214="","",TRUE)</f>
        <v>1</v>
      </c>
      <c r="F214" t="b">
        <f>IF(coder1_YH!P214="","",TRUE)</f>
        <v>1</v>
      </c>
      <c r="G214" s="116" t="s">
        <v>764</v>
      </c>
      <c r="H214" s="117">
        <v>139</v>
      </c>
      <c r="I214" s="116" t="s">
        <v>765</v>
      </c>
      <c r="J214" s="88" t="s">
        <v>452</v>
      </c>
      <c r="K214" s="88" t="s">
        <v>66</v>
      </c>
      <c r="L214" s="88" t="s">
        <v>49</v>
      </c>
      <c r="M214" s="88" t="s">
        <v>752</v>
      </c>
      <c r="N214" s="283" t="s">
        <v>925</v>
      </c>
      <c r="O214" s="283" t="str">
        <f t="shared" si="16"/>
        <v>cm</v>
      </c>
      <c r="P214" s="127">
        <v>1</v>
      </c>
      <c r="Q214" s="60" t="s">
        <v>766</v>
      </c>
      <c r="R214" s="358">
        <v>3</v>
      </c>
      <c r="S214" s="90">
        <v>8.99</v>
      </c>
      <c r="T214" s="90">
        <v>1</v>
      </c>
      <c r="U214" s="90">
        <v>0</v>
      </c>
      <c r="V214" s="90">
        <v>0</v>
      </c>
      <c r="W214" s="90">
        <v>0</v>
      </c>
      <c r="X214" s="90">
        <f>1-0.36</f>
        <v>0.64</v>
      </c>
      <c r="Y214" s="90">
        <f>1-0.56</f>
        <v>0.43999999999999995</v>
      </c>
      <c r="Z214" s="60" t="s">
        <v>53</v>
      </c>
      <c r="AA214" s="92" t="s">
        <v>767</v>
      </c>
      <c r="AB214" s="60" t="s">
        <v>456</v>
      </c>
      <c r="AC214" s="60" t="s">
        <v>153</v>
      </c>
      <c r="AD214" s="60" t="s">
        <v>57</v>
      </c>
      <c r="AE214" s="60" t="s">
        <v>72</v>
      </c>
      <c r="AF214" s="60">
        <f t="shared" si="21"/>
        <v>900</v>
      </c>
      <c r="AG214" s="60">
        <f>2.5*8</f>
        <v>20</v>
      </c>
      <c r="AH214" s="60">
        <v>45</v>
      </c>
      <c r="AI214" s="60" t="s">
        <v>59</v>
      </c>
      <c r="AJ214" s="60" t="s">
        <v>768</v>
      </c>
      <c r="AK214" s="60" t="s">
        <v>61</v>
      </c>
      <c r="AL214" s="60" t="s">
        <v>536</v>
      </c>
      <c r="AM214" s="152" t="s">
        <v>769</v>
      </c>
      <c r="AN214" s="79">
        <v>2.5499999999999998</v>
      </c>
      <c r="AO214" s="79">
        <v>0.93</v>
      </c>
      <c r="AP214" s="79">
        <v>14</v>
      </c>
      <c r="AQ214" s="79">
        <v>2.36</v>
      </c>
      <c r="AR214" s="79">
        <v>1.03</v>
      </c>
      <c r="AS214" s="127">
        <v>14</v>
      </c>
      <c r="AT214" s="200" t="s">
        <v>52</v>
      </c>
      <c r="AU214" s="200" t="s">
        <v>52</v>
      </c>
      <c r="AV214" s="200" t="s">
        <v>52</v>
      </c>
      <c r="AW214" s="200" t="s">
        <v>52</v>
      </c>
      <c r="AX214" s="127"/>
      <c r="AY214" s="127"/>
      <c r="BA214" s="60">
        <v>1</v>
      </c>
    </row>
    <row r="215" spans="1:53" s="63" customFormat="1" x14ac:dyDescent="0.2">
      <c r="A215"/>
      <c r="B215"/>
      <c r="C215">
        <v>215</v>
      </c>
      <c r="D215"/>
      <c r="E215" t="str">
        <f>IF(coder1_YH!G215="","",TRUE)</f>
        <v/>
      </c>
      <c r="F215" t="b">
        <f>IF(coder1_YH!P215="","",TRUE)</f>
        <v>1</v>
      </c>
      <c r="G215" s="122"/>
      <c r="H215" s="123"/>
      <c r="I215" s="122"/>
      <c r="J215" s="89"/>
      <c r="K215" s="89"/>
      <c r="L215" s="89"/>
      <c r="M215" s="89"/>
      <c r="N215" s="284" t="s">
        <v>914</v>
      </c>
      <c r="O215" s="284" t="str">
        <f t="shared" si="16"/>
        <v>cm</v>
      </c>
      <c r="P215" s="128" t="s">
        <v>924</v>
      </c>
      <c r="Q215" s="63" t="s">
        <v>770</v>
      </c>
      <c r="R215" s="359">
        <v>3</v>
      </c>
      <c r="S215" s="93">
        <v>8.99</v>
      </c>
      <c r="T215" s="93">
        <v>1</v>
      </c>
      <c r="U215" s="93">
        <v>0</v>
      </c>
      <c r="V215" s="93">
        <v>0</v>
      </c>
      <c r="W215" s="93">
        <v>0</v>
      </c>
      <c r="X215" s="93">
        <f>1-0.36</f>
        <v>0.64</v>
      </c>
      <c r="Y215" s="93">
        <f>1-0.56</f>
        <v>0.43999999999999995</v>
      </c>
      <c r="Z215" s="63" t="s">
        <v>53</v>
      </c>
      <c r="AA215" s="95" t="s">
        <v>767</v>
      </c>
      <c r="AB215" s="63" t="s">
        <v>456</v>
      </c>
      <c r="AC215" s="63" t="s">
        <v>153</v>
      </c>
      <c r="AD215" s="63" t="s">
        <v>57</v>
      </c>
      <c r="AE215" s="63" t="s">
        <v>72</v>
      </c>
      <c r="AF215" s="63">
        <f t="shared" si="21"/>
        <v>900</v>
      </c>
      <c r="AG215" s="63">
        <f>2.5*8</f>
        <v>20</v>
      </c>
      <c r="AH215" s="63">
        <v>45</v>
      </c>
      <c r="AI215" s="63" t="s">
        <v>59</v>
      </c>
      <c r="AJ215" s="63" t="s">
        <v>768</v>
      </c>
      <c r="AK215" s="63" t="s">
        <v>61</v>
      </c>
      <c r="AL215" s="63" t="s">
        <v>536</v>
      </c>
      <c r="AM215" s="153" t="s">
        <v>769</v>
      </c>
      <c r="AN215" s="80">
        <v>1.86</v>
      </c>
      <c r="AO215" s="80">
        <v>0.95</v>
      </c>
      <c r="AP215" s="80">
        <v>11</v>
      </c>
      <c r="AQ215" s="80">
        <v>2.29</v>
      </c>
      <c r="AR215" s="80">
        <v>1.2</v>
      </c>
      <c r="AS215" s="128">
        <v>11</v>
      </c>
      <c r="AT215" s="201" t="s">
        <v>52</v>
      </c>
      <c r="AU215" s="201" t="s">
        <v>52</v>
      </c>
      <c r="AV215" s="201" t="s">
        <v>52</v>
      </c>
      <c r="AW215" s="201" t="s">
        <v>52</v>
      </c>
      <c r="AX215" s="128"/>
      <c r="AY215" s="128"/>
      <c r="BA215" s="63">
        <v>1</v>
      </c>
    </row>
    <row r="216" spans="1:53" s="60" customFormat="1" x14ac:dyDescent="0.2">
      <c r="A216"/>
      <c r="B216"/>
      <c r="C216">
        <v>216</v>
      </c>
      <c r="D216" t="b">
        <f>E216</f>
        <v>1</v>
      </c>
      <c r="E216" t="b">
        <f>IF(coder1_YH!G216="","",TRUE)</f>
        <v>1</v>
      </c>
      <c r="F216" t="b">
        <f>IF(coder1_YH!P216="","",TRUE)</f>
        <v>1</v>
      </c>
      <c r="G216" s="116" t="s">
        <v>771</v>
      </c>
      <c r="H216" s="117">
        <v>140.1</v>
      </c>
      <c r="I216" s="116" t="s">
        <v>47</v>
      </c>
      <c r="J216" s="88" t="s">
        <v>452</v>
      </c>
      <c r="K216" s="88" t="s">
        <v>66</v>
      </c>
      <c r="L216" s="88" t="s">
        <v>228</v>
      </c>
      <c r="M216" s="88" t="s">
        <v>238</v>
      </c>
      <c r="N216" s="283" t="s">
        <v>915</v>
      </c>
      <c r="O216" s="283" t="str">
        <f t="shared" si="16"/>
        <v>cm</v>
      </c>
      <c r="P216" s="127">
        <v>1</v>
      </c>
      <c r="Q216" s="60" t="s">
        <v>772</v>
      </c>
      <c r="R216" s="358">
        <v>4</v>
      </c>
      <c r="S216" s="90">
        <v>9.5</v>
      </c>
      <c r="T216" s="90" t="s">
        <v>52</v>
      </c>
      <c r="U216" s="90" t="s">
        <v>52</v>
      </c>
      <c r="V216" s="90" t="s">
        <v>52</v>
      </c>
      <c r="W216" s="90">
        <v>1</v>
      </c>
      <c r="X216" s="90">
        <v>1</v>
      </c>
      <c r="Y216" s="186">
        <v>1</v>
      </c>
      <c r="Z216" s="60" t="s">
        <v>53</v>
      </c>
      <c r="AA216" s="92" t="s">
        <v>773</v>
      </c>
      <c r="AB216" s="60" t="s">
        <v>456</v>
      </c>
      <c r="AC216" s="126" t="s">
        <v>153</v>
      </c>
      <c r="AD216" s="126" t="s">
        <v>511</v>
      </c>
      <c r="AE216" s="126" t="s">
        <v>58</v>
      </c>
      <c r="AF216" s="126">
        <f>AG216*AH216</f>
        <v>1080</v>
      </c>
      <c r="AG216" s="126">
        <f>8*3</f>
        <v>24</v>
      </c>
      <c r="AH216" s="126">
        <v>45</v>
      </c>
      <c r="AI216" s="126" t="s">
        <v>148</v>
      </c>
      <c r="AJ216" s="60" t="s">
        <v>774</v>
      </c>
      <c r="AK216" s="60" t="s">
        <v>775</v>
      </c>
      <c r="AL216" s="60" t="s">
        <v>776</v>
      </c>
      <c r="AM216" s="152" t="s">
        <v>777</v>
      </c>
      <c r="AN216" s="120">
        <v>7.82</v>
      </c>
      <c r="AO216" s="120">
        <v>3.7</v>
      </c>
      <c r="AP216" s="120">
        <v>17</v>
      </c>
      <c r="AQ216" s="120">
        <v>8.4700000000000006</v>
      </c>
      <c r="AR216" s="120">
        <v>3.52</v>
      </c>
      <c r="AS216" s="127">
        <v>17</v>
      </c>
      <c r="AT216" s="200" t="s">
        <v>52</v>
      </c>
      <c r="AU216" s="200" t="s">
        <v>52</v>
      </c>
      <c r="AV216" s="200" t="s">
        <v>52</v>
      </c>
      <c r="AW216" s="200" t="s">
        <v>52</v>
      </c>
      <c r="AX216" s="127"/>
      <c r="AY216" s="127"/>
    </row>
    <row r="217" spans="1:53" s="60" customFormat="1" x14ac:dyDescent="0.2">
      <c r="A217"/>
      <c r="B217"/>
      <c r="C217">
        <v>217</v>
      </c>
      <c r="D217"/>
      <c r="E217" t="str">
        <f>IF(coder1_YH!G217="","",TRUE)</f>
        <v/>
      </c>
      <c r="F217" t="b">
        <f>IF(coder1_YH!P217="","",TRUE)</f>
        <v>1</v>
      </c>
      <c r="G217" s="116"/>
      <c r="H217" s="117"/>
      <c r="I217" s="116"/>
      <c r="J217" s="88"/>
      <c r="K217" s="88"/>
      <c r="L217" s="88"/>
      <c r="M217" s="88"/>
      <c r="N217" s="283" t="s">
        <v>914</v>
      </c>
      <c r="O217" s="283" t="str">
        <f t="shared" si="16"/>
        <v>.</v>
      </c>
      <c r="P217" s="127" t="s">
        <v>924</v>
      </c>
      <c r="Q217" s="60" t="s">
        <v>778</v>
      </c>
      <c r="R217" s="358">
        <v>4</v>
      </c>
      <c r="S217" s="90">
        <v>9.5</v>
      </c>
      <c r="T217" s="90" t="s">
        <v>52</v>
      </c>
      <c r="U217" s="90" t="s">
        <v>52</v>
      </c>
      <c r="V217" s="90" t="s">
        <v>52</v>
      </c>
      <c r="W217" s="90">
        <v>1</v>
      </c>
      <c r="X217" s="90">
        <v>1</v>
      </c>
      <c r="Y217" s="90">
        <v>1</v>
      </c>
      <c r="Z217" s="60" t="s">
        <v>78</v>
      </c>
      <c r="AA217" s="92" t="s">
        <v>779</v>
      </c>
      <c r="AB217" s="60" t="s">
        <v>80</v>
      </c>
      <c r="AC217" s="60" t="s">
        <v>153</v>
      </c>
      <c r="AD217" s="60" t="s">
        <v>511</v>
      </c>
      <c r="AE217" s="60" t="s">
        <v>58</v>
      </c>
      <c r="AF217" s="60">
        <f t="shared" ref="AF217:AF219" si="22">AG217*AH217</f>
        <v>1080</v>
      </c>
      <c r="AG217" s="60">
        <f t="shared" ref="AG217:AG219" si="23">8*3</f>
        <v>24</v>
      </c>
      <c r="AH217" s="60">
        <v>45</v>
      </c>
      <c r="AI217" s="60" t="s">
        <v>148</v>
      </c>
      <c r="AJ217" s="60" t="s">
        <v>774</v>
      </c>
      <c r="AK217" s="60" t="s">
        <v>775</v>
      </c>
      <c r="AL217" s="60" t="s">
        <v>776</v>
      </c>
      <c r="AM217" s="152" t="s">
        <v>777</v>
      </c>
      <c r="AN217" s="120">
        <v>7.64</v>
      </c>
      <c r="AO217" s="120">
        <v>3.65</v>
      </c>
      <c r="AP217" s="120">
        <v>14</v>
      </c>
      <c r="AQ217" s="120">
        <v>8</v>
      </c>
      <c r="AR217" s="120">
        <v>3.4</v>
      </c>
      <c r="AS217" s="127">
        <v>14</v>
      </c>
      <c r="AT217" s="200" t="s">
        <v>52</v>
      </c>
      <c r="AU217" s="200" t="s">
        <v>52</v>
      </c>
      <c r="AV217" s="200" t="s">
        <v>52</v>
      </c>
      <c r="AW217" s="200" t="s">
        <v>52</v>
      </c>
      <c r="AX217" s="127"/>
      <c r="AY217" s="127"/>
    </row>
    <row r="218" spans="1:53" s="60" customFormat="1" x14ac:dyDescent="0.2">
      <c r="A218"/>
      <c r="B218"/>
      <c r="C218">
        <v>218</v>
      </c>
      <c r="D218"/>
      <c r="E218" t="b">
        <f>IF(coder1_YH!G218="","",TRUE)</f>
        <v>1</v>
      </c>
      <c r="F218" t="b">
        <f>IF(coder1_YH!P218="","",TRUE)</f>
        <v>1</v>
      </c>
      <c r="G218" s="116" t="s">
        <v>771</v>
      </c>
      <c r="H218" s="117">
        <v>140.19999999999999</v>
      </c>
      <c r="I218" s="116" t="s">
        <v>47</v>
      </c>
      <c r="J218" s="88" t="s">
        <v>452</v>
      </c>
      <c r="K218" s="88" t="s">
        <v>66</v>
      </c>
      <c r="L218" s="88" t="s">
        <v>228</v>
      </c>
      <c r="M218" s="88" t="s">
        <v>238</v>
      </c>
      <c r="N218" s="283" t="s">
        <v>915</v>
      </c>
      <c r="O218" s="283" t="str">
        <f t="shared" si="16"/>
        <v>cm</v>
      </c>
      <c r="P218" s="127">
        <v>1</v>
      </c>
      <c r="Q218" s="60" t="s">
        <v>772</v>
      </c>
      <c r="R218" s="358">
        <v>5</v>
      </c>
      <c r="S218" s="90">
        <v>10.5</v>
      </c>
      <c r="T218" s="90" t="s">
        <v>52</v>
      </c>
      <c r="U218" s="90" t="s">
        <v>52</v>
      </c>
      <c r="V218" s="90" t="s">
        <v>52</v>
      </c>
      <c r="W218" s="90">
        <v>1</v>
      </c>
      <c r="X218" s="90">
        <v>1</v>
      </c>
      <c r="Y218" s="90">
        <v>1</v>
      </c>
      <c r="Z218" s="60" t="s">
        <v>53</v>
      </c>
      <c r="AA218" s="92" t="s">
        <v>773</v>
      </c>
      <c r="AB218" s="60" t="s">
        <v>456</v>
      </c>
      <c r="AC218" s="60" t="s">
        <v>153</v>
      </c>
      <c r="AD218" s="60" t="s">
        <v>511</v>
      </c>
      <c r="AE218" s="60" t="s">
        <v>58</v>
      </c>
      <c r="AF218" s="60">
        <f t="shared" si="22"/>
        <v>1080</v>
      </c>
      <c r="AG218" s="60">
        <f t="shared" si="23"/>
        <v>24</v>
      </c>
      <c r="AH218" s="60">
        <v>45</v>
      </c>
      <c r="AI218" s="60" t="s">
        <v>148</v>
      </c>
      <c r="AJ218" s="60" t="s">
        <v>774</v>
      </c>
      <c r="AK218" s="60" t="s">
        <v>775</v>
      </c>
      <c r="AL218" s="60" t="s">
        <v>776</v>
      </c>
      <c r="AM218" s="152" t="s">
        <v>777</v>
      </c>
      <c r="AN218" s="120">
        <v>9.67</v>
      </c>
      <c r="AO218" s="120">
        <v>3.42</v>
      </c>
      <c r="AP218" s="120">
        <v>12</v>
      </c>
      <c r="AQ218" s="120">
        <v>11.58</v>
      </c>
      <c r="AR218" s="120">
        <v>3.94</v>
      </c>
      <c r="AS218" s="127">
        <v>12</v>
      </c>
      <c r="AT218" s="200" t="s">
        <v>52</v>
      </c>
      <c r="AU218" s="200" t="s">
        <v>52</v>
      </c>
      <c r="AV218" s="200" t="s">
        <v>52</v>
      </c>
      <c r="AW218" s="200" t="s">
        <v>52</v>
      </c>
      <c r="AX218" s="127"/>
      <c r="AY218" s="127"/>
    </row>
    <row r="219" spans="1:53" s="63" customFormat="1" x14ac:dyDescent="0.2">
      <c r="A219"/>
      <c r="B219"/>
      <c r="C219">
        <v>219</v>
      </c>
      <c r="D219"/>
      <c r="E219" t="str">
        <f>IF(coder1_YH!G219="","",TRUE)</f>
        <v/>
      </c>
      <c r="F219" t="b">
        <f>IF(coder1_YH!P219="","",TRUE)</f>
        <v>1</v>
      </c>
      <c r="G219" s="122"/>
      <c r="H219" s="123"/>
      <c r="I219" s="122"/>
      <c r="J219" s="89"/>
      <c r="K219" s="89"/>
      <c r="L219" s="89"/>
      <c r="M219" s="89"/>
      <c r="N219" s="284" t="s">
        <v>914</v>
      </c>
      <c r="O219" s="284" t="str">
        <f t="shared" si="16"/>
        <v>.</v>
      </c>
      <c r="P219" s="128" t="s">
        <v>924</v>
      </c>
      <c r="Q219" s="63" t="s">
        <v>778</v>
      </c>
      <c r="R219" s="359">
        <v>5</v>
      </c>
      <c r="S219" s="93">
        <v>10.5</v>
      </c>
      <c r="T219" s="93" t="s">
        <v>52</v>
      </c>
      <c r="U219" s="93" t="s">
        <v>52</v>
      </c>
      <c r="V219" s="93" t="s">
        <v>52</v>
      </c>
      <c r="W219" s="93">
        <v>1</v>
      </c>
      <c r="X219" s="93">
        <v>1</v>
      </c>
      <c r="Y219" s="93">
        <v>1</v>
      </c>
      <c r="Z219" s="63" t="s">
        <v>78</v>
      </c>
      <c r="AA219" s="95" t="s">
        <v>779</v>
      </c>
      <c r="AB219" s="63" t="s">
        <v>80</v>
      </c>
      <c r="AC219" s="63" t="s">
        <v>153</v>
      </c>
      <c r="AD219" s="63" t="s">
        <v>511</v>
      </c>
      <c r="AE219" s="63" t="s">
        <v>58</v>
      </c>
      <c r="AF219" s="63">
        <f t="shared" si="22"/>
        <v>1080</v>
      </c>
      <c r="AG219" s="63">
        <f t="shared" si="23"/>
        <v>24</v>
      </c>
      <c r="AH219" s="63">
        <v>45</v>
      </c>
      <c r="AI219" s="63" t="s">
        <v>148</v>
      </c>
      <c r="AJ219" s="63" t="s">
        <v>774</v>
      </c>
      <c r="AK219" s="63" t="s">
        <v>775</v>
      </c>
      <c r="AL219" s="63" t="s">
        <v>776</v>
      </c>
      <c r="AM219" s="153" t="s">
        <v>777</v>
      </c>
      <c r="AN219" s="124">
        <v>9.64</v>
      </c>
      <c r="AO219" s="124">
        <v>3.47</v>
      </c>
      <c r="AP219" s="124">
        <v>14</v>
      </c>
      <c r="AQ219" s="124">
        <v>10.86</v>
      </c>
      <c r="AR219" s="124">
        <v>4.05</v>
      </c>
      <c r="AS219" s="128">
        <v>14</v>
      </c>
      <c r="AT219" s="201" t="s">
        <v>52</v>
      </c>
      <c r="AU219" s="201" t="s">
        <v>52</v>
      </c>
      <c r="AV219" s="201" t="s">
        <v>52</v>
      </c>
      <c r="AW219" s="201" t="s">
        <v>52</v>
      </c>
      <c r="AX219" s="128"/>
      <c r="AY219" s="128"/>
    </row>
    <row r="220" spans="1:53" x14ac:dyDescent="0.2">
      <c r="C220">
        <v>220</v>
      </c>
      <c r="D220" t="b">
        <f>E220</f>
        <v>1</v>
      </c>
      <c r="E220" t="b">
        <f>IF(coder1_YH!G220="","",TRUE)</f>
        <v>1</v>
      </c>
      <c r="F220" t="b">
        <f>IF(coder1_YH!P220="","",TRUE)</f>
        <v>1</v>
      </c>
      <c r="G220" s="116" t="s">
        <v>794</v>
      </c>
      <c r="H220" s="117">
        <v>141</v>
      </c>
      <c r="I220" s="116" t="s">
        <v>47</v>
      </c>
      <c r="J220" s="88" t="s">
        <v>452</v>
      </c>
      <c r="K220" s="88" t="s">
        <v>66</v>
      </c>
      <c r="L220" s="88" t="s">
        <v>228</v>
      </c>
      <c r="M220" s="88" t="s">
        <v>50</v>
      </c>
      <c r="N220" s="283" t="s">
        <v>929</v>
      </c>
      <c r="O220" s="283" t="str">
        <f t="shared" si="16"/>
        <v xml:space="preserve">m </v>
      </c>
      <c r="P220" s="127">
        <v>1</v>
      </c>
      <c r="Q220" s="60" t="s">
        <v>795</v>
      </c>
      <c r="R220" s="358" t="s">
        <v>91</v>
      </c>
      <c r="S220" s="90">
        <v>13.2</v>
      </c>
      <c r="T220" s="90">
        <v>0.50800000000000001</v>
      </c>
      <c r="U220" s="90">
        <v>1</v>
      </c>
      <c r="V220" s="90" t="s">
        <v>52</v>
      </c>
      <c r="W220" s="90">
        <f>8/(16+6)</f>
        <v>0.36363636363636365</v>
      </c>
      <c r="X220" s="90">
        <v>0.72699999999999998</v>
      </c>
      <c r="Y220" s="90">
        <f>1-0.227</f>
        <v>0.77300000000000002</v>
      </c>
      <c r="Z220" s="60" t="s">
        <v>92</v>
      </c>
      <c r="AA220" s="92" t="s">
        <v>796</v>
      </c>
      <c r="AB220" s="60" t="s">
        <v>456</v>
      </c>
      <c r="AC220" s="60" t="s">
        <v>56</v>
      </c>
      <c r="AD220" s="60" t="s">
        <v>57</v>
      </c>
      <c r="AE220" s="60" t="s">
        <v>72</v>
      </c>
      <c r="AF220" s="60">
        <f>AG220*AH220</f>
        <v>360</v>
      </c>
      <c r="AG220" s="60">
        <v>12</v>
      </c>
      <c r="AH220" s="60">
        <v>30</v>
      </c>
      <c r="AI220" s="60" t="s">
        <v>59</v>
      </c>
      <c r="AJ220" s="60" t="s">
        <v>797</v>
      </c>
      <c r="AK220" s="60" t="s">
        <v>61</v>
      </c>
      <c r="AL220" s="60" t="s">
        <v>459</v>
      </c>
      <c r="AM220" s="152" t="s">
        <v>52</v>
      </c>
      <c r="AN220" s="120">
        <v>3.82</v>
      </c>
      <c r="AO220" s="120">
        <v>1.31</v>
      </c>
      <c r="AP220" s="120">
        <v>22</v>
      </c>
      <c r="AQ220" s="120">
        <v>7.39</v>
      </c>
      <c r="AR220" s="120">
        <v>2.17</v>
      </c>
      <c r="AS220" s="127">
        <v>22</v>
      </c>
      <c r="AT220" s="199" t="s">
        <v>52</v>
      </c>
      <c r="AU220" s="199" t="s">
        <v>52</v>
      </c>
      <c r="AV220" s="199" t="s">
        <v>52</v>
      </c>
      <c r="AW220" s="199" t="s">
        <v>52</v>
      </c>
      <c r="AX220" s="200"/>
      <c r="AY220" s="200"/>
    </row>
    <row r="221" spans="1:53" x14ac:dyDescent="0.2">
      <c r="C221">
        <v>221</v>
      </c>
      <c r="E221" t="str">
        <f>IF(coder1_YH!G221="","",TRUE)</f>
        <v/>
      </c>
      <c r="F221" t="str">
        <f>IF(coder1_YH!P221="","",TRUE)</f>
        <v/>
      </c>
      <c r="G221" s="116"/>
      <c r="H221" s="117"/>
      <c r="I221" s="116"/>
      <c r="K221" s="88"/>
      <c r="L221" s="88"/>
      <c r="O221" s="283" t="str">
        <f t="shared" si="16"/>
        <v/>
      </c>
      <c r="Q221" s="60"/>
      <c r="R221" s="358"/>
      <c r="S221" s="90"/>
      <c r="T221" s="90"/>
      <c r="U221" s="90"/>
      <c r="V221" s="90"/>
      <c r="W221" s="90"/>
      <c r="X221" s="90"/>
      <c r="Y221" s="90"/>
      <c r="Z221" s="60"/>
      <c r="AA221" s="92"/>
      <c r="AB221" s="60"/>
      <c r="AC221" s="60"/>
      <c r="AD221" s="60"/>
      <c r="AE221" s="60"/>
      <c r="AF221" s="60"/>
      <c r="AG221" s="60"/>
      <c r="AH221" s="60"/>
      <c r="AI221" s="60"/>
      <c r="AJ221" s="60" t="s">
        <v>798</v>
      </c>
      <c r="AK221" s="60" t="s">
        <v>95</v>
      </c>
      <c r="AL221" s="60" t="s">
        <v>459</v>
      </c>
      <c r="AM221" s="152" t="s">
        <v>52</v>
      </c>
      <c r="AN221" s="120">
        <v>2.14</v>
      </c>
      <c r="AO221" s="120">
        <v>1.36</v>
      </c>
      <c r="AP221" s="120">
        <v>22</v>
      </c>
      <c r="AQ221" s="120">
        <v>3.41</v>
      </c>
      <c r="AR221" s="120">
        <v>1.99</v>
      </c>
      <c r="AS221" s="127">
        <v>22</v>
      </c>
      <c r="AT221" s="200" t="s">
        <v>52</v>
      </c>
      <c r="AU221" s="200" t="s">
        <v>52</v>
      </c>
      <c r="AV221" s="200" t="s">
        <v>52</v>
      </c>
      <c r="AW221" s="200" t="s">
        <v>52</v>
      </c>
      <c r="AX221" s="200"/>
      <c r="AY221" s="200"/>
    </row>
    <row r="222" spans="1:53" x14ac:dyDescent="0.2">
      <c r="C222">
        <v>222</v>
      </c>
      <c r="E222" t="str">
        <f>IF(coder1_YH!G222="","",TRUE)</f>
        <v/>
      </c>
      <c r="F222" t="str">
        <f>IF(coder1_YH!P222="","",TRUE)</f>
        <v/>
      </c>
      <c r="G222" s="116"/>
      <c r="H222" s="117"/>
      <c r="I222" s="116"/>
      <c r="K222" s="88"/>
      <c r="L222" s="88"/>
      <c r="O222" s="283" t="str">
        <f t="shared" si="16"/>
        <v/>
      </c>
      <c r="Q222" s="60"/>
      <c r="R222" s="358"/>
      <c r="S222" s="90"/>
      <c r="T222" s="90"/>
      <c r="U222" s="90"/>
      <c r="V222" s="90"/>
      <c r="W222" s="90"/>
      <c r="X222" s="90"/>
      <c r="Y222" s="90"/>
      <c r="Z222" s="60"/>
      <c r="AA222" s="92"/>
      <c r="AB222" s="60"/>
      <c r="AC222" s="60"/>
      <c r="AD222" s="60"/>
      <c r="AE222" s="60"/>
      <c r="AF222" s="60"/>
      <c r="AG222" s="60"/>
      <c r="AH222" s="60"/>
      <c r="AI222" s="60"/>
      <c r="AJ222" s="60" t="s">
        <v>799</v>
      </c>
      <c r="AK222" s="60" t="s">
        <v>95</v>
      </c>
      <c r="AL222" s="60" t="s">
        <v>459</v>
      </c>
      <c r="AM222" s="152" t="s">
        <v>52</v>
      </c>
      <c r="AN222" s="120">
        <v>4.32</v>
      </c>
      <c r="AO222" s="120">
        <v>1.52</v>
      </c>
      <c r="AP222" s="120">
        <v>22</v>
      </c>
      <c r="AQ222" s="120">
        <v>5.45</v>
      </c>
      <c r="AR222" s="120">
        <v>1.65</v>
      </c>
      <c r="AS222" s="127">
        <v>22</v>
      </c>
      <c r="AT222" s="200" t="s">
        <v>52</v>
      </c>
      <c r="AU222" s="200" t="s">
        <v>52</v>
      </c>
      <c r="AV222" s="200" t="s">
        <v>52</v>
      </c>
      <c r="AW222" s="200" t="s">
        <v>52</v>
      </c>
      <c r="AX222" s="200"/>
      <c r="AY222" s="200"/>
    </row>
    <row r="223" spans="1:53" x14ac:dyDescent="0.2">
      <c r="C223">
        <v>223</v>
      </c>
      <c r="E223" t="str">
        <f>IF(coder1_YH!G223="","",TRUE)</f>
        <v/>
      </c>
      <c r="F223" t="str">
        <f>IF(coder1_YH!P223="","",TRUE)</f>
        <v/>
      </c>
      <c r="G223" s="116"/>
      <c r="H223" s="117"/>
      <c r="I223" s="116"/>
      <c r="K223" s="88"/>
      <c r="L223" s="88"/>
      <c r="O223" s="283" t="str">
        <f t="shared" si="16"/>
        <v/>
      </c>
      <c r="Q223" s="60"/>
      <c r="R223" s="358"/>
      <c r="S223" s="90"/>
      <c r="T223" s="90"/>
      <c r="U223" s="90"/>
      <c r="V223" s="90"/>
      <c r="W223" s="90"/>
      <c r="X223" s="90"/>
      <c r="Y223" s="90"/>
      <c r="Z223" s="60"/>
      <c r="AA223" s="92"/>
      <c r="AB223" s="60"/>
      <c r="AC223" s="60"/>
      <c r="AD223" s="60"/>
      <c r="AE223" s="60"/>
      <c r="AF223" s="60"/>
      <c r="AG223" s="60"/>
      <c r="AH223" s="60"/>
      <c r="AI223" s="60"/>
      <c r="AJ223" s="63" t="s">
        <v>800</v>
      </c>
      <c r="AK223" s="63" t="s">
        <v>95</v>
      </c>
      <c r="AL223" s="63" t="s">
        <v>459</v>
      </c>
      <c r="AM223" s="153" t="s">
        <v>52</v>
      </c>
      <c r="AN223" s="124">
        <v>6.45</v>
      </c>
      <c r="AO223" s="124">
        <v>2.2400000000000002</v>
      </c>
      <c r="AP223" s="124">
        <v>22</v>
      </c>
      <c r="AQ223" s="124">
        <v>8.86</v>
      </c>
      <c r="AR223" s="124">
        <v>3.39</v>
      </c>
      <c r="AS223" s="128">
        <v>22</v>
      </c>
      <c r="AT223" s="200" t="s">
        <v>52</v>
      </c>
      <c r="AU223" s="200" t="s">
        <v>52</v>
      </c>
      <c r="AV223" s="200" t="s">
        <v>52</v>
      </c>
      <c r="AW223" s="200" t="s">
        <v>52</v>
      </c>
      <c r="AX223" s="200"/>
      <c r="AY223" s="200"/>
    </row>
    <row r="224" spans="1:53" x14ac:dyDescent="0.2">
      <c r="C224">
        <v>224</v>
      </c>
      <c r="E224" t="str">
        <f>IF(coder1_YH!G224="","",TRUE)</f>
        <v/>
      </c>
      <c r="F224" t="b">
        <f>IF(coder1_YH!P224="","",TRUE)</f>
        <v>1</v>
      </c>
      <c r="G224" s="116"/>
      <c r="H224" s="117"/>
      <c r="I224" s="116"/>
      <c r="K224" s="88"/>
      <c r="L224" s="88"/>
      <c r="N224" s="283" t="s">
        <v>915</v>
      </c>
      <c r="O224" s="283" t="str">
        <f t="shared" si="16"/>
        <v xml:space="preserve">m </v>
      </c>
      <c r="P224" s="127">
        <v>2</v>
      </c>
      <c r="Q224" s="60" t="s">
        <v>951</v>
      </c>
      <c r="R224" s="358" t="s">
        <v>91</v>
      </c>
      <c r="S224" s="90">
        <v>13.2</v>
      </c>
      <c r="T224" s="90">
        <v>0.50800000000000001</v>
      </c>
      <c r="U224" s="90">
        <v>1</v>
      </c>
      <c r="V224" s="90" t="s">
        <v>52</v>
      </c>
      <c r="W224" s="90">
        <f>8/20</f>
        <v>0.4</v>
      </c>
      <c r="X224" s="90">
        <v>0.6</v>
      </c>
      <c r="Y224" s="90">
        <f>1-0.05</f>
        <v>0.95</v>
      </c>
      <c r="Z224" s="60" t="s">
        <v>92</v>
      </c>
      <c r="AA224" s="92" t="s">
        <v>796</v>
      </c>
      <c r="AB224" s="60" t="s">
        <v>456</v>
      </c>
      <c r="AC224" s="60" t="s">
        <v>56</v>
      </c>
      <c r="AD224" s="60" t="s">
        <v>57</v>
      </c>
      <c r="AE224" s="60" t="s">
        <v>58</v>
      </c>
      <c r="AF224" s="60">
        <f t="shared" ref="AF224:AF228" si="24">AG224*AH224</f>
        <v>360</v>
      </c>
      <c r="AG224" s="60">
        <v>12</v>
      </c>
      <c r="AH224" s="60">
        <v>30</v>
      </c>
      <c r="AI224" s="60" t="s">
        <v>59</v>
      </c>
      <c r="AJ224" s="60" t="s">
        <v>797</v>
      </c>
      <c r="AK224" s="60" t="s">
        <v>61</v>
      </c>
      <c r="AL224" s="60" t="s">
        <v>459</v>
      </c>
      <c r="AM224" s="152" t="s">
        <v>52</v>
      </c>
      <c r="AN224" s="127">
        <v>3.7</v>
      </c>
      <c r="AO224" s="127">
        <v>1.73</v>
      </c>
      <c r="AP224" s="127">
        <v>20</v>
      </c>
      <c r="AQ224" s="127">
        <v>6.35</v>
      </c>
      <c r="AR224" s="127">
        <v>1.78</v>
      </c>
      <c r="AS224" s="127">
        <v>20</v>
      </c>
      <c r="AT224" s="200" t="s">
        <v>52</v>
      </c>
      <c r="AU224" s="200" t="s">
        <v>52</v>
      </c>
      <c r="AV224" s="200" t="s">
        <v>52</v>
      </c>
      <c r="AW224" s="200" t="s">
        <v>52</v>
      </c>
      <c r="AX224" s="200"/>
      <c r="AY224" s="200"/>
    </row>
    <row r="225" spans="1:55" x14ac:dyDescent="0.2">
      <c r="C225">
        <v>225</v>
      </c>
      <c r="E225" t="str">
        <f>IF(coder1_YH!G225="","",TRUE)</f>
        <v/>
      </c>
      <c r="F225" t="str">
        <f>IF(coder1_YH!P225="","",TRUE)</f>
        <v/>
      </c>
      <c r="G225" s="116"/>
      <c r="H225" s="117"/>
      <c r="I225" s="116"/>
      <c r="K225" s="88"/>
      <c r="L225" s="88"/>
      <c r="O225" s="283" t="str">
        <f t="shared" si="16"/>
        <v/>
      </c>
      <c r="Q225" s="60"/>
      <c r="R225" s="358"/>
      <c r="S225" s="90"/>
      <c r="T225" s="90"/>
      <c r="U225" s="90"/>
      <c r="V225" s="90"/>
      <c r="W225" s="90"/>
      <c r="X225" s="90"/>
      <c r="Y225" s="90"/>
      <c r="Z225" s="60"/>
      <c r="AA225" s="92"/>
      <c r="AB225" s="60"/>
      <c r="AC225" s="60"/>
      <c r="AD225" s="60"/>
      <c r="AE225" s="60"/>
      <c r="AF225" s="60"/>
      <c r="AG225" s="60"/>
      <c r="AH225" s="60"/>
      <c r="AI225" s="60"/>
      <c r="AJ225" s="60" t="s">
        <v>798</v>
      </c>
      <c r="AK225" s="60" t="s">
        <v>95</v>
      </c>
      <c r="AL225" s="60" t="s">
        <v>459</v>
      </c>
      <c r="AM225" s="152" t="s">
        <v>52</v>
      </c>
      <c r="AN225" s="120">
        <v>1.55</v>
      </c>
      <c r="AO225" s="120">
        <v>1.4</v>
      </c>
      <c r="AP225" s="120">
        <v>20</v>
      </c>
      <c r="AQ225" s="120">
        <v>3</v>
      </c>
      <c r="AR225" s="120">
        <v>2.1800000000000002</v>
      </c>
      <c r="AS225" s="127">
        <v>20</v>
      </c>
      <c r="AT225" s="200" t="s">
        <v>52</v>
      </c>
      <c r="AU225" s="200" t="s">
        <v>52</v>
      </c>
      <c r="AV225" s="200" t="s">
        <v>52</v>
      </c>
      <c r="AW225" s="200" t="s">
        <v>52</v>
      </c>
      <c r="AX225" s="200"/>
      <c r="AY225" s="200"/>
    </row>
    <row r="226" spans="1:55" x14ac:dyDescent="0.2">
      <c r="C226">
        <v>226</v>
      </c>
      <c r="E226" t="str">
        <f>IF(coder1_YH!G226="","",TRUE)</f>
        <v/>
      </c>
      <c r="F226" t="str">
        <f>IF(coder1_YH!P226="","",TRUE)</f>
        <v/>
      </c>
      <c r="G226" s="116"/>
      <c r="H226" s="117"/>
      <c r="I226" s="116"/>
      <c r="K226" s="88"/>
      <c r="L226" s="88"/>
      <c r="O226" s="283" t="str">
        <f t="shared" si="16"/>
        <v/>
      </c>
      <c r="Q226" s="60"/>
      <c r="R226" s="358"/>
      <c r="S226" s="90"/>
      <c r="T226" s="90"/>
      <c r="U226" s="90"/>
      <c r="V226" s="90"/>
      <c r="W226" s="90"/>
      <c r="X226" s="90"/>
      <c r="Y226" s="90"/>
      <c r="Z226" s="60"/>
      <c r="AA226" s="92"/>
      <c r="AB226" s="60"/>
      <c r="AC226" s="60"/>
      <c r="AD226" s="60"/>
      <c r="AE226" s="60"/>
      <c r="AF226" s="60"/>
      <c r="AG226" s="60"/>
      <c r="AH226" s="60"/>
      <c r="AI226" s="60"/>
      <c r="AJ226" s="60" t="s">
        <v>799</v>
      </c>
      <c r="AK226" s="60" t="s">
        <v>95</v>
      </c>
      <c r="AL226" s="60" t="s">
        <v>459</v>
      </c>
      <c r="AM226" s="152" t="s">
        <v>52</v>
      </c>
      <c r="AN226" s="120">
        <v>4.2</v>
      </c>
      <c r="AO226" s="120">
        <v>1.44</v>
      </c>
      <c r="AP226" s="120">
        <v>20</v>
      </c>
      <c r="AQ226" s="120">
        <v>4.95</v>
      </c>
      <c r="AR226" s="120">
        <v>1.79</v>
      </c>
      <c r="AS226" s="127">
        <v>20</v>
      </c>
      <c r="AT226" s="200" t="s">
        <v>52</v>
      </c>
      <c r="AU226" s="200" t="s">
        <v>52</v>
      </c>
      <c r="AV226" s="200" t="s">
        <v>52</v>
      </c>
      <c r="AW226" s="200" t="s">
        <v>52</v>
      </c>
      <c r="AX226" s="200"/>
      <c r="AY226" s="200"/>
    </row>
    <row r="227" spans="1:55" x14ac:dyDescent="0.2">
      <c r="C227">
        <v>227</v>
      </c>
      <c r="E227" t="str">
        <f>IF(coder1_YH!G227="","",TRUE)</f>
        <v/>
      </c>
      <c r="F227" t="str">
        <f>IF(coder1_YH!P227="","",TRUE)</f>
        <v/>
      </c>
      <c r="G227" s="116"/>
      <c r="H227" s="117"/>
      <c r="I227" s="116"/>
      <c r="K227" s="88"/>
      <c r="L227" s="88"/>
      <c r="O227" s="283" t="str">
        <f t="shared" si="16"/>
        <v/>
      </c>
      <c r="Q227" s="60"/>
      <c r="R227" s="358"/>
      <c r="S227" s="90"/>
      <c r="T227" s="90"/>
      <c r="U227" s="90"/>
      <c r="V227" s="90"/>
      <c r="W227" s="90"/>
      <c r="X227" s="90"/>
      <c r="Y227" s="90"/>
      <c r="Z227" s="60"/>
      <c r="AA227" s="92"/>
      <c r="AB227" s="60"/>
      <c r="AC227" s="60"/>
      <c r="AD227" s="60"/>
      <c r="AE227" s="60"/>
      <c r="AF227" s="60"/>
      <c r="AG227" s="60"/>
      <c r="AH227" s="60"/>
      <c r="AI227" s="60"/>
      <c r="AJ227" s="63" t="s">
        <v>800</v>
      </c>
      <c r="AK227" s="63" t="s">
        <v>95</v>
      </c>
      <c r="AL227" s="63" t="s">
        <v>459</v>
      </c>
      <c r="AM227" s="153" t="s">
        <v>52</v>
      </c>
      <c r="AN227" s="124">
        <v>5.75</v>
      </c>
      <c r="AO227" s="124">
        <v>2.2000000000000002</v>
      </c>
      <c r="AP227" s="124">
        <v>20</v>
      </c>
      <c r="AQ227" s="124">
        <v>7.95</v>
      </c>
      <c r="AR227" s="124">
        <v>3.76</v>
      </c>
      <c r="AS227" s="128">
        <v>20</v>
      </c>
      <c r="AT227" s="200" t="s">
        <v>52</v>
      </c>
      <c r="AU227" s="200" t="s">
        <v>52</v>
      </c>
      <c r="AV227" s="200" t="s">
        <v>52</v>
      </c>
      <c r="AW227" s="200" t="s">
        <v>52</v>
      </c>
      <c r="AX227" s="200"/>
      <c r="AY227" s="200"/>
    </row>
    <row r="228" spans="1:55" x14ac:dyDescent="0.2">
      <c r="C228">
        <v>228</v>
      </c>
      <c r="E228" t="str">
        <f>IF(coder1_YH!G228="","",TRUE)</f>
        <v/>
      </c>
      <c r="F228" t="b">
        <f>IF(coder1_YH!P228="","",TRUE)</f>
        <v>1</v>
      </c>
      <c r="G228" s="116"/>
      <c r="H228" s="117"/>
      <c r="I228" s="116"/>
      <c r="K228" s="88"/>
      <c r="L228" s="88"/>
      <c r="N228" s="283" t="s">
        <v>914</v>
      </c>
      <c r="O228" s="283" t="str">
        <f t="shared" si="16"/>
        <v>cm</v>
      </c>
      <c r="P228" s="127" t="s">
        <v>924</v>
      </c>
      <c r="Q228" s="60" t="s">
        <v>801</v>
      </c>
      <c r="R228" s="358" t="s">
        <v>91</v>
      </c>
      <c r="S228" s="90">
        <v>13.2</v>
      </c>
      <c r="T228" s="90">
        <v>0.50800000000000001</v>
      </c>
      <c r="U228" s="90">
        <v>1</v>
      </c>
      <c r="V228" s="90" t="s">
        <v>52</v>
      </c>
      <c r="W228" s="90">
        <f>8/21</f>
        <v>0.38095238095238093</v>
      </c>
      <c r="X228" s="90">
        <v>0.71399999999999997</v>
      </c>
      <c r="Y228" s="90">
        <f>1-0.095</f>
        <v>0.90500000000000003</v>
      </c>
      <c r="Z228" s="60" t="s">
        <v>53</v>
      </c>
      <c r="AA228" s="92" t="s">
        <v>802</v>
      </c>
      <c r="AB228" s="60" t="s">
        <v>464</v>
      </c>
      <c r="AC228" s="60" t="s">
        <v>56</v>
      </c>
      <c r="AD228" s="60" t="s">
        <v>57</v>
      </c>
      <c r="AE228" s="60" t="s">
        <v>58</v>
      </c>
      <c r="AF228" s="60">
        <f t="shared" si="24"/>
        <v>360</v>
      </c>
      <c r="AG228" s="60">
        <v>12</v>
      </c>
      <c r="AH228" s="60">
        <v>30</v>
      </c>
      <c r="AI228" s="60" t="s">
        <v>59</v>
      </c>
      <c r="AJ228" s="60" t="s">
        <v>797</v>
      </c>
      <c r="AK228" s="60" t="s">
        <v>61</v>
      </c>
      <c r="AL228" s="60" t="s">
        <v>459</v>
      </c>
      <c r="AM228" s="152" t="s">
        <v>52</v>
      </c>
      <c r="AN228" s="120">
        <v>3.79</v>
      </c>
      <c r="AO228" s="120">
        <v>1.61</v>
      </c>
      <c r="AP228" s="120">
        <v>21</v>
      </c>
      <c r="AQ228" s="120">
        <v>4.93</v>
      </c>
      <c r="AR228" s="120">
        <v>1.55</v>
      </c>
      <c r="AS228" s="127">
        <v>21</v>
      </c>
      <c r="AT228" s="200" t="s">
        <v>52</v>
      </c>
      <c r="AU228" s="200" t="s">
        <v>52</v>
      </c>
      <c r="AV228" s="200" t="s">
        <v>52</v>
      </c>
      <c r="AW228" s="200" t="s">
        <v>52</v>
      </c>
      <c r="AX228" s="200"/>
      <c r="AY228" s="200"/>
    </row>
    <row r="229" spans="1:55" x14ac:dyDescent="0.2">
      <c r="C229">
        <v>229</v>
      </c>
      <c r="E229" t="str">
        <f>IF(coder1_YH!G229="","",TRUE)</f>
        <v/>
      </c>
      <c r="F229" t="str">
        <f>IF(coder1_YH!P229="","",TRUE)</f>
        <v/>
      </c>
      <c r="G229" s="116"/>
      <c r="H229" s="117"/>
      <c r="I229" s="116"/>
      <c r="K229" s="88"/>
      <c r="L229" s="88"/>
      <c r="O229" s="283" t="str">
        <f t="shared" si="16"/>
        <v/>
      </c>
      <c r="Q229" s="60"/>
      <c r="R229" s="358"/>
      <c r="S229" s="90"/>
      <c r="T229" s="90"/>
      <c r="U229" s="90"/>
      <c r="V229" s="90"/>
      <c r="W229" s="90"/>
      <c r="X229" s="90"/>
      <c r="Y229" s="90"/>
      <c r="Z229" s="60"/>
      <c r="AA229" s="92"/>
      <c r="AB229" s="60"/>
      <c r="AC229" s="60"/>
      <c r="AD229" s="60"/>
      <c r="AE229" s="60"/>
      <c r="AF229" s="60"/>
      <c r="AG229" s="60"/>
      <c r="AH229" s="60"/>
      <c r="AI229" s="60"/>
      <c r="AJ229" s="60" t="s">
        <v>798</v>
      </c>
      <c r="AK229" s="60" t="s">
        <v>95</v>
      </c>
      <c r="AL229" s="60" t="s">
        <v>459</v>
      </c>
      <c r="AM229" s="152" t="s">
        <v>52</v>
      </c>
      <c r="AN229" s="120">
        <v>1.71</v>
      </c>
      <c r="AO229" s="120">
        <v>1.19</v>
      </c>
      <c r="AP229" s="120">
        <v>21</v>
      </c>
      <c r="AQ229" s="120">
        <v>3.05</v>
      </c>
      <c r="AR229" s="120">
        <v>2.11</v>
      </c>
      <c r="AS229" s="127">
        <v>21</v>
      </c>
      <c r="AT229" s="200" t="s">
        <v>52</v>
      </c>
      <c r="AU229" s="200" t="s">
        <v>52</v>
      </c>
      <c r="AV229" s="200" t="s">
        <v>52</v>
      </c>
      <c r="AW229" s="200" t="s">
        <v>52</v>
      </c>
      <c r="AX229" s="200"/>
      <c r="AY229" s="200"/>
    </row>
    <row r="230" spans="1:55" x14ac:dyDescent="0.2">
      <c r="C230">
        <v>230</v>
      </c>
      <c r="E230" t="str">
        <f>IF(coder1_YH!G230="","",TRUE)</f>
        <v/>
      </c>
      <c r="F230" t="str">
        <f>IF(coder1_YH!P230="","",TRUE)</f>
        <v/>
      </c>
      <c r="G230" s="116"/>
      <c r="H230" s="117"/>
      <c r="I230" s="116"/>
      <c r="K230" s="88"/>
      <c r="L230" s="88"/>
      <c r="O230" s="283" t="str">
        <f t="shared" si="16"/>
        <v/>
      </c>
      <c r="Q230" s="60"/>
      <c r="R230" s="358"/>
      <c r="S230" s="90"/>
      <c r="T230" s="90"/>
      <c r="U230" s="90"/>
      <c r="V230" s="90"/>
      <c r="W230" s="90"/>
      <c r="X230" s="90"/>
      <c r="Y230" s="90"/>
      <c r="Z230" s="60"/>
      <c r="AA230" s="92"/>
      <c r="AB230" s="60"/>
      <c r="AC230" s="60"/>
      <c r="AD230" s="60"/>
      <c r="AE230" s="60"/>
      <c r="AF230" s="60"/>
      <c r="AG230" s="60"/>
      <c r="AH230" s="60"/>
      <c r="AI230" s="60"/>
      <c r="AJ230" s="60" t="s">
        <v>799</v>
      </c>
      <c r="AK230" s="60" t="s">
        <v>95</v>
      </c>
      <c r="AL230" s="60" t="s">
        <v>459</v>
      </c>
      <c r="AM230" s="152" t="s">
        <v>52</v>
      </c>
      <c r="AN230" s="127">
        <v>4.0999999999999996</v>
      </c>
      <c r="AO230" s="127">
        <v>1.22</v>
      </c>
      <c r="AP230" s="127">
        <v>21</v>
      </c>
      <c r="AQ230" s="127">
        <v>5.19</v>
      </c>
      <c r="AR230" s="127">
        <v>2.02</v>
      </c>
      <c r="AS230" s="127">
        <v>21</v>
      </c>
      <c r="AT230" s="200" t="s">
        <v>52</v>
      </c>
      <c r="AU230" s="200" t="s">
        <v>52</v>
      </c>
      <c r="AV230" s="200" t="s">
        <v>52</v>
      </c>
      <c r="AW230" s="200" t="s">
        <v>52</v>
      </c>
      <c r="AX230" s="200"/>
      <c r="AY230" s="200"/>
    </row>
    <row r="231" spans="1:55" x14ac:dyDescent="0.2">
      <c r="C231">
        <v>231</v>
      </c>
      <c r="E231" t="str">
        <f>IF(coder1_YH!G231="","",TRUE)</f>
        <v/>
      </c>
      <c r="F231" t="str">
        <f>IF(coder1_YH!P231="","",TRUE)</f>
        <v/>
      </c>
      <c r="G231" s="122"/>
      <c r="H231" s="123"/>
      <c r="I231" s="122"/>
      <c r="J231" s="89"/>
      <c r="K231" s="89"/>
      <c r="L231" s="89"/>
      <c r="M231" s="89"/>
      <c r="N231" s="284"/>
      <c r="O231" s="284" t="str">
        <f t="shared" si="16"/>
        <v/>
      </c>
      <c r="P231" s="128"/>
      <c r="Q231" s="63"/>
      <c r="R231" s="359"/>
      <c r="S231" s="93"/>
      <c r="T231" s="93"/>
      <c r="U231" s="93"/>
      <c r="V231" s="93"/>
      <c r="W231" s="93"/>
      <c r="X231" s="93"/>
      <c r="Y231" s="93"/>
      <c r="Z231" s="63"/>
      <c r="AA231" s="95"/>
      <c r="AB231" s="63"/>
      <c r="AC231" s="63"/>
      <c r="AD231" s="63"/>
      <c r="AE231" s="63"/>
      <c r="AF231" s="63"/>
      <c r="AG231" s="63"/>
      <c r="AH231" s="63"/>
      <c r="AI231" s="63"/>
      <c r="AJ231" s="63" t="s">
        <v>800</v>
      </c>
      <c r="AK231" s="63" t="s">
        <v>95</v>
      </c>
      <c r="AL231" s="63" t="s">
        <v>459</v>
      </c>
      <c r="AM231" s="153" t="s">
        <v>52</v>
      </c>
      <c r="AN231" s="128">
        <v>5.81</v>
      </c>
      <c r="AO231" s="128">
        <v>2.1800000000000002</v>
      </c>
      <c r="AP231" s="128">
        <v>21</v>
      </c>
      <c r="AQ231" s="128">
        <v>8.24</v>
      </c>
      <c r="AR231" s="128">
        <v>3.86</v>
      </c>
      <c r="AS231" s="128">
        <v>21</v>
      </c>
      <c r="AT231" s="201" t="s">
        <v>52</v>
      </c>
      <c r="AU231" s="201" t="s">
        <v>52</v>
      </c>
      <c r="AV231" s="201" t="s">
        <v>52</v>
      </c>
      <c r="AW231" s="201" t="s">
        <v>52</v>
      </c>
      <c r="AX231" s="201"/>
      <c r="AY231" s="201"/>
    </row>
    <row r="232" spans="1:55" x14ac:dyDescent="0.2">
      <c r="C232">
        <v>232</v>
      </c>
      <c r="D232" t="b">
        <f>E232</f>
        <v>1</v>
      </c>
      <c r="E232" t="b">
        <f>IF(coder1_YH!G232="","",TRUE)</f>
        <v>1</v>
      </c>
      <c r="F232" t="b">
        <f>IF(coder1_YH!P232="","",TRUE)</f>
        <v>1</v>
      </c>
      <c r="G232" s="116" t="s">
        <v>803</v>
      </c>
      <c r="H232" s="117">
        <v>142.1</v>
      </c>
      <c r="I232" s="116" t="s">
        <v>176</v>
      </c>
      <c r="J232" s="88" t="s">
        <v>452</v>
      </c>
      <c r="K232" s="88" t="s">
        <v>66</v>
      </c>
      <c r="L232" s="88" t="s">
        <v>49</v>
      </c>
      <c r="M232" s="88" t="s">
        <v>50</v>
      </c>
      <c r="N232" s="283" t="s">
        <v>926</v>
      </c>
      <c r="O232" s="283" t="str">
        <f t="shared" si="16"/>
        <v xml:space="preserve">m </v>
      </c>
      <c r="P232" s="127">
        <v>1</v>
      </c>
      <c r="Q232" s="60" t="s">
        <v>804</v>
      </c>
      <c r="R232" s="358">
        <v>7</v>
      </c>
      <c r="S232" s="90">
        <v>13</v>
      </c>
      <c r="T232" s="90">
        <v>1</v>
      </c>
      <c r="U232" s="90" t="s">
        <v>52</v>
      </c>
      <c r="V232" s="90">
        <v>1</v>
      </c>
      <c r="W232" s="90" t="s">
        <v>52</v>
      </c>
      <c r="X232" s="90">
        <f>27/40</f>
        <v>0.67500000000000004</v>
      </c>
      <c r="Y232" s="90" t="s">
        <v>52</v>
      </c>
      <c r="Z232" s="60" t="s">
        <v>92</v>
      </c>
      <c r="AA232" s="92" t="s">
        <v>805</v>
      </c>
      <c r="AB232" s="60" t="s">
        <v>456</v>
      </c>
      <c r="AC232" s="60" t="s">
        <v>56</v>
      </c>
      <c r="AD232" s="60" t="s">
        <v>57</v>
      </c>
      <c r="AE232" s="60" t="s">
        <v>72</v>
      </c>
      <c r="AF232" s="60">
        <f t="shared" ref="AF232:AF239" si="25">AG232*AH232</f>
        <v>540</v>
      </c>
      <c r="AG232" s="60">
        <v>9</v>
      </c>
      <c r="AH232" s="60">
        <v>60</v>
      </c>
      <c r="AI232" s="60" t="s">
        <v>148</v>
      </c>
      <c r="AJ232" s="126" t="s">
        <v>388</v>
      </c>
      <c r="AK232" s="60" t="s">
        <v>95</v>
      </c>
      <c r="AL232" s="60" t="s">
        <v>528</v>
      </c>
      <c r="AM232" s="152" t="s">
        <v>52</v>
      </c>
      <c r="AN232" s="120">
        <v>4.18</v>
      </c>
      <c r="AO232" s="120">
        <v>2.6</v>
      </c>
      <c r="AP232" s="120">
        <v>11</v>
      </c>
      <c r="AQ232" s="120">
        <v>8.18</v>
      </c>
      <c r="AR232" s="120">
        <v>1.72</v>
      </c>
      <c r="AS232" s="127">
        <v>11</v>
      </c>
      <c r="AT232" s="127">
        <v>6.64</v>
      </c>
      <c r="AU232" s="127">
        <v>3.11</v>
      </c>
      <c r="AV232" s="127">
        <v>11</v>
      </c>
      <c r="AW232" s="127">
        <v>1</v>
      </c>
    </row>
    <row r="233" spans="1:55" x14ac:dyDescent="0.2">
      <c r="C233">
        <v>233</v>
      </c>
      <c r="E233" t="str">
        <f>IF(coder1_YH!G233="","",TRUE)</f>
        <v/>
      </c>
      <c r="F233" t="b">
        <f>IF(coder1_YH!P233="","",TRUE)</f>
        <v>1</v>
      </c>
      <c r="G233" s="116"/>
      <c r="H233" s="117"/>
      <c r="I233" s="116"/>
      <c r="K233" s="88"/>
      <c r="L233" s="88"/>
      <c r="N233" s="283" t="s">
        <v>926</v>
      </c>
      <c r="O233" s="283" t="str">
        <f t="shared" si="16"/>
        <v xml:space="preserve">m </v>
      </c>
      <c r="P233" s="127">
        <v>2</v>
      </c>
      <c r="Q233" s="60" t="s">
        <v>806</v>
      </c>
      <c r="R233" s="358">
        <v>7</v>
      </c>
      <c r="S233" s="90">
        <v>13</v>
      </c>
      <c r="T233" s="90">
        <v>1</v>
      </c>
      <c r="U233" s="90" t="s">
        <v>52</v>
      </c>
      <c r="V233" s="90">
        <v>1</v>
      </c>
      <c r="W233" s="90" t="s">
        <v>52</v>
      </c>
      <c r="X233" s="90">
        <f t="shared" ref="X233:X235" si="26">27/40</f>
        <v>0.67500000000000004</v>
      </c>
      <c r="Y233" s="90" t="s">
        <v>52</v>
      </c>
      <c r="Z233" s="60" t="s">
        <v>92</v>
      </c>
      <c r="AA233" s="92" t="s">
        <v>805</v>
      </c>
      <c r="AB233" s="60" t="s">
        <v>456</v>
      </c>
      <c r="AC233" s="60" t="s">
        <v>56</v>
      </c>
      <c r="AD233" s="60" t="s">
        <v>57</v>
      </c>
      <c r="AE233" s="60" t="s">
        <v>72</v>
      </c>
      <c r="AF233" s="60">
        <f t="shared" si="25"/>
        <v>540</v>
      </c>
      <c r="AG233" s="60">
        <v>9</v>
      </c>
      <c r="AH233" s="60">
        <v>60</v>
      </c>
      <c r="AI233" s="60" t="s">
        <v>148</v>
      </c>
      <c r="AJ233" s="60" t="s">
        <v>388</v>
      </c>
      <c r="AK233" s="60" t="s">
        <v>95</v>
      </c>
      <c r="AL233" s="60" t="s">
        <v>528</v>
      </c>
      <c r="AM233" s="152" t="s">
        <v>52</v>
      </c>
      <c r="AN233" s="120">
        <v>4.38</v>
      </c>
      <c r="AO233" s="120">
        <v>2.5</v>
      </c>
      <c r="AP233" s="120">
        <v>9</v>
      </c>
      <c r="AQ233" s="120">
        <v>4.88</v>
      </c>
      <c r="AR233" s="120">
        <v>3.52</v>
      </c>
      <c r="AS233" s="127">
        <v>9</v>
      </c>
      <c r="AT233" s="127">
        <v>5.13</v>
      </c>
      <c r="AU233" s="127">
        <v>2.48</v>
      </c>
      <c r="AV233" s="127">
        <v>9</v>
      </c>
      <c r="AW233" s="127">
        <v>1</v>
      </c>
    </row>
    <row r="234" spans="1:55" s="295" customFormat="1" x14ac:dyDescent="0.2">
      <c r="A234" t="s">
        <v>959</v>
      </c>
      <c r="B234" t="s">
        <v>949</v>
      </c>
      <c r="C234">
        <v>234</v>
      </c>
      <c r="D234"/>
      <c r="E234" t="str">
        <f>IF(coder1_YH!G234="","",TRUE)</f>
        <v/>
      </c>
      <c r="F234" t="b">
        <f>IF(coder1_YH!P234="","",TRUE)</f>
        <v>1</v>
      </c>
      <c r="G234" s="116"/>
      <c r="H234" s="117"/>
      <c r="I234" s="310"/>
      <c r="J234" s="294"/>
      <c r="K234" s="294"/>
      <c r="L234" s="294"/>
      <c r="M234" s="294"/>
      <c r="N234" s="295" t="s">
        <v>950</v>
      </c>
      <c r="O234" s="295" t="s">
        <v>950</v>
      </c>
      <c r="P234" s="295" t="s">
        <v>949</v>
      </c>
      <c r="Q234" s="294" t="s">
        <v>807</v>
      </c>
      <c r="R234" s="360">
        <v>7</v>
      </c>
      <c r="S234" s="311">
        <v>13</v>
      </c>
      <c r="T234" s="311">
        <v>1</v>
      </c>
      <c r="U234" s="311" t="s">
        <v>52</v>
      </c>
      <c r="V234" s="311">
        <v>1</v>
      </c>
      <c r="W234" s="311" t="s">
        <v>52</v>
      </c>
      <c r="X234" s="311">
        <f t="shared" si="26"/>
        <v>0.67500000000000004</v>
      </c>
      <c r="Y234" s="311" t="s">
        <v>52</v>
      </c>
      <c r="Z234" s="294" t="s">
        <v>78</v>
      </c>
      <c r="AA234" s="312" t="s">
        <v>805</v>
      </c>
      <c r="AB234" s="294" t="s">
        <v>456</v>
      </c>
      <c r="AC234" s="294" t="s">
        <v>56</v>
      </c>
      <c r="AD234" s="294" t="s">
        <v>57</v>
      </c>
      <c r="AE234" s="294" t="s">
        <v>72</v>
      </c>
      <c r="AF234" s="294">
        <f t="shared" si="25"/>
        <v>540</v>
      </c>
      <c r="AG234" s="294">
        <v>9</v>
      </c>
      <c r="AH234" s="294">
        <v>60</v>
      </c>
      <c r="AI234" s="294" t="s">
        <v>148</v>
      </c>
      <c r="AJ234" s="294" t="s">
        <v>388</v>
      </c>
      <c r="AK234" s="294" t="s">
        <v>95</v>
      </c>
      <c r="AL234" s="294" t="s">
        <v>528</v>
      </c>
      <c r="AM234" s="313" t="s">
        <v>52</v>
      </c>
      <c r="AN234" s="314">
        <v>4.55</v>
      </c>
      <c r="AO234" s="314">
        <v>3.27</v>
      </c>
      <c r="AP234" s="314">
        <v>11</v>
      </c>
      <c r="AQ234" s="314">
        <v>4.09</v>
      </c>
      <c r="AR234" s="314">
        <v>3.11</v>
      </c>
      <c r="AS234" s="295">
        <v>11</v>
      </c>
      <c r="AT234" s="295">
        <v>3.91</v>
      </c>
      <c r="AU234" s="295">
        <v>1.97</v>
      </c>
      <c r="AV234" s="295">
        <v>11</v>
      </c>
      <c r="AW234" s="295">
        <v>1</v>
      </c>
      <c r="BB234" s="294"/>
      <c r="BC234" s="294"/>
    </row>
    <row r="235" spans="1:55" x14ac:dyDescent="0.2">
      <c r="C235">
        <v>235</v>
      </c>
      <c r="E235" t="str">
        <f>IF(coder1_YH!G235="","",TRUE)</f>
        <v/>
      </c>
      <c r="F235" t="b">
        <f>IF(coder1_YH!P235="","",TRUE)</f>
        <v>1</v>
      </c>
      <c r="G235" s="116"/>
      <c r="H235" s="117"/>
      <c r="I235" s="122"/>
      <c r="J235" s="89"/>
      <c r="K235" s="89"/>
      <c r="L235" s="89"/>
      <c r="M235" s="89"/>
      <c r="N235" s="283" t="s">
        <v>914</v>
      </c>
      <c r="O235" s="283" t="str">
        <f t="shared" si="16"/>
        <v xml:space="preserve">m </v>
      </c>
      <c r="P235" s="128" t="s">
        <v>924</v>
      </c>
      <c r="Q235" s="63" t="s">
        <v>808</v>
      </c>
      <c r="R235" s="359">
        <v>7</v>
      </c>
      <c r="S235" s="93">
        <v>13</v>
      </c>
      <c r="T235" s="93">
        <v>1</v>
      </c>
      <c r="U235" s="93" t="s">
        <v>52</v>
      </c>
      <c r="V235" s="93">
        <v>1</v>
      </c>
      <c r="W235" s="93" t="s">
        <v>52</v>
      </c>
      <c r="X235" s="93">
        <f t="shared" si="26"/>
        <v>0.67500000000000004</v>
      </c>
      <c r="Y235" s="93" t="s">
        <v>52</v>
      </c>
      <c r="Z235" s="63" t="s">
        <v>92</v>
      </c>
      <c r="AA235" s="95" t="s">
        <v>805</v>
      </c>
      <c r="AB235" s="63" t="s">
        <v>456</v>
      </c>
      <c r="AC235" s="63" t="s">
        <v>56</v>
      </c>
      <c r="AD235" s="63" t="s">
        <v>57</v>
      </c>
      <c r="AE235" s="63" t="s">
        <v>72</v>
      </c>
      <c r="AF235" s="63">
        <f t="shared" si="25"/>
        <v>540</v>
      </c>
      <c r="AG235" s="63">
        <v>9</v>
      </c>
      <c r="AH235" s="63">
        <v>60</v>
      </c>
      <c r="AI235" s="63" t="s">
        <v>148</v>
      </c>
      <c r="AJ235" s="63" t="s">
        <v>388</v>
      </c>
      <c r="AK235" s="63" t="s">
        <v>95</v>
      </c>
      <c r="AL235" s="63" t="s">
        <v>528</v>
      </c>
      <c r="AM235" s="153" t="s">
        <v>52</v>
      </c>
      <c r="AN235" s="124">
        <v>4.4400000000000004</v>
      </c>
      <c r="AO235" s="124">
        <v>2.92</v>
      </c>
      <c r="AP235" s="124">
        <v>9</v>
      </c>
      <c r="AQ235" s="124">
        <v>4.5599999999999996</v>
      </c>
      <c r="AR235" s="124">
        <v>2.0099999999999998</v>
      </c>
      <c r="AS235" s="128">
        <v>9</v>
      </c>
      <c r="AT235" s="128" t="s">
        <v>899</v>
      </c>
      <c r="AU235" s="128">
        <v>2.35</v>
      </c>
      <c r="AV235" s="128">
        <v>9</v>
      </c>
      <c r="AW235" s="128">
        <v>1</v>
      </c>
    </row>
    <row r="236" spans="1:55" x14ac:dyDescent="0.2">
      <c r="C236">
        <v>236</v>
      </c>
      <c r="E236" t="b">
        <f>IF(coder1_YH!G236="","",TRUE)</f>
        <v>1</v>
      </c>
      <c r="F236" t="b">
        <f>IF(coder1_YH!P236="","",TRUE)</f>
        <v>1</v>
      </c>
      <c r="G236" s="116" t="s">
        <v>803</v>
      </c>
      <c r="H236" s="117">
        <v>142.19999999999999</v>
      </c>
      <c r="I236" s="116" t="s">
        <v>176</v>
      </c>
      <c r="J236" s="88" t="s">
        <v>452</v>
      </c>
      <c r="K236" s="88" t="s">
        <v>66</v>
      </c>
      <c r="L236" s="88" t="s">
        <v>49</v>
      </c>
      <c r="M236" s="88" t="s">
        <v>50</v>
      </c>
      <c r="N236" s="283" t="s">
        <v>926</v>
      </c>
      <c r="O236" s="283" t="str">
        <f t="shared" si="16"/>
        <v xml:space="preserve">m </v>
      </c>
      <c r="P236" s="127">
        <v>1</v>
      </c>
      <c r="Q236" s="60" t="s">
        <v>809</v>
      </c>
      <c r="R236" s="358">
        <v>7</v>
      </c>
      <c r="S236" s="90">
        <v>13</v>
      </c>
      <c r="T236" s="186">
        <v>0</v>
      </c>
      <c r="U236" s="186" t="s">
        <v>52</v>
      </c>
      <c r="V236" s="186">
        <v>1</v>
      </c>
      <c r="W236" s="186" t="s">
        <v>52</v>
      </c>
      <c r="X236" s="186">
        <f>29/56</f>
        <v>0.5178571428571429</v>
      </c>
      <c r="Y236" s="186" t="s">
        <v>52</v>
      </c>
      <c r="Z236" s="60" t="s">
        <v>92</v>
      </c>
      <c r="AA236" s="92" t="s">
        <v>805</v>
      </c>
      <c r="AB236" s="60" t="s">
        <v>456</v>
      </c>
      <c r="AC236" s="126" t="s">
        <v>56</v>
      </c>
      <c r="AD236" s="126" t="s">
        <v>57</v>
      </c>
      <c r="AE236" s="126" t="s">
        <v>72</v>
      </c>
      <c r="AF236" s="126">
        <f t="shared" si="25"/>
        <v>540</v>
      </c>
      <c r="AG236" s="126">
        <v>9</v>
      </c>
      <c r="AH236" s="126">
        <v>60</v>
      </c>
      <c r="AI236" s="126" t="s">
        <v>148</v>
      </c>
      <c r="AJ236" s="60" t="s">
        <v>388</v>
      </c>
      <c r="AK236" s="60" t="s">
        <v>95</v>
      </c>
      <c r="AL236" s="60" t="s">
        <v>528</v>
      </c>
      <c r="AM236" s="152" t="s">
        <v>52</v>
      </c>
      <c r="AN236" s="120">
        <v>7.94</v>
      </c>
      <c r="AO236" s="120">
        <v>2.78</v>
      </c>
      <c r="AP236" s="120">
        <v>18</v>
      </c>
      <c r="AQ236" s="120">
        <v>9.56</v>
      </c>
      <c r="AR236" s="120">
        <v>2.33</v>
      </c>
      <c r="AS236" s="127">
        <v>18</v>
      </c>
      <c r="AT236" s="127">
        <v>7.33</v>
      </c>
      <c r="AU236" s="127">
        <v>1.75</v>
      </c>
      <c r="AV236" s="127">
        <v>18</v>
      </c>
      <c r="AW236" s="127">
        <v>1</v>
      </c>
    </row>
    <row r="237" spans="1:55" x14ac:dyDescent="0.2">
      <c r="C237">
        <v>237</v>
      </c>
      <c r="E237" t="str">
        <f>IF(coder1_YH!G237="","",TRUE)</f>
        <v/>
      </c>
      <c r="F237" t="b">
        <f>IF(coder1_YH!P237="","",TRUE)</f>
        <v>1</v>
      </c>
      <c r="G237" s="116"/>
      <c r="H237" s="117"/>
      <c r="I237" s="116"/>
      <c r="K237" s="88"/>
      <c r="L237" s="88"/>
      <c r="N237" s="283" t="s">
        <v>926</v>
      </c>
      <c r="O237" s="283" t="str">
        <f t="shared" si="16"/>
        <v xml:space="preserve">m </v>
      </c>
      <c r="P237" s="127">
        <v>2</v>
      </c>
      <c r="Q237" s="60" t="s">
        <v>810</v>
      </c>
      <c r="R237" s="358">
        <v>7</v>
      </c>
      <c r="S237" s="90">
        <v>13</v>
      </c>
      <c r="T237" s="90">
        <v>0</v>
      </c>
      <c r="U237" s="90" t="s">
        <v>52</v>
      </c>
      <c r="V237" s="90">
        <v>1</v>
      </c>
      <c r="W237" s="90" t="s">
        <v>52</v>
      </c>
      <c r="X237" s="90">
        <f t="shared" ref="X237:X239" si="27">29/56</f>
        <v>0.5178571428571429</v>
      </c>
      <c r="Y237" s="90" t="s">
        <v>52</v>
      </c>
      <c r="Z237" s="60" t="s">
        <v>92</v>
      </c>
      <c r="AA237" s="92" t="s">
        <v>805</v>
      </c>
      <c r="AB237" s="60" t="s">
        <v>456</v>
      </c>
      <c r="AC237" s="60" t="s">
        <v>56</v>
      </c>
      <c r="AD237" s="60" t="s">
        <v>57</v>
      </c>
      <c r="AE237" s="60" t="s">
        <v>72</v>
      </c>
      <c r="AF237" s="60">
        <f t="shared" si="25"/>
        <v>540</v>
      </c>
      <c r="AG237" s="60">
        <v>9</v>
      </c>
      <c r="AH237" s="60">
        <v>60</v>
      </c>
      <c r="AI237" s="60" t="s">
        <v>148</v>
      </c>
      <c r="AJ237" s="60" t="s">
        <v>388</v>
      </c>
      <c r="AK237" s="60" t="s">
        <v>95</v>
      </c>
      <c r="AL237" s="60" t="s">
        <v>528</v>
      </c>
      <c r="AM237" s="152" t="s">
        <v>52</v>
      </c>
      <c r="AN237" s="120">
        <v>7.91</v>
      </c>
      <c r="AO237" s="120">
        <v>2.12</v>
      </c>
      <c r="AP237" s="120">
        <v>11</v>
      </c>
      <c r="AQ237" s="120">
        <v>9.73</v>
      </c>
      <c r="AR237" s="120">
        <v>1.62</v>
      </c>
      <c r="AS237" s="127">
        <v>11</v>
      </c>
      <c r="AT237" s="127">
        <v>6.64</v>
      </c>
      <c r="AU237" s="127">
        <v>1.91</v>
      </c>
      <c r="AV237" s="127">
        <v>11</v>
      </c>
      <c r="AW237" s="127">
        <v>1</v>
      </c>
    </row>
    <row r="238" spans="1:55" s="295" customFormat="1" x14ac:dyDescent="0.2">
      <c r="A238" t="s">
        <v>959</v>
      </c>
      <c r="B238" t="s">
        <v>949</v>
      </c>
      <c r="C238">
        <v>238</v>
      </c>
      <c r="D238"/>
      <c r="E238" t="str">
        <f>IF(coder1_YH!G238="","",TRUE)</f>
        <v/>
      </c>
      <c r="F238" t="b">
        <f>IF(coder1_YH!P238="","",TRUE)</f>
        <v>1</v>
      </c>
      <c r="G238" s="116"/>
      <c r="H238" s="117"/>
      <c r="I238" s="310"/>
      <c r="J238" s="294"/>
      <c r="K238" s="294"/>
      <c r="L238" s="294"/>
      <c r="M238" s="294"/>
      <c r="N238" s="295" t="s">
        <v>950</v>
      </c>
      <c r="O238" s="295" t="s">
        <v>950</v>
      </c>
      <c r="P238" s="295" t="s">
        <v>949</v>
      </c>
      <c r="Q238" s="294" t="s">
        <v>811</v>
      </c>
      <c r="R238" s="360">
        <v>7</v>
      </c>
      <c r="S238" s="311">
        <v>13</v>
      </c>
      <c r="T238" s="311">
        <v>0</v>
      </c>
      <c r="U238" s="311" t="s">
        <v>52</v>
      </c>
      <c r="V238" s="311">
        <v>1</v>
      </c>
      <c r="W238" s="311" t="s">
        <v>52</v>
      </c>
      <c r="X238" s="311">
        <f t="shared" si="27"/>
        <v>0.5178571428571429</v>
      </c>
      <c r="Y238" s="311" t="s">
        <v>52</v>
      </c>
      <c r="Z238" s="294" t="s">
        <v>92</v>
      </c>
      <c r="AA238" s="312" t="s">
        <v>805</v>
      </c>
      <c r="AB238" s="294" t="s">
        <v>456</v>
      </c>
      <c r="AC238" s="294" t="s">
        <v>56</v>
      </c>
      <c r="AD238" s="294" t="s">
        <v>57</v>
      </c>
      <c r="AE238" s="294" t="s">
        <v>72</v>
      </c>
      <c r="AF238" s="294">
        <f t="shared" si="25"/>
        <v>540</v>
      </c>
      <c r="AG238" s="294">
        <v>9</v>
      </c>
      <c r="AH238" s="294">
        <v>60</v>
      </c>
      <c r="AI238" s="294" t="s">
        <v>148</v>
      </c>
      <c r="AJ238" s="294" t="s">
        <v>388</v>
      </c>
      <c r="AK238" s="294" t="s">
        <v>95</v>
      </c>
      <c r="AL238" s="294" t="s">
        <v>528</v>
      </c>
      <c r="AM238" s="313" t="s">
        <v>52</v>
      </c>
      <c r="AN238" s="314">
        <v>7.25</v>
      </c>
      <c r="AO238" s="314">
        <v>2.5299999999999998</v>
      </c>
      <c r="AP238" s="314">
        <v>12</v>
      </c>
      <c r="AQ238" s="314">
        <v>7.33</v>
      </c>
      <c r="AR238" s="314">
        <v>3.75</v>
      </c>
      <c r="AS238" s="295">
        <v>12</v>
      </c>
      <c r="AT238" s="295">
        <v>6.83</v>
      </c>
      <c r="AU238" s="295">
        <v>1.8</v>
      </c>
      <c r="AV238" s="295">
        <v>12</v>
      </c>
      <c r="AW238" s="295">
        <v>1</v>
      </c>
      <c r="BB238" s="294"/>
      <c r="BC238" s="294"/>
    </row>
    <row r="239" spans="1:55" x14ac:dyDescent="0.2">
      <c r="C239">
        <v>239</v>
      </c>
      <c r="E239" t="str">
        <f>IF(coder1_YH!G239="","",TRUE)</f>
        <v/>
      </c>
      <c r="F239" t="b">
        <f>IF(coder1_YH!P239="","",TRUE)</f>
        <v>1</v>
      </c>
      <c r="G239" s="122"/>
      <c r="H239" s="123"/>
      <c r="I239" s="122"/>
      <c r="J239" s="89"/>
      <c r="K239" s="89"/>
      <c r="L239" s="89"/>
      <c r="M239" s="89"/>
      <c r="N239" s="284" t="s">
        <v>914</v>
      </c>
      <c r="O239" s="284" t="str">
        <f t="shared" si="16"/>
        <v xml:space="preserve">m </v>
      </c>
      <c r="P239" s="128" t="s">
        <v>924</v>
      </c>
      <c r="Q239" s="63" t="s">
        <v>812</v>
      </c>
      <c r="R239" s="359">
        <v>7</v>
      </c>
      <c r="S239" s="93">
        <v>13</v>
      </c>
      <c r="T239" s="93">
        <v>0</v>
      </c>
      <c r="U239" s="93" t="s">
        <v>52</v>
      </c>
      <c r="V239" s="93">
        <v>1</v>
      </c>
      <c r="W239" s="93" t="s">
        <v>52</v>
      </c>
      <c r="X239" s="93">
        <f t="shared" si="27"/>
        <v>0.5178571428571429</v>
      </c>
      <c r="Y239" s="93" t="s">
        <v>52</v>
      </c>
      <c r="Z239" s="63" t="s">
        <v>92</v>
      </c>
      <c r="AA239" s="95" t="s">
        <v>805</v>
      </c>
      <c r="AB239" s="63" t="s">
        <v>456</v>
      </c>
      <c r="AC239" s="63" t="s">
        <v>56</v>
      </c>
      <c r="AD239" s="63" t="s">
        <v>57</v>
      </c>
      <c r="AE239" s="63" t="s">
        <v>72</v>
      </c>
      <c r="AF239" s="63">
        <f t="shared" si="25"/>
        <v>540</v>
      </c>
      <c r="AG239" s="63">
        <v>9</v>
      </c>
      <c r="AH239" s="63">
        <v>60</v>
      </c>
      <c r="AI239" s="63" t="s">
        <v>148</v>
      </c>
      <c r="AJ239" s="63" t="s">
        <v>388</v>
      </c>
      <c r="AK239" s="63" t="s">
        <v>95</v>
      </c>
      <c r="AL239" s="63" t="s">
        <v>528</v>
      </c>
      <c r="AM239" s="153" t="s">
        <v>52</v>
      </c>
      <c r="AN239" s="124">
        <v>8.1999999999999993</v>
      </c>
      <c r="AO239" s="124">
        <v>1.97</v>
      </c>
      <c r="AP239" s="124">
        <v>15</v>
      </c>
      <c r="AQ239" s="124">
        <v>8.8000000000000007</v>
      </c>
      <c r="AR239" s="124">
        <v>2.0099999999999998</v>
      </c>
      <c r="AS239" s="128">
        <v>15</v>
      </c>
      <c r="AT239" s="128">
        <v>8.07</v>
      </c>
      <c r="AU239" s="128">
        <v>2.58</v>
      </c>
      <c r="AV239" s="128">
        <v>15</v>
      </c>
      <c r="AW239" s="128">
        <v>1</v>
      </c>
      <c r="AX239" s="128"/>
      <c r="AY239" s="128"/>
    </row>
    <row r="240" spans="1:55" x14ac:dyDescent="0.2">
      <c r="C240">
        <v>240</v>
      </c>
      <c r="F240" t="b">
        <f>IF(coder1_YH!P240="","",TRUE)</f>
        <v>1</v>
      </c>
      <c r="G240" s="116" t="s">
        <v>813</v>
      </c>
      <c r="H240" s="117">
        <v>143</v>
      </c>
      <c r="I240" s="116" t="s">
        <v>47</v>
      </c>
      <c r="J240" s="88" t="s">
        <v>452</v>
      </c>
      <c r="K240" s="88" t="s">
        <v>66</v>
      </c>
      <c r="L240" s="88" t="s">
        <v>228</v>
      </c>
      <c r="M240" s="88" t="s">
        <v>752</v>
      </c>
      <c r="N240" s="283" t="s">
        <v>915</v>
      </c>
      <c r="O240" s="283" t="str">
        <f t="shared" si="16"/>
        <v xml:space="preserve">m </v>
      </c>
      <c r="P240" s="127">
        <v>1</v>
      </c>
      <c r="Q240" s="60" t="s">
        <v>814</v>
      </c>
      <c r="R240" s="358">
        <v>8</v>
      </c>
      <c r="S240" s="90">
        <v>13.5</v>
      </c>
      <c r="T240" s="90">
        <v>0</v>
      </c>
      <c r="U240" s="90">
        <v>0</v>
      </c>
      <c r="V240" s="90">
        <v>0.42</v>
      </c>
      <c r="W240" s="90" t="s">
        <v>52</v>
      </c>
      <c r="X240" s="90" t="s">
        <v>52</v>
      </c>
      <c r="Y240" s="90" t="s">
        <v>52</v>
      </c>
      <c r="Z240" s="60" t="s">
        <v>92</v>
      </c>
      <c r="AA240" s="92" t="s">
        <v>815</v>
      </c>
      <c r="AB240" s="60" t="s">
        <v>456</v>
      </c>
      <c r="AC240" s="60" t="s">
        <v>153</v>
      </c>
      <c r="AD240" s="60" t="s">
        <v>457</v>
      </c>
      <c r="AE240" s="60" t="s">
        <v>58</v>
      </c>
      <c r="AF240" s="60">
        <f>AG240*AH240</f>
        <v>1600</v>
      </c>
      <c r="AG240" s="60">
        <f>5*8</f>
        <v>40</v>
      </c>
      <c r="AH240" s="60">
        <f>40</f>
        <v>40</v>
      </c>
      <c r="AI240" s="60" t="s">
        <v>148</v>
      </c>
      <c r="AJ240" s="60" t="s">
        <v>816</v>
      </c>
      <c r="AK240" s="60" t="s">
        <v>95</v>
      </c>
      <c r="AL240" s="60" t="s">
        <v>459</v>
      </c>
      <c r="AM240" s="152" t="s">
        <v>52</v>
      </c>
      <c r="AN240" s="120">
        <v>8.1999999999999993</v>
      </c>
      <c r="AO240" s="120">
        <v>3.302</v>
      </c>
      <c r="AP240" s="120">
        <f>203/4</f>
        <v>50.75</v>
      </c>
      <c r="AQ240" s="120">
        <v>7.65</v>
      </c>
      <c r="AR240" s="120">
        <v>2.681</v>
      </c>
      <c r="AS240" s="127">
        <v>50.75</v>
      </c>
      <c r="AT240" s="127">
        <v>9</v>
      </c>
      <c r="AU240" s="127">
        <v>3.27</v>
      </c>
      <c r="AV240" s="127">
        <v>50.75</v>
      </c>
      <c r="AW240" s="127">
        <v>2</v>
      </c>
    </row>
    <row r="241" spans="1:55" x14ac:dyDescent="0.2">
      <c r="C241">
        <v>241</v>
      </c>
      <c r="D241" t="b">
        <f>E241</f>
        <v>1</v>
      </c>
      <c r="E241" t="b">
        <f>IF(coder1_YH!G241="","",TRUE)</f>
        <v>1</v>
      </c>
      <c r="F241" t="b">
        <f>IF(coder1_YH!P241="","",TRUE)</f>
        <v>1</v>
      </c>
      <c r="G241" s="116" t="s">
        <v>813</v>
      </c>
      <c r="H241" s="117">
        <v>143</v>
      </c>
      <c r="I241" s="116" t="s">
        <v>47</v>
      </c>
      <c r="J241" s="88" t="s">
        <v>452</v>
      </c>
      <c r="K241" s="88" t="s">
        <v>66</v>
      </c>
      <c r="L241" s="88" t="s">
        <v>228</v>
      </c>
      <c r="M241" s="88" t="s">
        <v>752</v>
      </c>
      <c r="N241" s="283" t="s">
        <v>925</v>
      </c>
      <c r="O241" s="283" t="str">
        <f t="shared" si="16"/>
        <v xml:space="preserve">m </v>
      </c>
      <c r="P241" s="127">
        <v>2</v>
      </c>
      <c r="Q241" s="60" t="s">
        <v>817</v>
      </c>
      <c r="R241" s="358">
        <v>8</v>
      </c>
      <c r="S241" s="90">
        <v>13.5</v>
      </c>
      <c r="T241" s="90">
        <v>0</v>
      </c>
      <c r="U241" s="90">
        <v>0</v>
      </c>
      <c r="V241" s="90">
        <v>0.42</v>
      </c>
      <c r="W241" s="90" t="s">
        <v>52</v>
      </c>
      <c r="X241" s="90" t="s">
        <v>52</v>
      </c>
      <c r="Y241" s="90" t="s">
        <v>52</v>
      </c>
      <c r="Z241" s="60" t="s">
        <v>92</v>
      </c>
      <c r="AA241" s="92" t="s">
        <v>815</v>
      </c>
      <c r="AB241" s="60" t="s">
        <v>456</v>
      </c>
      <c r="AC241" s="60" t="s">
        <v>153</v>
      </c>
      <c r="AD241" s="60" t="s">
        <v>457</v>
      </c>
      <c r="AE241" s="60" t="s">
        <v>58</v>
      </c>
      <c r="AF241" s="60">
        <f t="shared" ref="AF241:AF242" si="28">AG241*AH241</f>
        <v>1600</v>
      </c>
      <c r="AG241" s="60">
        <f t="shared" ref="AG241:AG242" si="29">5*8</f>
        <v>40</v>
      </c>
      <c r="AH241" s="60">
        <f>40</f>
        <v>40</v>
      </c>
      <c r="AI241" s="60" t="s">
        <v>148</v>
      </c>
      <c r="AJ241" s="60" t="s">
        <v>816</v>
      </c>
      <c r="AK241" s="60" t="s">
        <v>95</v>
      </c>
      <c r="AL241" s="60" t="s">
        <v>459</v>
      </c>
      <c r="AM241" s="152" t="s">
        <v>52</v>
      </c>
      <c r="AN241" s="120">
        <v>7.5</v>
      </c>
      <c r="AO241" s="120">
        <v>2.6859999999999999</v>
      </c>
      <c r="AP241" s="120">
        <f t="shared" ref="AP241:AP247" si="30">203/4</f>
        <v>50.75</v>
      </c>
      <c r="AQ241" s="120">
        <v>7.4550000000000001</v>
      </c>
      <c r="AR241" s="120">
        <v>3.0350000000000001</v>
      </c>
      <c r="AS241" s="127">
        <v>50.75</v>
      </c>
      <c r="AT241" s="127">
        <v>10.71</v>
      </c>
      <c r="AU241" s="127">
        <v>2.36</v>
      </c>
      <c r="AV241" s="127">
        <v>50.75</v>
      </c>
      <c r="AW241" s="127">
        <v>2</v>
      </c>
    </row>
    <row r="242" spans="1:55" s="286" customFormat="1" x14ac:dyDescent="0.2">
      <c r="A242" t="s">
        <v>959</v>
      </c>
      <c r="B242" t="s">
        <v>949</v>
      </c>
      <c r="C242">
        <v>242</v>
      </c>
      <c r="D242"/>
      <c r="E242" t="str">
        <f>IF(coder1_YH!G242="","",TRUE)</f>
        <v/>
      </c>
      <c r="F242"/>
      <c r="G242" s="116"/>
      <c r="H242" s="117"/>
      <c r="I242" s="291"/>
      <c r="J242" s="287"/>
      <c r="K242" s="287"/>
      <c r="L242" s="287"/>
      <c r="M242" s="287"/>
      <c r="N242" s="286" t="s">
        <v>950</v>
      </c>
      <c r="O242" s="286" t="s">
        <v>950</v>
      </c>
      <c r="P242" s="295" t="s">
        <v>949</v>
      </c>
      <c r="Q242" s="287" t="s">
        <v>818</v>
      </c>
      <c r="R242" s="367">
        <v>8</v>
      </c>
      <c r="S242" s="289">
        <v>13.5</v>
      </c>
      <c r="T242" s="289">
        <v>0</v>
      </c>
      <c r="U242" s="289">
        <v>0</v>
      </c>
      <c r="V242" s="289">
        <v>0.42</v>
      </c>
      <c r="W242" s="289" t="s">
        <v>52</v>
      </c>
      <c r="X242" s="289" t="s">
        <v>52</v>
      </c>
      <c r="Y242" s="289" t="s">
        <v>52</v>
      </c>
      <c r="Z242" s="287" t="s">
        <v>92</v>
      </c>
      <c r="AA242" s="290" t="s">
        <v>815</v>
      </c>
      <c r="AB242" s="287" t="s">
        <v>456</v>
      </c>
      <c r="AC242" s="287" t="s">
        <v>153</v>
      </c>
      <c r="AD242" s="287" t="s">
        <v>457</v>
      </c>
      <c r="AE242" s="287" t="s">
        <v>58</v>
      </c>
      <c r="AF242" s="287">
        <f t="shared" si="28"/>
        <v>1600</v>
      </c>
      <c r="AG242" s="287">
        <f t="shared" si="29"/>
        <v>40</v>
      </c>
      <c r="AH242" s="287">
        <f>40</f>
        <v>40</v>
      </c>
      <c r="AI242" s="287" t="s">
        <v>148</v>
      </c>
      <c r="AJ242" s="287" t="s">
        <v>816</v>
      </c>
      <c r="AK242" s="287" t="s">
        <v>95</v>
      </c>
      <c r="AL242" s="287" t="s">
        <v>459</v>
      </c>
      <c r="AM242" s="292" t="s">
        <v>52</v>
      </c>
      <c r="AN242" s="293">
        <v>8.5</v>
      </c>
      <c r="AO242" s="293">
        <v>3.6480000000000001</v>
      </c>
      <c r="AP242" s="293">
        <f t="shared" si="30"/>
        <v>50.75</v>
      </c>
      <c r="AQ242" s="293">
        <v>7.9550000000000001</v>
      </c>
      <c r="AR242" s="293">
        <v>3.722</v>
      </c>
      <c r="AS242" s="286">
        <v>50.75</v>
      </c>
      <c r="AT242" s="286">
        <v>9.39</v>
      </c>
      <c r="AU242" s="286">
        <v>3.67</v>
      </c>
      <c r="AV242" s="286">
        <v>50.75</v>
      </c>
      <c r="AW242" s="286">
        <v>2</v>
      </c>
      <c r="BB242" s="287"/>
      <c r="BC242" s="287"/>
    </row>
    <row r="243" spans="1:55" x14ac:dyDescent="0.2">
      <c r="C243">
        <v>243</v>
      </c>
      <c r="E243" t="str">
        <f>IF(coder1_YH!G243="","",TRUE)</f>
        <v/>
      </c>
      <c r="F243" t="b">
        <f>IF(coder1_YH!P243="","",TRUE)</f>
        <v>1</v>
      </c>
      <c r="G243" s="116"/>
      <c r="H243" s="117"/>
      <c r="I243" s="122"/>
      <c r="J243" s="89"/>
      <c r="K243" s="89"/>
      <c r="L243" s="89"/>
      <c r="M243" s="89"/>
      <c r="N243" s="283" t="s">
        <v>914</v>
      </c>
      <c r="O243" s="283" t="str">
        <f t="shared" si="16"/>
        <v>.</v>
      </c>
      <c r="P243" s="128" t="s">
        <v>924</v>
      </c>
      <c r="Q243" s="63" t="s">
        <v>819</v>
      </c>
      <c r="R243" s="359">
        <v>8</v>
      </c>
      <c r="S243" s="93">
        <v>13.5</v>
      </c>
      <c r="T243" s="93">
        <v>0</v>
      </c>
      <c r="U243" s="93">
        <v>0</v>
      </c>
      <c r="V243" s="93">
        <v>0.42</v>
      </c>
      <c r="W243" s="93" t="s">
        <v>52</v>
      </c>
      <c r="X243" s="93" t="s">
        <v>52</v>
      </c>
      <c r="Y243" s="93" t="s">
        <v>52</v>
      </c>
      <c r="Z243" s="63" t="s">
        <v>78</v>
      </c>
      <c r="AA243" s="95" t="s">
        <v>820</v>
      </c>
      <c r="AB243" s="63" t="s">
        <v>456</v>
      </c>
      <c r="AC243" s="63" t="s">
        <v>153</v>
      </c>
      <c r="AD243" s="63" t="s">
        <v>457</v>
      </c>
      <c r="AE243" s="63" t="s">
        <v>58</v>
      </c>
      <c r="AF243" s="63">
        <v>1600</v>
      </c>
      <c r="AG243" s="63">
        <v>40</v>
      </c>
      <c r="AH243" s="63">
        <v>40</v>
      </c>
      <c r="AI243" s="63" t="s">
        <v>148</v>
      </c>
      <c r="AJ243" s="63" t="s">
        <v>816</v>
      </c>
      <c r="AK243" s="63" t="s">
        <v>95</v>
      </c>
      <c r="AL243" s="63" t="s">
        <v>459</v>
      </c>
      <c r="AM243" s="153" t="s">
        <v>52</v>
      </c>
      <c r="AN243" s="124">
        <v>8.3160000000000007</v>
      </c>
      <c r="AO243" s="124">
        <v>2.286</v>
      </c>
      <c r="AP243" s="124">
        <f t="shared" si="30"/>
        <v>50.75</v>
      </c>
      <c r="AQ243" s="124">
        <v>6.9470000000000001</v>
      </c>
      <c r="AR243" s="124">
        <v>2.677</v>
      </c>
      <c r="AS243" s="128">
        <v>50.75</v>
      </c>
      <c r="AT243" s="128">
        <v>8.58</v>
      </c>
      <c r="AU243" s="128">
        <v>2.5299999999999998</v>
      </c>
      <c r="AV243" s="128">
        <v>50.75</v>
      </c>
      <c r="AW243" s="128">
        <v>2</v>
      </c>
      <c r="AX243" s="128"/>
      <c r="AY243" s="128"/>
    </row>
    <row r="244" spans="1:55" x14ac:dyDescent="0.2">
      <c r="C244">
        <v>244</v>
      </c>
      <c r="G244" s="116" t="s">
        <v>813</v>
      </c>
      <c r="H244" s="117">
        <v>143</v>
      </c>
      <c r="I244" s="116" t="s">
        <v>47</v>
      </c>
      <c r="J244" s="88" t="s">
        <v>452</v>
      </c>
      <c r="K244" s="88" t="s">
        <v>66</v>
      </c>
      <c r="L244" s="88" t="s">
        <v>228</v>
      </c>
      <c r="M244" s="88" t="s">
        <v>752</v>
      </c>
      <c r="N244" s="283" t="s">
        <v>915</v>
      </c>
      <c r="O244" s="283" t="str">
        <f t="shared" si="16"/>
        <v xml:space="preserve">m </v>
      </c>
      <c r="P244" s="127">
        <v>1</v>
      </c>
      <c r="Q244" s="60" t="s">
        <v>821</v>
      </c>
      <c r="R244" s="358">
        <v>8</v>
      </c>
      <c r="S244" s="90">
        <v>13.5</v>
      </c>
      <c r="T244" s="90">
        <v>0</v>
      </c>
      <c r="U244" s="90">
        <v>0</v>
      </c>
      <c r="V244" s="90">
        <v>0.42</v>
      </c>
      <c r="W244" s="90" t="s">
        <v>52</v>
      </c>
      <c r="X244" s="90" t="s">
        <v>52</v>
      </c>
      <c r="Y244" s="90" t="s">
        <v>52</v>
      </c>
      <c r="Z244" s="60" t="s">
        <v>92</v>
      </c>
      <c r="AA244" s="92" t="s">
        <v>815</v>
      </c>
      <c r="AB244" s="60" t="s">
        <v>456</v>
      </c>
      <c r="AC244" s="60" t="s">
        <v>153</v>
      </c>
      <c r="AD244" s="60" t="s">
        <v>457</v>
      </c>
      <c r="AE244" s="60" t="s">
        <v>58</v>
      </c>
      <c r="AF244" s="60">
        <v>1600</v>
      </c>
      <c r="AG244" s="60">
        <v>40</v>
      </c>
      <c r="AH244" s="60">
        <v>40</v>
      </c>
      <c r="AI244" s="60" t="s">
        <v>148</v>
      </c>
      <c r="AJ244" s="60" t="s">
        <v>816</v>
      </c>
      <c r="AK244" s="60" t="s">
        <v>95</v>
      </c>
      <c r="AL244" s="60" t="s">
        <v>459</v>
      </c>
      <c r="AM244" s="152" t="s">
        <v>52</v>
      </c>
      <c r="AN244" s="120">
        <v>9.3810000000000002</v>
      </c>
      <c r="AO244" s="120">
        <v>2.9910000000000001</v>
      </c>
      <c r="AP244" s="120">
        <f t="shared" si="30"/>
        <v>50.75</v>
      </c>
      <c r="AQ244" s="120">
        <v>8.4760000000000009</v>
      </c>
      <c r="AR244" s="120">
        <v>3.444</v>
      </c>
      <c r="AS244" s="127">
        <v>50.75</v>
      </c>
      <c r="AT244" s="127">
        <v>9.3800000000000008</v>
      </c>
      <c r="AU244" s="127">
        <v>3.46</v>
      </c>
      <c r="AV244" s="127">
        <v>50.75</v>
      </c>
      <c r="AW244" s="127">
        <v>2</v>
      </c>
    </row>
    <row r="245" spans="1:55" x14ac:dyDescent="0.2">
      <c r="C245">
        <v>245</v>
      </c>
      <c r="G245" s="116" t="s">
        <v>813</v>
      </c>
      <c r="H245" s="117">
        <v>143</v>
      </c>
      <c r="I245" s="116" t="s">
        <v>47</v>
      </c>
      <c r="J245" s="88" t="s">
        <v>452</v>
      </c>
      <c r="K245" s="88" t="s">
        <v>66</v>
      </c>
      <c r="L245" s="88" t="s">
        <v>228</v>
      </c>
      <c r="M245" s="88" t="s">
        <v>752</v>
      </c>
      <c r="N245" s="283" t="s">
        <v>927</v>
      </c>
      <c r="O245" s="283" t="str">
        <f t="shared" si="16"/>
        <v xml:space="preserve">m </v>
      </c>
      <c r="P245" s="127">
        <v>2</v>
      </c>
      <c r="Q245" s="60" t="s">
        <v>822</v>
      </c>
      <c r="R245" s="358">
        <v>8</v>
      </c>
      <c r="S245" s="90">
        <v>13.5</v>
      </c>
      <c r="T245" s="90">
        <v>0</v>
      </c>
      <c r="U245" s="90">
        <v>0</v>
      </c>
      <c r="V245" s="90">
        <v>0.42</v>
      </c>
      <c r="W245" s="90" t="s">
        <v>52</v>
      </c>
      <c r="X245" s="90" t="s">
        <v>52</v>
      </c>
      <c r="Y245" s="90" t="s">
        <v>52</v>
      </c>
      <c r="Z245" s="60" t="s">
        <v>92</v>
      </c>
      <c r="AA245" s="92" t="s">
        <v>815</v>
      </c>
      <c r="AB245" s="60" t="s">
        <v>456</v>
      </c>
      <c r="AC245" s="60" t="s">
        <v>153</v>
      </c>
      <c r="AD245" s="60" t="s">
        <v>457</v>
      </c>
      <c r="AE245" s="60" t="s">
        <v>58</v>
      </c>
      <c r="AF245" s="60">
        <v>1600</v>
      </c>
      <c r="AG245" s="60">
        <v>40</v>
      </c>
      <c r="AH245" s="60">
        <v>40</v>
      </c>
      <c r="AI245" s="60" t="s">
        <v>148</v>
      </c>
      <c r="AJ245" s="60" t="s">
        <v>816</v>
      </c>
      <c r="AK245" s="60" t="s">
        <v>95</v>
      </c>
      <c r="AL245" s="60" t="s">
        <v>459</v>
      </c>
      <c r="AM245" s="152" t="s">
        <v>52</v>
      </c>
      <c r="AN245" s="120">
        <v>8.7390000000000008</v>
      </c>
      <c r="AO245" s="120">
        <v>3.2080000000000002</v>
      </c>
      <c r="AP245" s="120">
        <f t="shared" si="30"/>
        <v>50.75</v>
      </c>
      <c r="AQ245" s="120">
        <v>8.5649999999999995</v>
      </c>
      <c r="AR245" s="120">
        <v>2.9670000000000001</v>
      </c>
      <c r="AS245" s="127">
        <v>50.75</v>
      </c>
      <c r="AT245" s="127">
        <v>9.64</v>
      </c>
      <c r="AU245" s="127">
        <v>2.9</v>
      </c>
      <c r="AV245" s="127">
        <v>50.75</v>
      </c>
      <c r="AW245" s="127">
        <v>2</v>
      </c>
    </row>
    <row r="246" spans="1:55" s="286" customFormat="1" x14ac:dyDescent="0.2">
      <c r="A246" t="s">
        <v>959</v>
      </c>
      <c r="B246" t="s">
        <v>949</v>
      </c>
      <c r="C246">
        <v>246</v>
      </c>
      <c r="D246"/>
      <c r="E246" t="str">
        <f>IF(coder1_YH!G246="","",TRUE)</f>
        <v/>
      </c>
      <c r="F246"/>
      <c r="G246" s="116"/>
      <c r="H246" s="117"/>
      <c r="I246" s="291"/>
      <c r="J246" s="287"/>
      <c r="K246" s="287"/>
      <c r="L246" s="287"/>
      <c r="M246" s="287"/>
      <c r="N246" s="286" t="s">
        <v>950</v>
      </c>
      <c r="O246" s="286" t="s">
        <v>950</v>
      </c>
      <c r="P246" s="295" t="s">
        <v>949</v>
      </c>
      <c r="Q246" s="287" t="s">
        <v>823</v>
      </c>
      <c r="R246" s="367">
        <v>8</v>
      </c>
      <c r="S246" s="289">
        <v>13.5</v>
      </c>
      <c r="T246" s="289">
        <v>0</v>
      </c>
      <c r="U246" s="289">
        <v>0</v>
      </c>
      <c r="V246" s="289">
        <v>0.42</v>
      </c>
      <c r="W246" s="289" t="s">
        <v>52</v>
      </c>
      <c r="X246" s="289" t="s">
        <v>52</v>
      </c>
      <c r="Y246" s="289" t="s">
        <v>52</v>
      </c>
      <c r="Z246" s="287" t="s">
        <v>92</v>
      </c>
      <c r="AA246" s="290" t="s">
        <v>815</v>
      </c>
      <c r="AB246" s="287" t="s">
        <v>456</v>
      </c>
      <c r="AC246" s="287" t="s">
        <v>153</v>
      </c>
      <c r="AD246" s="287" t="s">
        <v>457</v>
      </c>
      <c r="AE246" s="287" t="s">
        <v>58</v>
      </c>
      <c r="AF246" s="287">
        <v>1600</v>
      </c>
      <c r="AG246" s="287">
        <v>40</v>
      </c>
      <c r="AH246" s="287">
        <v>40</v>
      </c>
      <c r="AI246" s="287" t="s">
        <v>148</v>
      </c>
      <c r="AJ246" s="287" t="s">
        <v>816</v>
      </c>
      <c r="AK246" s="287" t="s">
        <v>95</v>
      </c>
      <c r="AL246" s="287" t="s">
        <v>459</v>
      </c>
      <c r="AM246" s="292" t="s">
        <v>52</v>
      </c>
      <c r="AN246" s="293">
        <v>9</v>
      </c>
      <c r="AO246" s="293">
        <v>2.5499999999999998</v>
      </c>
      <c r="AP246" s="293">
        <f t="shared" si="30"/>
        <v>50.75</v>
      </c>
      <c r="AQ246" s="293">
        <v>7.077</v>
      </c>
      <c r="AR246" s="293">
        <v>3.7519999999999998</v>
      </c>
      <c r="AS246" s="286">
        <v>50.75</v>
      </c>
      <c r="AT246" s="286">
        <v>10.9</v>
      </c>
      <c r="AU246" s="286">
        <v>2.73</v>
      </c>
      <c r="AV246" s="286">
        <v>50.75</v>
      </c>
      <c r="AW246" s="286">
        <v>2</v>
      </c>
      <c r="BB246" s="287"/>
      <c r="BC246" s="287"/>
    </row>
    <row r="247" spans="1:55" x14ac:dyDescent="0.2">
      <c r="C247">
        <v>247</v>
      </c>
      <c r="E247" t="str">
        <f>IF(coder1_YH!G247="","",TRUE)</f>
        <v/>
      </c>
      <c r="G247" s="122"/>
      <c r="H247" s="123"/>
      <c r="I247" s="122"/>
      <c r="J247" s="89"/>
      <c r="K247" s="89"/>
      <c r="L247" s="89"/>
      <c r="M247" s="89"/>
      <c r="N247" s="284" t="s">
        <v>914</v>
      </c>
      <c r="O247" s="284" t="str">
        <f t="shared" si="16"/>
        <v>.</v>
      </c>
      <c r="P247" s="128" t="s">
        <v>924</v>
      </c>
      <c r="Q247" s="63" t="s">
        <v>824</v>
      </c>
      <c r="R247" s="359">
        <v>8</v>
      </c>
      <c r="S247" s="93">
        <v>13.5</v>
      </c>
      <c r="T247" s="93">
        <v>0</v>
      </c>
      <c r="U247" s="93">
        <v>0</v>
      </c>
      <c r="V247" s="93">
        <v>0.42</v>
      </c>
      <c r="W247" s="93" t="s">
        <v>52</v>
      </c>
      <c r="X247" s="93" t="s">
        <v>52</v>
      </c>
      <c r="Y247" s="93" t="s">
        <v>52</v>
      </c>
      <c r="Z247" s="63" t="s">
        <v>78</v>
      </c>
      <c r="AA247" s="95" t="s">
        <v>820</v>
      </c>
      <c r="AB247" s="63" t="s">
        <v>456</v>
      </c>
      <c r="AC247" s="63" t="s">
        <v>153</v>
      </c>
      <c r="AD247" s="63" t="s">
        <v>457</v>
      </c>
      <c r="AE247" s="63" t="s">
        <v>58</v>
      </c>
      <c r="AF247" s="63">
        <v>1600</v>
      </c>
      <c r="AG247" s="63">
        <v>40</v>
      </c>
      <c r="AH247" s="63">
        <v>40</v>
      </c>
      <c r="AI247" s="63" t="s">
        <v>148</v>
      </c>
      <c r="AJ247" s="63" t="s">
        <v>816</v>
      </c>
      <c r="AK247" s="63" t="s">
        <v>95</v>
      </c>
      <c r="AL247" s="63" t="s">
        <v>459</v>
      </c>
      <c r="AM247" s="153" t="s">
        <v>52</v>
      </c>
      <c r="AN247" s="124">
        <v>7.44</v>
      </c>
      <c r="AO247" s="124">
        <v>3.28</v>
      </c>
      <c r="AP247" s="124">
        <f t="shared" si="30"/>
        <v>50.75</v>
      </c>
      <c r="AQ247" s="124">
        <v>10.48</v>
      </c>
      <c r="AR247" s="124">
        <v>11.106</v>
      </c>
      <c r="AS247" s="128">
        <v>50.75</v>
      </c>
      <c r="AT247" s="128">
        <v>8.81</v>
      </c>
      <c r="AU247" s="128">
        <v>3.61</v>
      </c>
      <c r="AV247" s="128">
        <v>50.75</v>
      </c>
      <c r="AW247" s="128">
        <v>2</v>
      </c>
      <c r="AX247" s="128"/>
      <c r="AY247" s="128"/>
    </row>
    <row r="248" spans="1:55" x14ac:dyDescent="0.2">
      <c r="A248" s="403" t="s">
        <v>996</v>
      </c>
      <c r="B248" s="403" t="s">
        <v>949</v>
      </c>
      <c r="C248">
        <v>248</v>
      </c>
      <c r="G248" s="386" t="s">
        <v>825</v>
      </c>
      <c r="H248" s="387">
        <v>144</v>
      </c>
      <c r="I248" s="386" t="s">
        <v>826</v>
      </c>
      <c r="J248" s="388" t="s">
        <v>827</v>
      </c>
      <c r="K248" s="388" t="s">
        <v>66</v>
      </c>
      <c r="L248" s="388" t="s">
        <v>49</v>
      </c>
      <c r="M248" s="388" t="s">
        <v>752</v>
      </c>
      <c r="N248" s="389" t="s">
        <v>915</v>
      </c>
      <c r="O248" s="389" t="str">
        <f>IF(Z248="BAU",".",LEFT(Z248,2))</f>
        <v xml:space="preserve">m </v>
      </c>
      <c r="P248" s="389">
        <v>1</v>
      </c>
      <c r="Q248" s="388" t="s">
        <v>828</v>
      </c>
      <c r="R248" s="390" t="s">
        <v>829</v>
      </c>
      <c r="S248" s="391">
        <f>AVERAGE(10.5,11.5)</f>
        <v>11</v>
      </c>
      <c r="T248" s="391" t="s">
        <v>52</v>
      </c>
      <c r="U248" s="391">
        <v>1</v>
      </c>
      <c r="V248" s="391">
        <v>1</v>
      </c>
      <c r="W248" s="391">
        <v>0</v>
      </c>
      <c r="X248" s="391">
        <v>0.46250000000000002</v>
      </c>
      <c r="Y248" s="391">
        <v>0</v>
      </c>
      <c r="Z248" s="388" t="s">
        <v>92</v>
      </c>
      <c r="AA248" s="392" t="s">
        <v>830</v>
      </c>
      <c r="AB248" s="388" t="s">
        <v>456</v>
      </c>
      <c r="AC248" s="388" t="s">
        <v>56</v>
      </c>
      <c r="AD248" s="388" t="s">
        <v>457</v>
      </c>
      <c r="AE248" s="388" t="s">
        <v>72</v>
      </c>
      <c r="AF248" s="388">
        <f>AG248*AH248</f>
        <v>1000</v>
      </c>
      <c r="AG248" s="388">
        <f>2*10</f>
        <v>20</v>
      </c>
      <c r="AH248" s="388">
        <v>50</v>
      </c>
      <c r="AI248" s="388" t="s">
        <v>148</v>
      </c>
      <c r="AJ248" s="60" t="s">
        <v>831</v>
      </c>
      <c r="AK248" s="126" t="s">
        <v>95</v>
      </c>
      <c r="AL248" s="126" t="s">
        <v>459</v>
      </c>
      <c r="AM248" s="205" t="s">
        <v>52</v>
      </c>
      <c r="AN248" s="400">
        <v>0.2</v>
      </c>
      <c r="AO248" s="400">
        <v>0.2</v>
      </c>
      <c r="AP248" s="400">
        <v>20</v>
      </c>
      <c r="AQ248" s="400">
        <v>1.6</v>
      </c>
      <c r="AR248" s="400">
        <v>0.4</v>
      </c>
      <c r="AS248" s="389">
        <v>20</v>
      </c>
      <c r="AT248" s="389">
        <v>1.3</v>
      </c>
      <c r="AU248" s="389">
        <v>0.5</v>
      </c>
      <c r="AV248" s="127">
        <v>20</v>
      </c>
      <c r="AW248" s="202">
        <v>2</v>
      </c>
    </row>
    <row r="249" spans="1:55" x14ac:dyDescent="0.2">
      <c r="A249" s="403" t="s">
        <v>996</v>
      </c>
      <c r="B249" s="403" t="s">
        <v>949</v>
      </c>
      <c r="C249">
        <v>249</v>
      </c>
      <c r="D249" t="b">
        <f>E249</f>
        <v>1</v>
      </c>
      <c r="E249" t="b">
        <f>IF(coder1_YH!G252="","",TRUE)</f>
        <v>1</v>
      </c>
      <c r="F249" t="b">
        <f>IF(coder1_YH!P249="","",TRUE)</f>
        <v>1</v>
      </c>
      <c r="G249" s="386" t="s">
        <v>825</v>
      </c>
      <c r="H249" s="387">
        <v>144</v>
      </c>
      <c r="I249" s="386" t="s">
        <v>826</v>
      </c>
      <c r="J249" s="388" t="s">
        <v>827</v>
      </c>
      <c r="K249" s="388" t="s">
        <v>66</v>
      </c>
      <c r="L249" s="388" t="s">
        <v>49</v>
      </c>
      <c r="M249" s="388" t="s">
        <v>752</v>
      </c>
      <c r="N249" s="389" t="s">
        <v>915</v>
      </c>
      <c r="O249" s="389" t="str">
        <f t="shared" ref="O249:O250" si="31">IF(Z249="BAU",".",LEFT(Z249,2))</f>
        <v xml:space="preserve">m </v>
      </c>
      <c r="P249" s="389">
        <v>1</v>
      </c>
      <c r="Q249" s="388" t="s">
        <v>828</v>
      </c>
      <c r="R249" s="390" t="s">
        <v>829</v>
      </c>
      <c r="S249" s="391">
        <f t="shared" ref="S249:S250" si="32">AVERAGE(10.5,11.5)</f>
        <v>11</v>
      </c>
      <c r="T249" s="391" t="s">
        <v>52</v>
      </c>
      <c r="U249" s="391">
        <v>1</v>
      </c>
      <c r="V249" s="391">
        <v>1</v>
      </c>
      <c r="W249" s="391">
        <v>0</v>
      </c>
      <c r="X249" s="391">
        <v>0.46250000000000002</v>
      </c>
      <c r="Y249" s="391">
        <v>0</v>
      </c>
      <c r="Z249" s="388" t="s">
        <v>92</v>
      </c>
      <c r="AA249" s="392" t="s">
        <v>830</v>
      </c>
      <c r="AB249" s="388" t="s">
        <v>456</v>
      </c>
      <c r="AC249" s="388" t="s">
        <v>56</v>
      </c>
      <c r="AD249" s="388" t="s">
        <v>457</v>
      </c>
      <c r="AE249" s="388" t="s">
        <v>72</v>
      </c>
      <c r="AF249" s="388">
        <f t="shared" ref="AF249:AF250" si="33">AG249*AH249</f>
        <v>1000</v>
      </c>
      <c r="AG249" s="388">
        <f t="shared" ref="AG249:AG250" si="34">2*10</f>
        <v>20</v>
      </c>
      <c r="AH249" s="388">
        <v>50</v>
      </c>
      <c r="AI249" s="388" t="s">
        <v>148</v>
      </c>
      <c r="AJ249" s="60" t="s">
        <v>832</v>
      </c>
      <c r="AK249" s="60" t="s">
        <v>95</v>
      </c>
      <c r="AL249" s="60" t="s">
        <v>459</v>
      </c>
      <c r="AM249" s="152" t="s">
        <v>52</v>
      </c>
      <c r="AN249" s="400">
        <v>4.0999999999999996</v>
      </c>
      <c r="AO249" s="400">
        <v>4.8</v>
      </c>
      <c r="AP249" s="400">
        <v>20</v>
      </c>
      <c r="AQ249" s="400">
        <v>13.6</v>
      </c>
      <c r="AR249" s="400">
        <v>4</v>
      </c>
      <c r="AS249" s="389">
        <v>20</v>
      </c>
      <c r="AT249" s="389">
        <v>10.5</v>
      </c>
      <c r="AU249" s="389">
        <v>3.5</v>
      </c>
      <c r="AV249" s="127">
        <v>20</v>
      </c>
      <c r="AW249" s="127">
        <v>2</v>
      </c>
    </row>
    <row r="250" spans="1:55" x14ac:dyDescent="0.2">
      <c r="A250" s="403" t="s">
        <v>996</v>
      </c>
      <c r="B250" s="403" t="s">
        <v>949</v>
      </c>
      <c r="C250">
        <v>250</v>
      </c>
      <c r="G250" s="386" t="s">
        <v>825</v>
      </c>
      <c r="H250" s="387">
        <v>144</v>
      </c>
      <c r="I250" s="386" t="s">
        <v>826</v>
      </c>
      <c r="J250" s="388" t="s">
        <v>827</v>
      </c>
      <c r="K250" s="388" t="s">
        <v>66</v>
      </c>
      <c r="L250" s="388" t="s">
        <v>49</v>
      </c>
      <c r="M250" s="388" t="s">
        <v>752</v>
      </c>
      <c r="N250" s="389" t="s">
        <v>915</v>
      </c>
      <c r="O250" s="389" t="str">
        <f t="shared" si="31"/>
        <v xml:space="preserve">m </v>
      </c>
      <c r="P250" s="389">
        <v>1</v>
      </c>
      <c r="Q250" s="388" t="s">
        <v>828</v>
      </c>
      <c r="R250" s="390" t="s">
        <v>829</v>
      </c>
      <c r="S250" s="391">
        <f t="shared" si="32"/>
        <v>11</v>
      </c>
      <c r="T250" s="391" t="s">
        <v>52</v>
      </c>
      <c r="U250" s="391">
        <v>1</v>
      </c>
      <c r="V250" s="391">
        <v>1</v>
      </c>
      <c r="W250" s="391">
        <v>0</v>
      </c>
      <c r="X250" s="391">
        <v>0.46250000000000002</v>
      </c>
      <c r="Y250" s="391">
        <v>0</v>
      </c>
      <c r="Z250" s="388" t="s">
        <v>92</v>
      </c>
      <c r="AA250" s="392" t="s">
        <v>830</v>
      </c>
      <c r="AB250" s="388" t="s">
        <v>456</v>
      </c>
      <c r="AC250" s="388" t="s">
        <v>56</v>
      </c>
      <c r="AD250" s="388" t="s">
        <v>457</v>
      </c>
      <c r="AE250" s="388" t="s">
        <v>72</v>
      </c>
      <c r="AF250" s="388">
        <f t="shared" si="33"/>
        <v>1000</v>
      </c>
      <c r="AG250" s="388">
        <f t="shared" si="34"/>
        <v>20</v>
      </c>
      <c r="AH250" s="388">
        <v>50</v>
      </c>
      <c r="AI250" s="388" t="s">
        <v>148</v>
      </c>
      <c r="AJ250" s="60" t="s">
        <v>833</v>
      </c>
      <c r="AK250" s="60" t="s">
        <v>95</v>
      </c>
      <c r="AL250" s="60" t="s">
        <v>459</v>
      </c>
      <c r="AM250" s="152" t="s">
        <v>52</v>
      </c>
      <c r="AN250" s="400">
        <v>12</v>
      </c>
      <c r="AO250" s="400">
        <v>4.8</v>
      </c>
      <c r="AP250" s="400">
        <v>20</v>
      </c>
      <c r="AQ250" s="400">
        <v>36.9</v>
      </c>
      <c r="AR250" s="400">
        <v>4.0999999999999996</v>
      </c>
      <c r="AS250" s="389">
        <v>20</v>
      </c>
      <c r="AT250" s="389">
        <v>35.799999999999997</v>
      </c>
      <c r="AU250" s="389">
        <v>5.0999999999999996</v>
      </c>
      <c r="AV250" s="127">
        <v>20</v>
      </c>
      <c r="AW250" s="127">
        <v>2</v>
      </c>
    </row>
    <row r="251" spans="1:55" x14ac:dyDescent="0.2">
      <c r="A251" s="403" t="s">
        <v>996</v>
      </c>
      <c r="B251" s="403" t="s">
        <v>949</v>
      </c>
      <c r="C251">
        <v>251</v>
      </c>
      <c r="G251" s="393" t="s">
        <v>825</v>
      </c>
      <c r="H251" s="394">
        <v>144</v>
      </c>
      <c r="I251" s="393" t="s">
        <v>826</v>
      </c>
      <c r="J251" s="395" t="s">
        <v>827</v>
      </c>
      <c r="K251" s="395" t="s">
        <v>66</v>
      </c>
      <c r="L251" s="395" t="s">
        <v>49</v>
      </c>
      <c r="M251" s="395" t="s">
        <v>752</v>
      </c>
      <c r="N251" s="396" t="s">
        <v>929</v>
      </c>
      <c r="O251" s="396" t="str">
        <f>IF(Z251="BAU",".",LEFT(Z251,2))</f>
        <v xml:space="preserve">m </v>
      </c>
      <c r="P251" s="396">
        <v>2</v>
      </c>
      <c r="Q251" s="395" t="s">
        <v>834</v>
      </c>
      <c r="R251" s="397" t="s">
        <v>829</v>
      </c>
      <c r="S251" s="398">
        <v>11</v>
      </c>
      <c r="T251" s="398" t="s">
        <v>52</v>
      </c>
      <c r="U251" s="398">
        <v>1</v>
      </c>
      <c r="V251" s="398">
        <v>1</v>
      </c>
      <c r="W251" s="398">
        <v>0</v>
      </c>
      <c r="X251" s="398">
        <v>0.46250000000000002</v>
      </c>
      <c r="Y251" s="398">
        <v>0</v>
      </c>
      <c r="Z251" s="395" t="s">
        <v>92</v>
      </c>
      <c r="AA251" s="399" t="s">
        <v>835</v>
      </c>
      <c r="AB251" s="395" t="s">
        <v>456</v>
      </c>
      <c r="AC251" s="395" t="s">
        <v>56</v>
      </c>
      <c r="AD251" s="395" t="s">
        <v>457</v>
      </c>
      <c r="AE251" s="395" t="s">
        <v>72</v>
      </c>
      <c r="AF251" s="395">
        <f>AG251*AH251</f>
        <v>1000</v>
      </c>
      <c r="AG251" s="395">
        <f>2*10</f>
        <v>20</v>
      </c>
      <c r="AH251" s="395">
        <v>50</v>
      </c>
      <c r="AI251" s="395" t="s">
        <v>148</v>
      </c>
      <c r="AJ251" s="60" t="s">
        <v>831</v>
      </c>
      <c r="AK251" s="60" t="s">
        <v>95</v>
      </c>
      <c r="AL251" s="60" t="s">
        <v>459</v>
      </c>
      <c r="AM251" s="152" t="s">
        <v>52</v>
      </c>
      <c r="AN251" s="400">
        <v>0.4</v>
      </c>
      <c r="AO251" s="400">
        <v>0.4</v>
      </c>
      <c r="AP251" s="400">
        <v>20</v>
      </c>
      <c r="AQ251" s="400">
        <v>1.5</v>
      </c>
      <c r="AR251" s="400">
        <v>0.4</v>
      </c>
      <c r="AS251" s="389">
        <v>20</v>
      </c>
      <c r="AT251" s="389">
        <v>1.3</v>
      </c>
      <c r="AU251" s="389">
        <v>0.5</v>
      </c>
      <c r="AV251" s="127">
        <v>20</v>
      </c>
      <c r="AW251" s="127">
        <v>2</v>
      </c>
    </row>
    <row r="252" spans="1:55" x14ac:dyDescent="0.2">
      <c r="A252" s="403" t="s">
        <v>996</v>
      </c>
      <c r="B252" s="403" t="s">
        <v>949</v>
      </c>
      <c r="C252">
        <v>252</v>
      </c>
      <c r="F252" t="b">
        <f>IF(coder1_YH!P252="","",TRUE)</f>
        <v>1</v>
      </c>
      <c r="G252" s="393" t="s">
        <v>825</v>
      </c>
      <c r="H252" s="394">
        <v>144</v>
      </c>
      <c r="I252" s="393" t="s">
        <v>826</v>
      </c>
      <c r="J252" s="395" t="s">
        <v>827</v>
      </c>
      <c r="K252" s="395" t="s">
        <v>66</v>
      </c>
      <c r="L252" s="395" t="s">
        <v>49</v>
      </c>
      <c r="M252" s="395" t="s">
        <v>752</v>
      </c>
      <c r="N252" s="396" t="s">
        <v>929</v>
      </c>
      <c r="O252" s="396" t="str">
        <f t="shared" ref="O252:O253" si="35">IF(Z252="BAU",".",LEFT(Z252,2))</f>
        <v xml:space="preserve">m </v>
      </c>
      <c r="P252" s="396">
        <v>2</v>
      </c>
      <c r="Q252" s="395" t="s">
        <v>834</v>
      </c>
      <c r="R252" s="397" t="s">
        <v>829</v>
      </c>
      <c r="S252" s="398">
        <v>11</v>
      </c>
      <c r="T252" s="398" t="s">
        <v>52</v>
      </c>
      <c r="U252" s="398">
        <v>1</v>
      </c>
      <c r="V252" s="398">
        <v>1</v>
      </c>
      <c r="W252" s="398">
        <v>0</v>
      </c>
      <c r="X252" s="398">
        <v>0.46250000000000002</v>
      </c>
      <c r="Y252" s="398">
        <v>0</v>
      </c>
      <c r="Z252" s="395" t="s">
        <v>92</v>
      </c>
      <c r="AA252" s="399" t="s">
        <v>835</v>
      </c>
      <c r="AB252" s="395" t="s">
        <v>456</v>
      </c>
      <c r="AC252" s="395" t="s">
        <v>56</v>
      </c>
      <c r="AD252" s="395" t="s">
        <v>457</v>
      </c>
      <c r="AE252" s="395" t="s">
        <v>72</v>
      </c>
      <c r="AF252" s="395">
        <f t="shared" ref="AF252:AF253" si="36">AG252*AH252</f>
        <v>1000</v>
      </c>
      <c r="AG252" s="395">
        <f t="shared" ref="AG252:AG253" si="37">2*10</f>
        <v>20</v>
      </c>
      <c r="AH252" s="395">
        <v>50</v>
      </c>
      <c r="AI252" s="395" t="s">
        <v>148</v>
      </c>
      <c r="AJ252" s="60" t="s">
        <v>832</v>
      </c>
      <c r="AK252" s="60" t="s">
        <v>95</v>
      </c>
      <c r="AL252" s="60" t="s">
        <v>459</v>
      </c>
      <c r="AM252" s="152" t="s">
        <v>52</v>
      </c>
      <c r="AN252" s="400">
        <v>2.2000000000000002</v>
      </c>
      <c r="AO252" s="400">
        <v>1.1000000000000001</v>
      </c>
      <c r="AP252" s="400">
        <v>20</v>
      </c>
      <c r="AQ252" s="400">
        <v>10.4</v>
      </c>
      <c r="AR252" s="400">
        <v>3.3</v>
      </c>
      <c r="AS252" s="389">
        <v>20</v>
      </c>
      <c r="AT252" s="389">
        <v>11.9</v>
      </c>
      <c r="AU252" s="389">
        <v>3.2</v>
      </c>
      <c r="AV252" s="127">
        <v>20</v>
      </c>
      <c r="AW252" s="127">
        <v>2</v>
      </c>
    </row>
    <row r="253" spans="1:55" x14ac:dyDescent="0.2">
      <c r="A253" s="403" t="s">
        <v>996</v>
      </c>
      <c r="B253" s="403" t="s">
        <v>949</v>
      </c>
      <c r="C253">
        <v>253</v>
      </c>
      <c r="G253" s="393" t="s">
        <v>825</v>
      </c>
      <c r="H253" s="394">
        <v>144</v>
      </c>
      <c r="I253" s="393" t="s">
        <v>826</v>
      </c>
      <c r="J253" s="395" t="s">
        <v>827</v>
      </c>
      <c r="K253" s="395" t="s">
        <v>66</v>
      </c>
      <c r="L253" s="395" t="s">
        <v>49</v>
      </c>
      <c r="M253" s="395" t="s">
        <v>752</v>
      </c>
      <c r="N253" s="396" t="s">
        <v>929</v>
      </c>
      <c r="O253" s="396" t="str">
        <f t="shared" si="35"/>
        <v xml:space="preserve">m </v>
      </c>
      <c r="P253" s="396">
        <v>2</v>
      </c>
      <c r="Q253" s="395" t="s">
        <v>834</v>
      </c>
      <c r="R253" s="397" t="s">
        <v>829</v>
      </c>
      <c r="S253" s="398">
        <v>11</v>
      </c>
      <c r="T253" s="398" t="s">
        <v>52</v>
      </c>
      <c r="U253" s="398">
        <v>1</v>
      </c>
      <c r="V253" s="398">
        <v>1</v>
      </c>
      <c r="W253" s="398">
        <v>0</v>
      </c>
      <c r="X253" s="398">
        <v>0.46250000000000002</v>
      </c>
      <c r="Y253" s="398">
        <v>0</v>
      </c>
      <c r="Z253" s="395" t="s">
        <v>92</v>
      </c>
      <c r="AA253" s="399" t="s">
        <v>835</v>
      </c>
      <c r="AB253" s="395" t="s">
        <v>456</v>
      </c>
      <c r="AC253" s="395" t="s">
        <v>56</v>
      </c>
      <c r="AD253" s="395" t="s">
        <v>457</v>
      </c>
      <c r="AE253" s="395" t="s">
        <v>72</v>
      </c>
      <c r="AF253" s="395">
        <f t="shared" si="36"/>
        <v>1000</v>
      </c>
      <c r="AG253" s="395">
        <f t="shared" si="37"/>
        <v>20</v>
      </c>
      <c r="AH253" s="395">
        <v>50</v>
      </c>
      <c r="AI253" s="395" t="s">
        <v>148</v>
      </c>
      <c r="AJ253" s="60" t="s">
        <v>833</v>
      </c>
      <c r="AK253" s="60" t="s">
        <v>95</v>
      </c>
      <c r="AL253" s="60" t="s">
        <v>459</v>
      </c>
      <c r="AM253" s="152" t="s">
        <v>52</v>
      </c>
      <c r="AN253" s="400">
        <v>14.5</v>
      </c>
      <c r="AO253" s="400">
        <v>4.0999999999999996</v>
      </c>
      <c r="AP253" s="400">
        <v>20</v>
      </c>
      <c r="AQ253" s="400">
        <v>34.700000000000003</v>
      </c>
      <c r="AR253" s="400">
        <v>5.4</v>
      </c>
      <c r="AS253" s="389">
        <v>20</v>
      </c>
      <c r="AT253" s="389">
        <v>35</v>
      </c>
      <c r="AU253" s="389">
        <v>6</v>
      </c>
      <c r="AV253" s="127">
        <v>20</v>
      </c>
      <c r="AW253" s="127">
        <v>2</v>
      </c>
    </row>
    <row r="254" spans="1:55" x14ac:dyDescent="0.2">
      <c r="A254" s="403" t="s">
        <v>996</v>
      </c>
      <c r="B254" s="403" t="s">
        <v>949</v>
      </c>
      <c r="C254">
        <v>254</v>
      </c>
      <c r="G254" s="386" t="s">
        <v>825</v>
      </c>
      <c r="H254" s="387">
        <v>144</v>
      </c>
      <c r="I254" s="386" t="s">
        <v>826</v>
      </c>
      <c r="J254" s="388" t="s">
        <v>827</v>
      </c>
      <c r="K254" s="388" t="s">
        <v>66</v>
      </c>
      <c r="L254" s="388" t="s">
        <v>49</v>
      </c>
      <c r="M254" s="388" t="s">
        <v>752</v>
      </c>
      <c r="N254" s="389" t="s">
        <v>914</v>
      </c>
      <c r="O254" s="389" t="str">
        <f>IF(Z254="BAU",".",LEFT(Z254,2))</f>
        <v>.</v>
      </c>
      <c r="P254" s="389" t="s">
        <v>924</v>
      </c>
      <c r="Q254" s="388" t="s">
        <v>836</v>
      </c>
      <c r="R254" s="390" t="s">
        <v>829</v>
      </c>
      <c r="S254" s="391">
        <v>11</v>
      </c>
      <c r="T254" s="391" t="s">
        <v>52</v>
      </c>
      <c r="U254" s="391">
        <v>1</v>
      </c>
      <c r="V254" s="391">
        <v>1</v>
      </c>
      <c r="W254" s="391">
        <v>0</v>
      </c>
      <c r="X254" s="391">
        <v>0.46250000000000002</v>
      </c>
      <c r="Y254" s="391">
        <v>0</v>
      </c>
      <c r="Z254" s="388" t="s">
        <v>78</v>
      </c>
      <c r="AA254" s="392" t="s">
        <v>837</v>
      </c>
      <c r="AB254" s="388" t="s">
        <v>235</v>
      </c>
      <c r="AC254" s="388" t="s">
        <v>78</v>
      </c>
      <c r="AD254" s="388" t="s">
        <v>78</v>
      </c>
      <c r="AE254" s="388" t="s">
        <v>78</v>
      </c>
      <c r="AF254" s="388" t="s">
        <v>78</v>
      </c>
      <c r="AG254" s="388" t="s">
        <v>78</v>
      </c>
      <c r="AH254" s="388" t="s">
        <v>78</v>
      </c>
      <c r="AI254" s="388" t="s">
        <v>78</v>
      </c>
      <c r="AJ254" s="60" t="s">
        <v>831</v>
      </c>
      <c r="AK254" s="60" t="s">
        <v>95</v>
      </c>
      <c r="AL254" s="60" t="s">
        <v>459</v>
      </c>
      <c r="AM254" s="152" t="s">
        <v>52</v>
      </c>
      <c r="AN254" s="400">
        <v>0.5</v>
      </c>
      <c r="AO254" s="400">
        <v>0.5</v>
      </c>
      <c r="AP254" s="400">
        <v>20</v>
      </c>
      <c r="AQ254" s="400">
        <v>0.8</v>
      </c>
      <c r="AR254" s="400">
        <v>0.6</v>
      </c>
      <c r="AS254" s="389">
        <v>20</v>
      </c>
      <c r="AT254" s="389">
        <v>0.6</v>
      </c>
      <c r="AU254" s="389">
        <v>0.4</v>
      </c>
      <c r="AV254" s="127">
        <v>20</v>
      </c>
      <c r="AW254" s="127">
        <v>2</v>
      </c>
    </row>
    <row r="255" spans="1:55" x14ac:dyDescent="0.2">
      <c r="A255" s="403" t="s">
        <v>996</v>
      </c>
      <c r="B255" s="403" t="s">
        <v>949</v>
      </c>
      <c r="C255">
        <v>255</v>
      </c>
      <c r="F255" t="b">
        <f>IF(coder1_YH!P255="","",TRUE)</f>
        <v>1</v>
      </c>
      <c r="G255" s="386" t="s">
        <v>825</v>
      </c>
      <c r="H255" s="387">
        <v>144</v>
      </c>
      <c r="I255" s="386" t="s">
        <v>826</v>
      </c>
      <c r="J255" s="388" t="s">
        <v>827</v>
      </c>
      <c r="K255" s="388" t="s">
        <v>66</v>
      </c>
      <c r="L255" s="388" t="s">
        <v>49</v>
      </c>
      <c r="M255" s="388" t="s">
        <v>752</v>
      </c>
      <c r="N255" s="389" t="s">
        <v>914</v>
      </c>
      <c r="O255" s="389" t="str">
        <f t="shared" ref="O255:O256" si="38">IF(Z255="BAU",".",LEFT(Z255,2))</f>
        <v>.</v>
      </c>
      <c r="P255" s="389" t="s">
        <v>924</v>
      </c>
      <c r="Q255" s="388" t="s">
        <v>836</v>
      </c>
      <c r="R255" s="390" t="s">
        <v>829</v>
      </c>
      <c r="S255" s="391">
        <v>11</v>
      </c>
      <c r="T255" s="391" t="s">
        <v>52</v>
      </c>
      <c r="U255" s="391">
        <v>1</v>
      </c>
      <c r="V255" s="391">
        <v>1</v>
      </c>
      <c r="W255" s="391">
        <v>0</v>
      </c>
      <c r="X255" s="391">
        <v>0.46250000000000002</v>
      </c>
      <c r="Y255" s="391">
        <v>0</v>
      </c>
      <c r="Z255" s="388" t="s">
        <v>78</v>
      </c>
      <c r="AA255" s="392" t="s">
        <v>837</v>
      </c>
      <c r="AB255" s="388" t="s">
        <v>235</v>
      </c>
      <c r="AC255" s="388" t="s">
        <v>78</v>
      </c>
      <c r="AD255" s="388" t="s">
        <v>78</v>
      </c>
      <c r="AE255" s="388" t="s">
        <v>78</v>
      </c>
      <c r="AF255" s="388" t="s">
        <v>78</v>
      </c>
      <c r="AG255" s="388" t="s">
        <v>78</v>
      </c>
      <c r="AH255" s="388" t="s">
        <v>78</v>
      </c>
      <c r="AI255" s="388" t="s">
        <v>78</v>
      </c>
      <c r="AJ255" s="60" t="s">
        <v>832</v>
      </c>
      <c r="AK255" s="60" t="s">
        <v>95</v>
      </c>
      <c r="AL255" s="60" t="s">
        <v>459</v>
      </c>
      <c r="AM255" s="152" t="s">
        <v>52</v>
      </c>
      <c r="AN255" s="400">
        <v>4.3</v>
      </c>
      <c r="AO255" s="400">
        <v>3.4</v>
      </c>
      <c r="AP255" s="400">
        <v>20</v>
      </c>
      <c r="AQ255" s="400">
        <v>3.1</v>
      </c>
      <c r="AR255" s="400">
        <v>1.8</v>
      </c>
      <c r="AS255" s="389">
        <v>20</v>
      </c>
      <c r="AT255" s="389">
        <v>6.4</v>
      </c>
      <c r="AU255" s="389">
        <v>2.1</v>
      </c>
      <c r="AV255" s="127">
        <v>20</v>
      </c>
      <c r="AW255" s="127">
        <v>2</v>
      </c>
    </row>
    <row r="256" spans="1:55" x14ac:dyDescent="0.2">
      <c r="A256" s="403" t="s">
        <v>996</v>
      </c>
      <c r="B256" s="403" t="s">
        <v>949</v>
      </c>
      <c r="C256">
        <v>256</v>
      </c>
      <c r="G256" s="386" t="s">
        <v>825</v>
      </c>
      <c r="H256" s="387">
        <v>144</v>
      </c>
      <c r="I256" s="386" t="s">
        <v>826</v>
      </c>
      <c r="J256" s="388" t="s">
        <v>827</v>
      </c>
      <c r="K256" s="388" t="s">
        <v>66</v>
      </c>
      <c r="L256" s="388" t="s">
        <v>49</v>
      </c>
      <c r="M256" s="388" t="s">
        <v>752</v>
      </c>
      <c r="N256" s="389" t="s">
        <v>914</v>
      </c>
      <c r="O256" s="389" t="str">
        <f t="shared" si="38"/>
        <v>.</v>
      </c>
      <c r="P256" s="389" t="s">
        <v>924</v>
      </c>
      <c r="Q256" s="388" t="s">
        <v>836</v>
      </c>
      <c r="R256" s="390" t="s">
        <v>829</v>
      </c>
      <c r="S256" s="391">
        <v>11</v>
      </c>
      <c r="T256" s="391" t="s">
        <v>52</v>
      </c>
      <c r="U256" s="391">
        <v>1</v>
      </c>
      <c r="V256" s="391">
        <v>1</v>
      </c>
      <c r="W256" s="391">
        <v>0</v>
      </c>
      <c r="X256" s="391">
        <v>0.46250000000000002</v>
      </c>
      <c r="Y256" s="391">
        <v>0</v>
      </c>
      <c r="Z256" s="388" t="s">
        <v>78</v>
      </c>
      <c r="AA256" s="392" t="s">
        <v>837</v>
      </c>
      <c r="AB256" s="388" t="s">
        <v>235</v>
      </c>
      <c r="AC256" s="388" t="s">
        <v>78</v>
      </c>
      <c r="AD256" s="388" t="s">
        <v>78</v>
      </c>
      <c r="AE256" s="388" t="s">
        <v>78</v>
      </c>
      <c r="AF256" s="388" t="s">
        <v>78</v>
      </c>
      <c r="AG256" s="388" t="s">
        <v>78</v>
      </c>
      <c r="AH256" s="388" t="s">
        <v>78</v>
      </c>
      <c r="AI256" s="388" t="s">
        <v>78</v>
      </c>
      <c r="AJ256" s="63" t="s">
        <v>833</v>
      </c>
      <c r="AK256" s="63" t="s">
        <v>95</v>
      </c>
      <c r="AL256" s="63" t="s">
        <v>459</v>
      </c>
      <c r="AM256" s="153" t="s">
        <v>52</v>
      </c>
      <c r="AN256" s="401">
        <v>12.1</v>
      </c>
      <c r="AO256" s="401">
        <v>6.4</v>
      </c>
      <c r="AP256" s="401">
        <v>20</v>
      </c>
      <c r="AQ256" s="401">
        <v>19.600000000000001</v>
      </c>
      <c r="AR256" s="401">
        <v>6.8</v>
      </c>
      <c r="AS256" s="402">
        <v>20</v>
      </c>
      <c r="AT256" s="402">
        <v>23.7</v>
      </c>
      <c r="AU256" s="402">
        <v>7.8</v>
      </c>
      <c r="AV256" s="128">
        <v>20</v>
      </c>
      <c r="AW256" s="128">
        <v>2</v>
      </c>
      <c r="AX256" s="128"/>
      <c r="AY256" s="128"/>
    </row>
    <row r="257" spans="3:51" x14ac:dyDescent="0.2">
      <c r="C257">
        <v>257</v>
      </c>
      <c r="D257" t="b">
        <f>E257</f>
        <v>1</v>
      </c>
      <c r="E257" t="b">
        <f>IF(coder1_YH!G257="","",TRUE)</f>
        <v>1</v>
      </c>
      <c r="F257" t="b">
        <f>IF(coder1_YH!P257="","",TRUE)</f>
        <v>1</v>
      </c>
      <c r="G257" s="116" t="s">
        <v>838</v>
      </c>
      <c r="H257" s="117">
        <v>145</v>
      </c>
      <c r="I257" s="116" t="s">
        <v>839</v>
      </c>
      <c r="J257" s="88" t="s">
        <v>840</v>
      </c>
      <c r="K257" s="88" t="s">
        <v>66</v>
      </c>
      <c r="L257" s="88" t="s">
        <v>49</v>
      </c>
      <c r="M257" s="88" t="s">
        <v>841</v>
      </c>
      <c r="N257" s="283" t="s">
        <v>916</v>
      </c>
      <c r="O257" s="283" t="str">
        <f t="shared" si="16"/>
        <v xml:space="preserve">m </v>
      </c>
      <c r="P257" s="127">
        <v>1</v>
      </c>
      <c r="Q257" s="60" t="s">
        <v>842</v>
      </c>
      <c r="R257" s="358">
        <v>6</v>
      </c>
      <c r="S257" s="90">
        <v>11.5</v>
      </c>
      <c r="T257" s="90" t="s">
        <v>52</v>
      </c>
      <c r="U257" s="90" t="s">
        <v>52</v>
      </c>
      <c r="V257" s="90" t="s">
        <v>52</v>
      </c>
      <c r="W257" s="90" t="s">
        <v>52</v>
      </c>
      <c r="X257" s="90">
        <v>0.38700000000000001</v>
      </c>
      <c r="Y257" s="90" t="s">
        <v>52</v>
      </c>
      <c r="Z257" s="60" t="s">
        <v>92</v>
      </c>
      <c r="AA257" s="92" t="s">
        <v>843</v>
      </c>
      <c r="AB257" s="60" t="s">
        <v>456</v>
      </c>
      <c r="AC257" s="60" t="s">
        <v>153</v>
      </c>
      <c r="AD257" s="60" t="s">
        <v>457</v>
      </c>
      <c r="AE257" s="60" t="s">
        <v>72</v>
      </c>
      <c r="AF257" s="60">
        <f>AG257*AH257</f>
        <v>2160</v>
      </c>
      <c r="AG257" s="60">
        <v>36</v>
      </c>
      <c r="AH257" s="60">
        <v>60</v>
      </c>
      <c r="AI257" s="60" t="s">
        <v>148</v>
      </c>
      <c r="AJ257" s="60" t="s">
        <v>844</v>
      </c>
      <c r="AK257" s="60" t="s">
        <v>95</v>
      </c>
      <c r="AL257" s="60" t="s">
        <v>459</v>
      </c>
      <c r="AM257" s="152" t="s">
        <v>845</v>
      </c>
      <c r="AN257" s="120">
        <v>52.09</v>
      </c>
      <c r="AO257" s="120">
        <v>20.9</v>
      </c>
      <c r="AP257" s="120">
        <v>31</v>
      </c>
      <c r="AQ257" s="120">
        <v>57.9</v>
      </c>
      <c r="AR257" s="120">
        <v>18.7</v>
      </c>
      <c r="AS257" s="127">
        <v>31</v>
      </c>
      <c r="AT257" s="200" t="s">
        <v>52</v>
      </c>
      <c r="AU257" s="200" t="s">
        <v>52</v>
      </c>
      <c r="AV257" s="200" t="s">
        <v>52</v>
      </c>
      <c r="AW257" s="200" t="s">
        <v>52</v>
      </c>
      <c r="AX257" s="200"/>
      <c r="AY257" s="200"/>
    </row>
    <row r="258" spans="3:51" x14ac:dyDescent="0.2">
      <c r="C258">
        <v>258</v>
      </c>
      <c r="E258" t="str">
        <f>IF(coder1_YH!G258="","",TRUE)</f>
        <v/>
      </c>
      <c r="F258" t="b">
        <f>IF(coder1_YH!P258="","",TRUE)</f>
        <v>1</v>
      </c>
      <c r="G258" s="122"/>
      <c r="H258" s="123"/>
      <c r="I258" s="122"/>
      <c r="J258" s="89"/>
      <c r="K258" s="89"/>
      <c r="L258" s="89"/>
      <c r="M258" s="89"/>
      <c r="N258" s="284" t="s">
        <v>914</v>
      </c>
      <c r="O258" s="284" t="str">
        <f t="shared" si="16"/>
        <v>.</v>
      </c>
      <c r="P258" s="128" t="s">
        <v>924</v>
      </c>
      <c r="Q258" s="63" t="s">
        <v>846</v>
      </c>
      <c r="R258" s="359">
        <v>6</v>
      </c>
      <c r="S258" s="93">
        <v>11.5</v>
      </c>
      <c r="T258" s="93" t="s">
        <v>52</v>
      </c>
      <c r="U258" s="93" t="s">
        <v>52</v>
      </c>
      <c r="V258" s="93" t="s">
        <v>52</v>
      </c>
      <c r="W258" s="93" t="s">
        <v>52</v>
      </c>
      <c r="X258" s="93">
        <v>0.58069999999999999</v>
      </c>
      <c r="Y258" s="93" t="s">
        <v>52</v>
      </c>
      <c r="Z258" s="63" t="s">
        <v>78</v>
      </c>
      <c r="AA258" s="95" t="s">
        <v>847</v>
      </c>
      <c r="AB258" s="63" t="s">
        <v>80</v>
      </c>
      <c r="AC258" s="63" t="s">
        <v>78</v>
      </c>
      <c r="AD258" s="63" t="s">
        <v>78</v>
      </c>
      <c r="AE258" s="63" t="s">
        <v>78</v>
      </c>
      <c r="AF258" s="63" t="s">
        <v>78</v>
      </c>
      <c r="AG258" s="63" t="s">
        <v>78</v>
      </c>
      <c r="AH258" s="63" t="s">
        <v>78</v>
      </c>
      <c r="AI258" s="63" t="s">
        <v>78</v>
      </c>
      <c r="AJ258" s="63" t="s">
        <v>844</v>
      </c>
      <c r="AK258" s="63" t="s">
        <v>95</v>
      </c>
      <c r="AL258" s="63" t="s">
        <v>459</v>
      </c>
      <c r="AM258" s="153" t="s">
        <v>845</v>
      </c>
      <c r="AN258" s="128">
        <v>56.77</v>
      </c>
      <c r="AO258" s="128">
        <v>14.3</v>
      </c>
      <c r="AP258" s="124">
        <v>31</v>
      </c>
      <c r="AQ258" s="80">
        <v>56.93</v>
      </c>
      <c r="AR258" s="80">
        <v>15.8</v>
      </c>
      <c r="AS258" s="128">
        <v>31</v>
      </c>
      <c r="AT258" s="201" t="s">
        <v>52</v>
      </c>
      <c r="AU258" s="201" t="s">
        <v>52</v>
      </c>
      <c r="AV258" s="201" t="s">
        <v>52</v>
      </c>
      <c r="AW258" s="201" t="s">
        <v>52</v>
      </c>
      <c r="AX258" s="201"/>
      <c r="AY258" s="201"/>
    </row>
    <row r="259" spans="3:51" x14ac:dyDescent="0.2">
      <c r="C259">
        <v>259</v>
      </c>
      <c r="D259" t="b">
        <f>E259</f>
        <v>1</v>
      </c>
      <c r="E259" t="b">
        <f>IF(coder1_YH!G259="","",TRUE)</f>
        <v>1</v>
      </c>
      <c r="F259" t="b">
        <f>IF(coder1_YH!P259="","",TRUE)</f>
        <v>1</v>
      </c>
      <c r="G259" s="116" t="s">
        <v>848</v>
      </c>
      <c r="H259" s="117">
        <v>146</v>
      </c>
      <c r="I259" s="116" t="s">
        <v>849</v>
      </c>
      <c r="J259" s="88" t="s">
        <v>850</v>
      </c>
      <c r="K259" s="88" t="s">
        <v>66</v>
      </c>
      <c r="L259" s="88" t="s">
        <v>49</v>
      </c>
      <c r="M259" s="88" t="s">
        <v>841</v>
      </c>
      <c r="N259" s="283" t="s">
        <v>1033</v>
      </c>
      <c r="O259" s="283" t="str">
        <f t="shared" ref="O259:O290" si="39">IF(Z259="BAU",".",LEFT(Z259,2))</f>
        <v xml:space="preserve">m </v>
      </c>
      <c r="P259" s="127">
        <v>1</v>
      </c>
      <c r="Q259" s="60" t="s">
        <v>851</v>
      </c>
      <c r="R259" s="358">
        <v>5</v>
      </c>
      <c r="S259" s="90">
        <v>11</v>
      </c>
      <c r="T259" s="90" t="s">
        <v>52</v>
      </c>
      <c r="U259" s="90" t="s">
        <v>52</v>
      </c>
      <c r="V259" s="90" t="s">
        <v>52</v>
      </c>
      <c r="W259" s="90" t="s">
        <v>52</v>
      </c>
      <c r="X259" s="90">
        <f>296/(297+296)</f>
        <v>0.49915682967959529</v>
      </c>
      <c r="Y259" s="90" t="s">
        <v>52</v>
      </c>
      <c r="Z259" s="60" t="s">
        <v>92</v>
      </c>
      <c r="AA259" s="92" t="s">
        <v>852</v>
      </c>
      <c r="AB259" s="60" t="s">
        <v>456</v>
      </c>
      <c r="AC259" s="60" t="s">
        <v>56</v>
      </c>
      <c r="AD259" s="60" t="s">
        <v>457</v>
      </c>
      <c r="AE259" s="60" t="s">
        <v>58</v>
      </c>
      <c r="AF259" s="60">
        <f>AG259*AH259</f>
        <v>900</v>
      </c>
      <c r="AG259" s="60">
        <v>20</v>
      </c>
      <c r="AH259" s="60">
        <v>45</v>
      </c>
      <c r="AI259" s="60" t="s">
        <v>59</v>
      </c>
      <c r="AJ259" s="60" t="s">
        <v>853</v>
      </c>
      <c r="AK259" s="60" t="s">
        <v>61</v>
      </c>
      <c r="AL259" s="60" t="s">
        <v>536</v>
      </c>
      <c r="AM259" s="152" t="s">
        <v>854</v>
      </c>
      <c r="AN259" s="142">
        <v>5.69</v>
      </c>
      <c r="AO259" s="142">
        <v>2.59</v>
      </c>
      <c r="AP259" s="142">
        <v>95</v>
      </c>
      <c r="AQ259" s="142">
        <v>7.65</v>
      </c>
      <c r="AR259" s="142">
        <v>2.08</v>
      </c>
      <c r="AS259" s="142">
        <v>95</v>
      </c>
      <c r="AT259" s="142">
        <v>10.49</v>
      </c>
      <c r="AU259" s="142">
        <v>1.71</v>
      </c>
      <c r="AV259" s="142">
        <v>95</v>
      </c>
      <c r="AW259" s="127">
        <v>6</v>
      </c>
    </row>
    <row r="260" spans="3:51" x14ac:dyDescent="0.2">
      <c r="C260">
        <v>260</v>
      </c>
      <c r="E260" t="str">
        <f>IF(coder1_YH!G260="","",TRUE)</f>
        <v/>
      </c>
      <c r="F260" t="b">
        <f>IF(coder1_YH!P260="","",TRUE)</f>
        <v>1</v>
      </c>
      <c r="G260" s="116"/>
      <c r="H260" s="117"/>
      <c r="I260" s="116"/>
      <c r="K260" s="88"/>
      <c r="L260" s="88"/>
      <c r="N260" s="283" t="s">
        <v>1020</v>
      </c>
      <c r="O260" s="283" t="str">
        <f t="shared" si="39"/>
        <v xml:space="preserve">m </v>
      </c>
      <c r="P260" s="127">
        <v>2</v>
      </c>
      <c r="Q260" s="60" t="s">
        <v>855</v>
      </c>
      <c r="R260" s="358">
        <v>5</v>
      </c>
      <c r="S260" s="90">
        <v>11</v>
      </c>
      <c r="T260" s="90" t="s">
        <v>52</v>
      </c>
      <c r="U260" s="90" t="s">
        <v>52</v>
      </c>
      <c r="V260" s="90" t="s">
        <v>52</v>
      </c>
      <c r="W260" s="90" t="s">
        <v>52</v>
      </c>
      <c r="X260" s="90">
        <f t="shared" ref="X260:X262" si="40">296/(297+296)</f>
        <v>0.49915682967959529</v>
      </c>
      <c r="Y260" s="90" t="s">
        <v>52</v>
      </c>
      <c r="Z260" s="60" t="s">
        <v>92</v>
      </c>
      <c r="AA260" s="92" t="s">
        <v>852</v>
      </c>
      <c r="AB260" s="60" t="s">
        <v>456</v>
      </c>
      <c r="AC260" s="60" t="s">
        <v>56</v>
      </c>
      <c r="AD260" s="60" t="s">
        <v>457</v>
      </c>
      <c r="AE260" s="60" t="s">
        <v>58</v>
      </c>
      <c r="AF260" s="60">
        <f t="shared" ref="AF260:AF261" si="41">AG260*AH260</f>
        <v>900</v>
      </c>
      <c r="AG260" s="60">
        <v>20</v>
      </c>
      <c r="AH260" s="60">
        <v>45</v>
      </c>
      <c r="AI260" s="60" t="s">
        <v>59</v>
      </c>
      <c r="AJ260" s="60" t="s">
        <v>853</v>
      </c>
      <c r="AK260" s="60" t="s">
        <v>61</v>
      </c>
      <c r="AL260" s="60" t="s">
        <v>536</v>
      </c>
      <c r="AM260" s="152" t="s">
        <v>854</v>
      </c>
      <c r="AN260" s="120">
        <v>5.76</v>
      </c>
      <c r="AO260" s="120">
        <v>2.73</v>
      </c>
      <c r="AP260" s="120">
        <v>146</v>
      </c>
      <c r="AQ260" s="120">
        <v>7.26</v>
      </c>
      <c r="AR260" s="120">
        <v>1.78</v>
      </c>
      <c r="AS260" s="120">
        <v>146</v>
      </c>
      <c r="AT260" s="120">
        <v>10.119999999999999</v>
      </c>
      <c r="AU260" s="120">
        <v>1.95</v>
      </c>
      <c r="AV260" s="120">
        <v>146</v>
      </c>
      <c r="AW260" s="127">
        <v>6</v>
      </c>
    </row>
    <row r="261" spans="3:51" x14ac:dyDescent="0.2">
      <c r="C261">
        <v>261</v>
      </c>
      <c r="E261" t="str">
        <f>IF(coder1_YH!G261="","",TRUE)</f>
        <v/>
      </c>
      <c r="F261" t="b">
        <f>IF(coder1_YH!P261="","",TRUE)</f>
        <v>1</v>
      </c>
      <c r="G261" s="116"/>
      <c r="H261" s="117"/>
      <c r="I261" s="116"/>
      <c r="K261" s="88"/>
      <c r="L261" s="88"/>
      <c r="N261" s="283" t="s">
        <v>914</v>
      </c>
      <c r="O261" s="283" t="str">
        <f t="shared" si="39"/>
        <v xml:space="preserve">m </v>
      </c>
      <c r="P261" s="127">
        <v>3</v>
      </c>
      <c r="Q261" s="60" t="s">
        <v>856</v>
      </c>
      <c r="R261" s="358">
        <v>5</v>
      </c>
      <c r="S261" s="90">
        <v>11</v>
      </c>
      <c r="T261" s="90" t="s">
        <v>52</v>
      </c>
      <c r="U261" s="90" t="s">
        <v>52</v>
      </c>
      <c r="V261" s="90" t="s">
        <v>52</v>
      </c>
      <c r="W261" s="90" t="s">
        <v>52</v>
      </c>
      <c r="X261" s="90">
        <f t="shared" si="40"/>
        <v>0.49915682967959529</v>
      </c>
      <c r="Y261" s="90" t="s">
        <v>52</v>
      </c>
      <c r="Z261" s="60" t="s">
        <v>92</v>
      </c>
      <c r="AA261" s="92" t="s">
        <v>852</v>
      </c>
      <c r="AB261" s="60" t="s">
        <v>456</v>
      </c>
      <c r="AC261" s="60" t="s">
        <v>56</v>
      </c>
      <c r="AD261" s="60" t="s">
        <v>457</v>
      </c>
      <c r="AE261" s="60" t="s">
        <v>58</v>
      </c>
      <c r="AF261" s="60">
        <f t="shared" si="41"/>
        <v>900</v>
      </c>
      <c r="AG261" s="60">
        <v>20</v>
      </c>
      <c r="AH261" s="60">
        <v>45</v>
      </c>
      <c r="AI261" s="60" t="s">
        <v>59</v>
      </c>
      <c r="AJ261" s="60" t="s">
        <v>853</v>
      </c>
      <c r="AK261" s="60" t="s">
        <v>61</v>
      </c>
      <c r="AL261" s="60" t="s">
        <v>536</v>
      </c>
      <c r="AM261" s="152" t="s">
        <v>854</v>
      </c>
      <c r="AN261" s="120">
        <v>5.97</v>
      </c>
      <c r="AO261" s="120">
        <v>2.59</v>
      </c>
      <c r="AP261" s="120">
        <v>89</v>
      </c>
      <c r="AQ261" s="120">
        <v>7.89</v>
      </c>
      <c r="AR261" s="120">
        <v>2.13</v>
      </c>
      <c r="AS261" s="120">
        <v>89</v>
      </c>
      <c r="AT261" s="120">
        <v>11.02</v>
      </c>
      <c r="AU261" s="120">
        <v>1.57</v>
      </c>
      <c r="AV261" s="120">
        <v>89</v>
      </c>
      <c r="AW261" s="127">
        <v>6</v>
      </c>
    </row>
    <row r="262" spans="3:51" x14ac:dyDescent="0.2">
      <c r="C262">
        <v>262</v>
      </c>
      <c r="E262" t="str">
        <f>IF(coder1_YH!G262="","",TRUE)</f>
        <v/>
      </c>
      <c r="F262" t="b">
        <f>IF(coder1_YH!P262="","",TRUE)</f>
        <v>1</v>
      </c>
      <c r="G262" s="122"/>
      <c r="H262" s="123"/>
      <c r="I262" s="122"/>
      <c r="J262" s="89"/>
      <c r="K262" s="89"/>
      <c r="L262" s="89"/>
      <c r="M262" s="89"/>
      <c r="N262" s="284" t="s">
        <v>914</v>
      </c>
      <c r="O262" s="284" t="str">
        <f t="shared" si="39"/>
        <v>.</v>
      </c>
      <c r="P262" s="128" t="s">
        <v>924</v>
      </c>
      <c r="Q262" s="63" t="s">
        <v>126</v>
      </c>
      <c r="R262" s="359">
        <v>5</v>
      </c>
      <c r="S262" s="93">
        <v>11</v>
      </c>
      <c r="T262" s="93" t="s">
        <v>52</v>
      </c>
      <c r="U262" s="93" t="s">
        <v>52</v>
      </c>
      <c r="V262" s="93" t="s">
        <v>52</v>
      </c>
      <c r="W262" s="93" t="s">
        <v>52</v>
      </c>
      <c r="X262" s="93">
        <f t="shared" si="40"/>
        <v>0.49915682967959529</v>
      </c>
      <c r="Y262" s="93" t="s">
        <v>52</v>
      </c>
      <c r="Z262" s="63" t="s">
        <v>78</v>
      </c>
      <c r="AA262" s="95" t="s">
        <v>78</v>
      </c>
      <c r="AB262" s="63" t="s">
        <v>235</v>
      </c>
      <c r="AC262" s="63" t="s">
        <v>78</v>
      </c>
      <c r="AD262" s="63" t="s">
        <v>78</v>
      </c>
      <c r="AE262" s="63" t="s">
        <v>78</v>
      </c>
      <c r="AF262" s="63" t="s">
        <v>78</v>
      </c>
      <c r="AG262" s="63" t="s">
        <v>78</v>
      </c>
      <c r="AH262" s="63" t="s">
        <v>78</v>
      </c>
      <c r="AI262" s="63" t="s">
        <v>78</v>
      </c>
      <c r="AJ262" s="63" t="s">
        <v>853</v>
      </c>
      <c r="AK262" s="63" t="s">
        <v>61</v>
      </c>
      <c r="AL262" s="63" t="s">
        <v>536</v>
      </c>
      <c r="AM262" s="153" t="s">
        <v>854</v>
      </c>
      <c r="AN262" s="124">
        <v>5.13</v>
      </c>
      <c r="AO262" s="124">
        <v>2.58</v>
      </c>
      <c r="AP262" s="124">
        <v>84</v>
      </c>
      <c r="AQ262" s="124">
        <v>7.15</v>
      </c>
      <c r="AR262" s="124">
        <v>2.0299999999999998</v>
      </c>
      <c r="AS262" s="124">
        <v>84</v>
      </c>
      <c r="AT262" s="124">
        <v>9.36</v>
      </c>
      <c r="AU262" s="124">
        <v>2.39</v>
      </c>
      <c r="AV262" s="124">
        <v>84</v>
      </c>
      <c r="AW262" s="128">
        <v>6</v>
      </c>
      <c r="AX262" s="128"/>
      <c r="AY262" s="128"/>
    </row>
    <row r="263" spans="3:51" x14ac:dyDescent="0.2">
      <c r="C263">
        <v>263</v>
      </c>
      <c r="F263" t="b">
        <f>IF(coder1_YH!P263="","",TRUE)</f>
        <v>1</v>
      </c>
      <c r="G263" s="116" t="s">
        <v>857</v>
      </c>
      <c r="H263" s="117">
        <v>147</v>
      </c>
      <c r="I263" s="143" t="s">
        <v>849</v>
      </c>
      <c r="J263" s="88" t="s">
        <v>850</v>
      </c>
      <c r="K263" s="88" t="s">
        <v>66</v>
      </c>
      <c r="L263" s="88" t="s">
        <v>49</v>
      </c>
      <c r="M263" s="88" t="s">
        <v>841</v>
      </c>
      <c r="N263" s="283" t="s">
        <v>914</v>
      </c>
      <c r="O263" s="283" t="s">
        <v>914</v>
      </c>
      <c r="P263" s="127" t="s">
        <v>924</v>
      </c>
      <c r="Q263" s="60" t="s">
        <v>778</v>
      </c>
      <c r="R263" s="358">
        <v>5</v>
      </c>
      <c r="S263" s="90">
        <v>11.7</v>
      </c>
      <c r="T263" s="90" t="s">
        <v>52</v>
      </c>
      <c r="U263" s="90" t="s">
        <v>52</v>
      </c>
      <c r="V263" s="90" t="s">
        <v>52</v>
      </c>
      <c r="W263" s="90">
        <v>0</v>
      </c>
      <c r="X263" s="90">
        <f>27/62</f>
        <v>0.43548387096774194</v>
      </c>
      <c r="Y263" s="90" t="s">
        <v>52</v>
      </c>
      <c r="Z263" s="60" t="s">
        <v>92</v>
      </c>
      <c r="AA263" s="92" t="s">
        <v>858</v>
      </c>
      <c r="AB263" s="60" t="s">
        <v>235</v>
      </c>
      <c r="AC263" s="60" t="s">
        <v>78</v>
      </c>
      <c r="AD263" s="60" t="s">
        <v>78</v>
      </c>
      <c r="AE263" s="60" t="s">
        <v>78</v>
      </c>
      <c r="AF263" s="60" t="s">
        <v>78</v>
      </c>
      <c r="AG263" s="60" t="s">
        <v>78</v>
      </c>
      <c r="AH263" s="60" t="s">
        <v>78</v>
      </c>
      <c r="AI263" s="60" t="s">
        <v>78</v>
      </c>
      <c r="AJ263" s="60" t="s">
        <v>859</v>
      </c>
      <c r="AK263" s="60" t="s">
        <v>61</v>
      </c>
      <c r="AL263" s="60" t="s">
        <v>536</v>
      </c>
      <c r="AM263" s="152" t="s">
        <v>860</v>
      </c>
      <c r="AN263" s="79">
        <v>50.2</v>
      </c>
      <c r="AO263" s="79">
        <v>8.2200000000000006</v>
      </c>
      <c r="AP263" s="127">
        <v>62</v>
      </c>
      <c r="AQ263" s="79">
        <v>49.32</v>
      </c>
      <c r="AR263" s="79">
        <v>7.05</v>
      </c>
      <c r="AS263" s="127">
        <v>127</v>
      </c>
      <c r="AT263" s="79">
        <v>50.33</v>
      </c>
      <c r="AU263" s="79">
        <v>7.49</v>
      </c>
      <c r="AV263" s="127">
        <v>117</v>
      </c>
      <c r="AW263" s="127">
        <v>2</v>
      </c>
    </row>
    <row r="264" spans="3:51" x14ac:dyDescent="0.2">
      <c r="C264">
        <v>264</v>
      </c>
      <c r="F264" t="b">
        <f>IF(coder1_YH!P264="","",TRUE)</f>
        <v>1</v>
      </c>
      <c r="G264" s="116" t="s">
        <v>857</v>
      </c>
      <c r="H264" s="117">
        <v>147</v>
      </c>
      <c r="I264" s="116" t="s">
        <v>849</v>
      </c>
      <c r="J264" s="88" t="s">
        <v>850</v>
      </c>
      <c r="K264" s="88" t="s">
        <v>66</v>
      </c>
      <c r="L264" s="88" t="s">
        <v>49</v>
      </c>
      <c r="M264" s="88" t="s">
        <v>841</v>
      </c>
      <c r="N264" s="283" t="s">
        <v>1020</v>
      </c>
      <c r="O264" s="283" t="str">
        <f t="shared" si="39"/>
        <v xml:space="preserve">m </v>
      </c>
      <c r="P264" s="127">
        <v>1</v>
      </c>
      <c r="Q264" s="60" t="s">
        <v>861</v>
      </c>
      <c r="R264" s="358">
        <v>5</v>
      </c>
      <c r="S264" s="90">
        <v>11.05</v>
      </c>
      <c r="T264" s="90" t="s">
        <v>52</v>
      </c>
      <c r="U264" s="90" t="s">
        <v>52</v>
      </c>
      <c r="V264" s="90" t="s">
        <v>52</v>
      </c>
      <c r="W264" s="90">
        <v>0</v>
      </c>
      <c r="X264" s="90">
        <f>60/127</f>
        <v>0.47244094488188976</v>
      </c>
      <c r="Y264" s="90" t="s">
        <v>52</v>
      </c>
      <c r="Z264" s="60" t="s">
        <v>92</v>
      </c>
      <c r="AA264" s="92" t="s">
        <v>862</v>
      </c>
      <c r="AB264" s="60" t="s">
        <v>456</v>
      </c>
      <c r="AC264" s="60" t="s">
        <v>153</v>
      </c>
      <c r="AD264" s="60" t="s">
        <v>457</v>
      </c>
      <c r="AE264" s="60" t="s">
        <v>72</v>
      </c>
      <c r="AF264" s="60">
        <f t="shared" ref="AF264:AF270" si="42">AG264*AH264</f>
        <v>630</v>
      </c>
      <c r="AG264" s="60">
        <v>14</v>
      </c>
      <c r="AH264" s="60">
        <v>45</v>
      </c>
      <c r="AI264" s="60" t="s">
        <v>59</v>
      </c>
      <c r="AJ264" s="60" t="s">
        <v>859</v>
      </c>
      <c r="AK264" s="60" t="s">
        <v>61</v>
      </c>
      <c r="AL264" s="60" t="s">
        <v>536</v>
      </c>
      <c r="AM264" s="152" t="s">
        <v>860</v>
      </c>
      <c r="AN264" s="79">
        <v>49.76</v>
      </c>
      <c r="AO264" s="79">
        <v>8.93</v>
      </c>
      <c r="AP264" s="127">
        <v>62</v>
      </c>
      <c r="AQ264" s="79">
        <v>49.99</v>
      </c>
      <c r="AR264" s="79">
        <v>9.02</v>
      </c>
      <c r="AS264" s="127">
        <v>127</v>
      </c>
      <c r="AT264" s="79">
        <v>50.61</v>
      </c>
      <c r="AU264" s="79">
        <v>9.5500000000000007</v>
      </c>
      <c r="AV264" s="127">
        <v>117</v>
      </c>
      <c r="AW264" s="127">
        <v>2</v>
      </c>
    </row>
    <row r="265" spans="3:51" x14ac:dyDescent="0.2">
      <c r="C265">
        <v>265</v>
      </c>
      <c r="D265" t="b">
        <f>E265</f>
        <v>1</v>
      </c>
      <c r="E265" t="b">
        <f>IF(coder1_YH!G265="","",TRUE)</f>
        <v>1</v>
      </c>
      <c r="F265" t="b">
        <f>IF(coder1_YH!P265="","",TRUE)</f>
        <v>1</v>
      </c>
      <c r="G265" s="122" t="s">
        <v>857</v>
      </c>
      <c r="H265" s="123">
        <v>147</v>
      </c>
      <c r="I265" s="122" t="s">
        <v>849</v>
      </c>
      <c r="J265" s="89" t="s">
        <v>850</v>
      </c>
      <c r="K265" s="89" t="s">
        <v>66</v>
      </c>
      <c r="L265" s="89" t="s">
        <v>49</v>
      </c>
      <c r="M265" s="89" t="s">
        <v>841</v>
      </c>
      <c r="N265" s="284" t="s">
        <v>1033</v>
      </c>
      <c r="O265" s="284" t="str">
        <f t="shared" si="39"/>
        <v xml:space="preserve">m </v>
      </c>
      <c r="P265" s="128">
        <v>2</v>
      </c>
      <c r="Q265" s="63" t="s">
        <v>863</v>
      </c>
      <c r="R265" s="359">
        <v>5</v>
      </c>
      <c r="S265" s="93">
        <v>11.02</v>
      </c>
      <c r="T265" s="93" t="s">
        <v>52</v>
      </c>
      <c r="U265" s="93" t="s">
        <v>52</v>
      </c>
      <c r="V265" s="93" t="s">
        <v>52</v>
      </c>
      <c r="W265" s="93">
        <v>0</v>
      </c>
      <c r="X265" s="93">
        <f>56/117</f>
        <v>0.47863247863247865</v>
      </c>
      <c r="Y265" s="93" t="s">
        <v>52</v>
      </c>
      <c r="Z265" s="63" t="s">
        <v>92</v>
      </c>
      <c r="AA265" s="95" t="s">
        <v>862</v>
      </c>
      <c r="AB265" s="63" t="s">
        <v>456</v>
      </c>
      <c r="AC265" s="63" t="s">
        <v>153</v>
      </c>
      <c r="AD265" s="63" t="s">
        <v>457</v>
      </c>
      <c r="AE265" s="63" t="s">
        <v>72</v>
      </c>
      <c r="AF265" s="63">
        <f t="shared" si="42"/>
        <v>630</v>
      </c>
      <c r="AG265" s="63">
        <v>14</v>
      </c>
      <c r="AH265" s="63">
        <v>45</v>
      </c>
      <c r="AI265" s="63" t="s">
        <v>59</v>
      </c>
      <c r="AJ265" s="63" t="s">
        <v>859</v>
      </c>
      <c r="AK265" s="63" t="s">
        <v>61</v>
      </c>
      <c r="AL265" s="63" t="s">
        <v>536</v>
      </c>
      <c r="AM265" s="153" t="s">
        <v>860</v>
      </c>
      <c r="AN265" s="80">
        <v>48.75</v>
      </c>
      <c r="AO265" s="80">
        <v>7.91</v>
      </c>
      <c r="AP265" s="128">
        <v>62</v>
      </c>
      <c r="AQ265" s="80">
        <v>52.14</v>
      </c>
      <c r="AR265" s="80">
        <v>8.93</v>
      </c>
      <c r="AS265" s="128">
        <v>127</v>
      </c>
      <c r="AT265" s="80">
        <v>53.73</v>
      </c>
      <c r="AU265" s="80">
        <v>9.19</v>
      </c>
      <c r="AV265" s="128">
        <v>117</v>
      </c>
      <c r="AW265" s="128">
        <v>2</v>
      </c>
      <c r="AX265" s="128"/>
      <c r="AY265" s="128"/>
    </row>
    <row r="266" spans="3:51" x14ac:dyDescent="0.2">
      <c r="C266">
        <v>266</v>
      </c>
      <c r="F266" t="b">
        <f>IF(coder1_YH!P266="","",TRUE)</f>
        <v>1</v>
      </c>
      <c r="G266" s="116" t="s">
        <v>864</v>
      </c>
      <c r="H266" s="117">
        <v>148</v>
      </c>
      <c r="I266" s="116" t="s">
        <v>849</v>
      </c>
      <c r="J266" s="88" t="s">
        <v>850</v>
      </c>
      <c r="K266" s="88" t="s">
        <v>66</v>
      </c>
      <c r="L266" s="88" t="s">
        <v>49</v>
      </c>
      <c r="M266" s="88" t="s">
        <v>841</v>
      </c>
      <c r="N266" s="283" t="s">
        <v>915</v>
      </c>
      <c r="O266" s="283" t="str">
        <f t="shared" si="39"/>
        <v xml:space="preserve">m </v>
      </c>
      <c r="P266" s="127" t="s">
        <v>924</v>
      </c>
      <c r="Q266" s="60" t="s">
        <v>861</v>
      </c>
      <c r="R266" s="358">
        <v>5</v>
      </c>
      <c r="S266" s="90">
        <v>10.48</v>
      </c>
      <c r="T266" s="90" t="s">
        <v>52</v>
      </c>
      <c r="U266" s="90" t="s">
        <v>52</v>
      </c>
      <c r="V266" s="90" t="s">
        <v>52</v>
      </c>
      <c r="W266" s="90">
        <v>7.5187969924812026E-3</v>
      </c>
      <c r="X266" s="90">
        <f>78/133</f>
        <v>0.5864661654135338</v>
      </c>
      <c r="Y266" s="90" t="s">
        <v>52</v>
      </c>
      <c r="Z266" s="60" t="s">
        <v>92</v>
      </c>
      <c r="AA266" s="92" t="s">
        <v>865</v>
      </c>
      <c r="AB266" s="60" t="s">
        <v>456</v>
      </c>
      <c r="AC266" s="60" t="s">
        <v>153</v>
      </c>
      <c r="AD266" s="126" t="s">
        <v>457</v>
      </c>
      <c r="AE266" s="126" t="s">
        <v>72</v>
      </c>
      <c r="AF266" s="60">
        <f>AG266*AH266</f>
        <v>630</v>
      </c>
      <c r="AG266" s="60">
        <v>45</v>
      </c>
      <c r="AH266" s="60">
        <v>14</v>
      </c>
      <c r="AI266" s="60" t="s">
        <v>59</v>
      </c>
      <c r="AJ266" s="60" t="s">
        <v>866</v>
      </c>
      <c r="AK266" s="60" t="s">
        <v>61</v>
      </c>
      <c r="AL266" s="60" t="s">
        <v>536</v>
      </c>
      <c r="AM266" s="152" t="s">
        <v>867</v>
      </c>
      <c r="AN266" s="120">
        <v>49.31</v>
      </c>
      <c r="AO266" s="120">
        <v>8.2200000000000006</v>
      </c>
      <c r="AP266" s="120">
        <v>133</v>
      </c>
      <c r="AQ266" s="120">
        <v>50.43</v>
      </c>
      <c r="AR266" s="120">
        <v>8.08</v>
      </c>
      <c r="AS266" s="120">
        <v>133</v>
      </c>
      <c r="AT266" s="127">
        <v>50.53</v>
      </c>
      <c r="AU266" s="127">
        <v>8.8699999999999992</v>
      </c>
      <c r="AV266" s="127">
        <v>133</v>
      </c>
      <c r="AW266" s="202">
        <v>2</v>
      </c>
      <c r="AX266" s="202">
        <v>0.61</v>
      </c>
      <c r="AY266" s="202">
        <v>0.71</v>
      </c>
    </row>
    <row r="267" spans="3:51" x14ac:dyDescent="0.2">
      <c r="C267">
        <v>267</v>
      </c>
      <c r="F267" t="b">
        <f>IF(coder1_YH!P267="","",TRUE)</f>
        <v>1</v>
      </c>
      <c r="G267" s="116" t="s">
        <v>864</v>
      </c>
      <c r="H267" s="117">
        <v>148</v>
      </c>
      <c r="I267" s="116" t="s">
        <v>849</v>
      </c>
      <c r="J267" s="88" t="s">
        <v>850</v>
      </c>
      <c r="K267" s="88" t="s">
        <v>66</v>
      </c>
      <c r="L267" s="88" t="s">
        <v>49</v>
      </c>
      <c r="M267" s="88" t="s">
        <v>841</v>
      </c>
      <c r="N267" s="283" t="s">
        <v>919</v>
      </c>
      <c r="O267" s="283" t="str">
        <f t="shared" si="39"/>
        <v xml:space="preserve">m </v>
      </c>
      <c r="P267" s="127">
        <v>1</v>
      </c>
      <c r="Q267" s="118" t="s">
        <v>868</v>
      </c>
      <c r="R267" s="358">
        <v>5</v>
      </c>
      <c r="S267" s="90">
        <v>10.57</v>
      </c>
      <c r="T267" s="90" t="s">
        <v>52</v>
      </c>
      <c r="U267" s="90" t="s">
        <v>52</v>
      </c>
      <c r="V267" s="90" t="s">
        <v>52</v>
      </c>
      <c r="W267" s="90">
        <v>3.875968992248062E-2</v>
      </c>
      <c r="X267" s="90">
        <f>64/129</f>
        <v>0.49612403100775193</v>
      </c>
      <c r="Y267" s="90" t="s">
        <v>52</v>
      </c>
      <c r="Z267" s="60" t="s">
        <v>92</v>
      </c>
      <c r="AA267" s="92" t="s">
        <v>869</v>
      </c>
      <c r="AB267" s="60" t="s">
        <v>456</v>
      </c>
      <c r="AC267" s="60" t="s">
        <v>153</v>
      </c>
      <c r="AD267" s="60" t="s">
        <v>457</v>
      </c>
      <c r="AE267" s="60" t="s">
        <v>72</v>
      </c>
      <c r="AF267" s="60">
        <f t="shared" ref="AF267:AF269" si="43">AG267*AH267</f>
        <v>630</v>
      </c>
      <c r="AG267" s="60">
        <v>45</v>
      </c>
      <c r="AH267" s="60">
        <v>14</v>
      </c>
      <c r="AI267" s="60" t="s">
        <v>59</v>
      </c>
      <c r="AJ267" s="60" t="s">
        <v>866</v>
      </c>
      <c r="AK267" s="60" t="s">
        <v>61</v>
      </c>
      <c r="AL267" s="60" t="s">
        <v>536</v>
      </c>
      <c r="AM267" s="152" t="s">
        <v>867</v>
      </c>
      <c r="AN267" s="120">
        <v>50.81</v>
      </c>
      <c r="AO267" s="120">
        <v>9.19</v>
      </c>
      <c r="AP267" s="120">
        <v>129</v>
      </c>
      <c r="AQ267" s="120">
        <v>52.18</v>
      </c>
      <c r="AR267" s="120">
        <v>7.95</v>
      </c>
      <c r="AS267" s="120">
        <v>129</v>
      </c>
      <c r="AT267" s="127">
        <v>54.3</v>
      </c>
      <c r="AU267" s="127">
        <v>8.7899999999999991</v>
      </c>
      <c r="AV267" s="127">
        <v>129</v>
      </c>
      <c r="AW267" s="127">
        <v>2</v>
      </c>
      <c r="AX267" s="127">
        <v>0.61</v>
      </c>
      <c r="AY267" s="127">
        <v>0.71</v>
      </c>
    </row>
    <row r="268" spans="3:51" x14ac:dyDescent="0.2">
      <c r="C268">
        <v>268</v>
      </c>
      <c r="F268" t="b">
        <f>IF(coder1_YH!P268="","",TRUE)</f>
        <v>1</v>
      </c>
      <c r="G268" s="116" t="s">
        <v>864</v>
      </c>
      <c r="H268" s="117">
        <v>148</v>
      </c>
      <c r="I268" s="116" t="s">
        <v>849</v>
      </c>
      <c r="J268" s="88" t="s">
        <v>850</v>
      </c>
      <c r="K268" s="88" t="s">
        <v>66</v>
      </c>
      <c r="L268" s="88" t="s">
        <v>49</v>
      </c>
      <c r="M268" s="88" t="s">
        <v>841</v>
      </c>
      <c r="N268" s="283" t="s">
        <v>919</v>
      </c>
      <c r="O268" s="283" t="str">
        <f t="shared" si="39"/>
        <v xml:space="preserve">m </v>
      </c>
      <c r="P268" s="127">
        <v>2</v>
      </c>
      <c r="Q268" s="60" t="s">
        <v>870</v>
      </c>
      <c r="R268" s="358">
        <v>5</v>
      </c>
      <c r="S268" s="90">
        <v>10.6</v>
      </c>
      <c r="T268" s="90" t="s">
        <v>52</v>
      </c>
      <c r="U268" s="90" t="s">
        <v>52</v>
      </c>
      <c r="V268" s="90" t="s">
        <v>52</v>
      </c>
      <c r="W268" s="90">
        <v>1.5873015873015872E-2</v>
      </c>
      <c r="X268" s="90">
        <f>71/126</f>
        <v>0.56349206349206349</v>
      </c>
      <c r="Y268" s="90" t="s">
        <v>52</v>
      </c>
      <c r="Z268" s="60" t="s">
        <v>92</v>
      </c>
      <c r="AA268" s="92" t="s">
        <v>871</v>
      </c>
      <c r="AB268" s="60" t="s">
        <v>456</v>
      </c>
      <c r="AC268" s="60" t="s">
        <v>153</v>
      </c>
      <c r="AD268" s="60" t="s">
        <v>457</v>
      </c>
      <c r="AE268" s="60" t="s">
        <v>72</v>
      </c>
      <c r="AF268" s="60">
        <f t="shared" si="43"/>
        <v>630</v>
      </c>
      <c r="AG268" s="60">
        <v>45</v>
      </c>
      <c r="AH268" s="60">
        <v>14</v>
      </c>
      <c r="AI268" s="60" t="s">
        <v>59</v>
      </c>
      <c r="AJ268" s="60" t="s">
        <v>866</v>
      </c>
      <c r="AK268" s="60" t="s">
        <v>61</v>
      </c>
      <c r="AL268" s="60" t="s">
        <v>536</v>
      </c>
      <c r="AM268" s="152" t="s">
        <v>867</v>
      </c>
      <c r="AN268" s="120">
        <v>48.57</v>
      </c>
      <c r="AO268" s="120">
        <v>12.32</v>
      </c>
      <c r="AP268" s="120">
        <v>126</v>
      </c>
      <c r="AQ268" s="120">
        <v>52.41</v>
      </c>
      <c r="AR268" s="120">
        <v>9.43</v>
      </c>
      <c r="AS268" s="120">
        <v>126</v>
      </c>
      <c r="AT268" s="127">
        <v>52.56</v>
      </c>
      <c r="AU268" s="127">
        <v>10.25</v>
      </c>
      <c r="AV268" s="127">
        <v>126</v>
      </c>
      <c r="AW268" s="127">
        <v>2</v>
      </c>
      <c r="AX268" s="127">
        <v>0.61</v>
      </c>
      <c r="AY268" s="127">
        <v>0.71</v>
      </c>
    </row>
    <row r="269" spans="3:51" x14ac:dyDescent="0.2">
      <c r="C269">
        <v>269</v>
      </c>
      <c r="D269" t="b">
        <f t="shared" ref="D269:D270" si="44">E269</f>
        <v>1</v>
      </c>
      <c r="E269" t="b">
        <f>IF(coder1_YH!G269="","",TRUE)</f>
        <v>1</v>
      </c>
      <c r="F269" t="b">
        <f>IF(coder1_YH!P269="","",TRUE)</f>
        <v>1</v>
      </c>
      <c r="G269" s="122" t="s">
        <v>864</v>
      </c>
      <c r="H269" s="123">
        <v>148</v>
      </c>
      <c r="I269" s="122" t="s">
        <v>849</v>
      </c>
      <c r="J269" s="89" t="s">
        <v>850</v>
      </c>
      <c r="K269" s="89" t="s">
        <v>66</v>
      </c>
      <c r="L269" s="89" t="s">
        <v>49</v>
      </c>
      <c r="M269" s="89" t="s">
        <v>841</v>
      </c>
      <c r="N269" s="284" t="s">
        <v>916</v>
      </c>
      <c r="O269" s="284" t="str">
        <f t="shared" si="39"/>
        <v xml:space="preserve">m </v>
      </c>
      <c r="P269" s="128">
        <v>3</v>
      </c>
      <c r="Q269" s="63" t="s">
        <v>863</v>
      </c>
      <c r="R269" s="359">
        <v>5</v>
      </c>
      <c r="S269" s="93">
        <v>10.55</v>
      </c>
      <c r="T269" s="93" t="s">
        <v>52</v>
      </c>
      <c r="U269" s="93" t="s">
        <v>52</v>
      </c>
      <c r="V269" s="93" t="s">
        <v>52</v>
      </c>
      <c r="W269" s="93">
        <v>2.7397260273972601E-2</v>
      </c>
      <c r="X269" s="93">
        <f>84/146</f>
        <v>0.57534246575342463</v>
      </c>
      <c r="Y269" s="93" t="s">
        <v>52</v>
      </c>
      <c r="Z269" s="63" t="s">
        <v>92</v>
      </c>
      <c r="AA269" s="95" t="s">
        <v>872</v>
      </c>
      <c r="AB269" s="63" t="s">
        <v>456</v>
      </c>
      <c r="AC269" s="63" t="s">
        <v>153</v>
      </c>
      <c r="AD269" s="63" t="s">
        <v>457</v>
      </c>
      <c r="AE269" s="63" t="s">
        <v>72</v>
      </c>
      <c r="AF269" s="63">
        <f t="shared" si="43"/>
        <v>630</v>
      </c>
      <c r="AG269" s="63">
        <v>45</v>
      </c>
      <c r="AH269" s="63">
        <v>14</v>
      </c>
      <c r="AI269" s="63" t="s">
        <v>59</v>
      </c>
      <c r="AJ269" s="63" t="s">
        <v>866</v>
      </c>
      <c r="AK269" s="63" t="s">
        <v>61</v>
      </c>
      <c r="AL269" s="63" t="s">
        <v>536</v>
      </c>
      <c r="AM269" s="153" t="s">
        <v>867</v>
      </c>
      <c r="AN269" s="124">
        <v>48.54</v>
      </c>
      <c r="AO269" s="124">
        <v>8.8699999999999992</v>
      </c>
      <c r="AP269" s="124">
        <v>146</v>
      </c>
      <c r="AQ269" s="124">
        <v>50.65</v>
      </c>
      <c r="AR269" s="124">
        <v>8.4</v>
      </c>
      <c r="AS269" s="124">
        <v>146</v>
      </c>
      <c r="AT269" s="128">
        <v>51.65</v>
      </c>
      <c r="AU269" s="128">
        <v>7.43</v>
      </c>
      <c r="AV269" s="128">
        <v>146</v>
      </c>
      <c r="AW269" s="128">
        <v>2</v>
      </c>
      <c r="AX269" s="128">
        <v>0.61</v>
      </c>
      <c r="AY269" s="128">
        <v>0.71</v>
      </c>
    </row>
    <row r="270" spans="3:51" x14ac:dyDescent="0.2">
      <c r="C270">
        <v>270</v>
      </c>
      <c r="D270" t="b">
        <f t="shared" si="44"/>
        <v>1</v>
      </c>
      <c r="E270" t="b">
        <f>IF(coder1_YH!G270="","",TRUE)</f>
        <v>1</v>
      </c>
      <c r="F270" t="b">
        <f>IF(coder1_YH!P270="","",TRUE)</f>
        <v>1</v>
      </c>
      <c r="G270" s="116" t="s">
        <v>1003</v>
      </c>
      <c r="H270" s="117">
        <v>149</v>
      </c>
      <c r="I270" s="116" t="s">
        <v>47</v>
      </c>
      <c r="J270" s="88" t="s">
        <v>452</v>
      </c>
      <c r="K270" s="88" t="s">
        <v>66</v>
      </c>
      <c r="L270" s="88" t="s">
        <v>49</v>
      </c>
      <c r="M270" s="88" t="s">
        <v>752</v>
      </c>
      <c r="N270" s="283" t="s">
        <v>916</v>
      </c>
      <c r="O270" s="283" t="str">
        <f t="shared" si="39"/>
        <v xml:space="preserve">m </v>
      </c>
      <c r="P270" s="127">
        <v>1</v>
      </c>
      <c r="Q270" s="60" t="s">
        <v>873</v>
      </c>
      <c r="R270" s="358">
        <v>5</v>
      </c>
      <c r="S270" s="90">
        <f>129.1/12</f>
        <v>10.758333333333333</v>
      </c>
      <c r="T270" s="90">
        <v>1</v>
      </c>
      <c r="U270" s="90">
        <f>3/16</f>
        <v>0.1875</v>
      </c>
      <c r="V270" s="90">
        <f>12/16</f>
        <v>0.75</v>
      </c>
      <c r="W270" s="90" t="s">
        <v>52</v>
      </c>
      <c r="X270" s="90">
        <f>8/16</f>
        <v>0.5</v>
      </c>
      <c r="Y270" s="90">
        <f>1-2/16</f>
        <v>0.875</v>
      </c>
      <c r="Z270" s="60" t="s">
        <v>92</v>
      </c>
      <c r="AA270" s="92" t="s">
        <v>874</v>
      </c>
      <c r="AB270" s="60" t="s">
        <v>456</v>
      </c>
      <c r="AC270" s="60" t="s">
        <v>153</v>
      </c>
      <c r="AD270" s="60" t="s">
        <v>57</v>
      </c>
      <c r="AE270" s="60" t="s">
        <v>72</v>
      </c>
      <c r="AF270" s="60">
        <f t="shared" si="42"/>
        <v>260</v>
      </c>
      <c r="AG270" s="60">
        <f>AVERAGE(11,15)</f>
        <v>13</v>
      </c>
      <c r="AH270" s="60">
        <v>20</v>
      </c>
      <c r="AI270" s="60" t="s">
        <v>59</v>
      </c>
      <c r="AJ270" s="60" t="s">
        <v>875</v>
      </c>
      <c r="AK270" s="60" t="s">
        <v>95</v>
      </c>
      <c r="AL270" s="60" t="s">
        <v>459</v>
      </c>
      <c r="AM270" s="152" t="s">
        <v>52</v>
      </c>
      <c r="AN270" s="79">
        <v>2.5</v>
      </c>
      <c r="AO270" s="79">
        <v>1.83</v>
      </c>
      <c r="AP270" s="202">
        <v>16</v>
      </c>
      <c r="AQ270" s="79">
        <v>4.38</v>
      </c>
      <c r="AR270" s="79">
        <v>1.18</v>
      </c>
      <c r="AS270" s="202">
        <v>16</v>
      </c>
      <c r="AT270" s="203" t="s">
        <v>52</v>
      </c>
      <c r="AU270" s="203" t="s">
        <v>52</v>
      </c>
      <c r="AV270" s="203" t="s">
        <v>52</v>
      </c>
      <c r="AW270" s="203" t="s">
        <v>52</v>
      </c>
      <c r="AX270" s="203"/>
      <c r="AY270" s="203"/>
    </row>
    <row r="271" spans="3:51" x14ac:dyDescent="0.2">
      <c r="C271">
        <v>271</v>
      </c>
      <c r="E271" t="str">
        <f>IF(coder1_YH!G271="","",TRUE)</f>
        <v/>
      </c>
      <c r="F271" t="str">
        <f>IF(coder1_YH!P271="","",TRUE)</f>
        <v/>
      </c>
      <c r="G271" s="116"/>
      <c r="H271" s="117"/>
      <c r="I271" s="116"/>
      <c r="K271" s="88"/>
      <c r="L271" s="88"/>
      <c r="O271" s="283" t="str">
        <f t="shared" si="39"/>
        <v/>
      </c>
      <c r="Q271" s="60"/>
      <c r="R271" s="358"/>
      <c r="S271" s="90"/>
      <c r="T271" s="90"/>
      <c r="U271" s="90"/>
      <c r="V271" s="90"/>
      <c r="W271" s="90"/>
      <c r="X271" s="90"/>
      <c r="Y271" s="90"/>
      <c r="Z271" s="60"/>
      <c r="AA271" s="92"/>
      <c r="AB271" s="60"/>
      <c r="AC271" s="60"/>
      <c r="AD271" s="60"/>
      <c r="AE271" s="60"/>
      <c r="AF271" s="60"/>
      <c r="AG271" s="60"/>
      <c r="AH271" s="60"/>
      <c r="AI271" s="60"/>
      <c r="AJ271" s="60" t="s">
        <v>876</v>
      </c>
      <c r="AK271" s="60" t="s">
        <v>95</v>
      </c>
      <c r="AL271" s="60" t="s">
        <v>459</v>
      </c>
      <c r="AM271" s="152" t="s">
        <v>52</v>
      </c>
      <c r="AN271" s="79">
        <v>2.94</v>
      </c>
      <c r="AO271" s="79">
        <v>1.77</v>
      </c>
      <c r="AP271" s="127">
        <v>16</v>
      </c>
      <c r="AQ271" s="79">
        <v>5.0599999999999996</v>
      </c>
      <c r="AR271" s="79">
        <v>1.81</v>
      </c>
      <c r="AS271" s="127">
        <v>16</v>
      </c>
      <c r="AT271" s="203" t="s">
        <v>52</v>
      </c>
      <c r="AU271" s="203" t="s">
        <v>52</v>
      </c>
      <c r="AV271" s="203" t="s">
        <v>52</v>
      </c>
      <c r="AW271" s="203" t="s">
        <v>52</v>
      </c>
      <c r="AX271" s="203"/>
      <c r="AY271" s="203"/>
    </row>
    <row r="272" spans="3:51" x14ac:dyDescent="0.2">
      <c r="C272">
        <v>272</v>
      </c>
      <c r="E272" t="str">
        <f>IF(coder1_YH!G272="","",TRUE)</f>
        <v/>
      </c>
      <c r="F272" t="str">
        <f>IF(coder1_YH!P272="","",TRUE)</f>
        <v/>
      </c>
      <c r="G272" s="116"/>
      <c r="H272" s="117"/>
      <c r="I272" s="116"/>
      <c r="K272" s="88"/>
      <c r="L272" s="88"/>
      <c r="O272" s="283" t="str">
        <f t="shared" si="39"/>
        <v/>
      </c>
      <c r="Q272" s="60"/>
      <c r="R272" s="358"/>
      <c r="S272" s="90"/>
      <c r="T272" s="90"/>
      <c r="U272" s="90"/>
      <c r="V272" s="90"/>
      <c r="W272" s="90"/>
      <c r="X272" s="90"/>
      <c r="Y272" s="90"/>
      <c r="Z272" s="60"/>
      <c r="AA272" s="92"/>
      <c r="AB272" s="60"/>
      <c r="AC272" s="60"/>
      <c r="AD272" s="60"/>
      <c r="AE272" s="60"/>
      <c r="AF272" s="60"/>
      <c r="AG272" s="60"/>
      <c r="AH272" s="60"/>
      <c r="AI272" s="60"/>
      <c r="AJ272" s="60" t="s">
        <v>877</v>
      </c>
      <c r="AK272" s="60" t="s">
        <v>95</v>
      </c>
      <c r="AL272" s="60" t="s">
        <v>459</v>
      </c>
      <c r="AM272" s="152" t="s">
        <v>52</v>
      </c>
      <c r="AN272" s="79">
        <v>2.56</v>
      </c>
      <c r="AO272" s="79">
        <v>0.96</v>
      </c>
      <c r="AP272" s="127">
        <v>16</v>
      </c>
      <c r="AQ272" s="79">
        <v>4.0599999999999996</v>
      </c>
      <c r="AR272" s="79">
        <v>0.93</v>
      </c>
      <c r="AS272" s="127">
        <v>16</v>
      </c>
      <c r="AT272" s="203" t="s">
        <v>52</v>
      </c>
      <c r="AU272" s="203" t="s">
        <v>52</v>
      </c>
      <c r="AV272" s="203" t="s">
        <v>52</v>
      </c>
      <c r="AW272" s="203" t="s">
        <v>52</v>
      </c>
      <c r="AX272" s="203"/>
      <c r="AY272" s="203"/>
    </row>
    <row r="273" spans="3:51" x14ac:dyDescent="0.2">
      <c r="C273">
        <v>273</v>
      </c>
      <c r="E273" t="str">
        <f>IF(coder1_YH!G273="","",TRUE)</f>
        <v/>
      </c>
      <c r="F273" t="str">
        <f>IF(coder1_YH!P273="","",TRUE)</f>
        <v/>
      </c>
      <c r="G273" s="116"/>
      <c r="H273" s="117"/>
      <c r="I273" s="116"/>
      <c r="K273" s="88"/>
      <c r="L273" s="88"/>
      <c r="O273" s="283" t="str">
        <f t="shared" si="39"/>
        <v/>
      </c>
      <c r="Q273" s="60"/>
      <c r="R273" s="358"/>
      <c r="S273" s="90"/>
      <c r="T273" s="90"/>
      <c r="U273" s="90"/>
      <c r="V273" s="90"/>
      <c r="W273" s="90"/>
      <c r="X273" s="90"/>
      <c r="Y273" s="90"/>
      <c r="Z273" s="60"/>
      <c r="AA273" s="92"/>
      <c r="AB273" s="60"/>
      <c r="AC273" s="60"/>
      <c r="AD273" s="60"/>
      <c r="AE273" s="60"/>
      <c r="AF273" s="60"/>
      <c r="AG273" s="60"/>
      <c r="AH273" s="60"/>
      <c r="AI273" s="60"/>
      <c r="AJ273" s="60" t="s">
        <v>878</v>
      </c>
      <c r="AK273" s="60" t="s">
        <v>95</v>
      </c>
      <c r="AL273" s="60" t="s">
        <v>459</v>
      </c>
      <c r="AM273" s="152" t="s">
        <v>52</v>
      </c>
      <c r="AN273" s="79">
        <v>3.56</v>
      </c>
      <c r="AO273" s="79">
        <v>1.67</v>
      </c>
      <c r="AP273" s="127">
        <v>16</v>
      </c>
      <c r="AQ273" s="79">
        <v>6.63</v>
      </c>
      <c r="AR273" s="79">
        <v>2.96</v>
      </c>
      <c r="AS273" s="127">
        <v>16</v>
      </c>
      <c r="AT273" s="203" t="s">
        <v>52</v>
      </c>
      <c r="AU273" s="203" t="s">
        <v>52</v>
      </c>
      <c r="AV273" s="203" t="s">
        <v>52</v>
      </c>
      <c r="AW273" s="203" t="s">
        <v>52</v>
      </c>
      <c r="AX273" s="203"/>
      <c r="AY273" s="203"/>
    </row>
    <row r="274" spans="3:51" x14ac:dyDescent="0.2">
      <c r="C274">
        <v>274</v>
      </c>
      <c r="E274" t="str">
        <f>IF(coder1_YH!G274="","",TRUE)</f>
        <v/>
      </c>
      <c r="F274" t="str">
        <f>IF(coder1_YH!P274="","",TRUE)</f>
        <v/>
      </c>
      <c r="G274" s="116"/>
      <c r="H274" s="117"/>
      <c r="I274" s="116"/>
      <c r="K274" s="88"/>
      <c r="L274" s="88"/>
      <c r="O274" s="283" t="str">
        <f t="shared" si="39"/>
        <v/>
      </c>
      <c r="Q274" s="60"/>
      <c r="R274" s="358"/>
      <c r="S274" s="90"/>
      <c r="T274" s="90"/>
      <c r="U274" s="90"/>
      <c r="V274" s="90"/>
      <c r="W274" s="90"/>
      <c r="X274" s="90"/>
      <c r="Y274" s="90"/>
      <c r="Z274" s="60"/>
      <c r="AA274" s="92"/>
      <c r="AB274" s="60"/>
      <c r="AC274" s="60"/>
      <c r="AD274" s="60"/>
      <c r="AE274" s="60"/>
      <c r="AF274" s="60"/>
      <c r="AG274" s="60"/>
      <c r="AH274" s="60"/>
      <c r="AI274" s="60"/>
      <c r="AJ274" s="60" t="s">
        <v>879</v>
      </c>
      <c r="AK274" s="60" t="s">
        <v>95</v>
      </c>
      <c r="AL274" s="60" t="s">
        <v>459</v>
      </c>
      <c r="AM274" s="152" t="s">
        <v>52</v>
      </c>
      <c r="AN274" s="79">
        <v>2.06</v>
      </c>
      <c r="AO274" s="79">
        <v>1</v>
      </c>
      <c r="AP274" s="127">
        <v>16</v>
      </c>
      <c r="AQ274" s="79">
        <v>3.25</v>
      </c>
      <c r="AR274" s="79">
        <v>0.86</v>
      </c>
      <c r="AS274" s="127">
        <v>16</v>
      </c>
      <c r="AT274" s="203" t="s">
        <v>52</v>
      </c>
      <c r="AU274" s="203" t="s">
        <v>52</v>
      </c>
      <c r="AV274" s="203" t="s">
        <v>52</v>
      </c>
      <c r="AW274" s="203" t="s">
        <v>52</v>
      </c>
      <c r="AX274" s="203"/>
      <c r="AY274" s="203"/>
    </row>
    <row r="275" spans="3:51" x14ac:dyDescent="0.2">
      <c r="C275">
        <v>275</v>
      </c>
      <c r="E275" t="str">
        <f>IF(coder1_YH!G275="","",TRUE)</f>
        <v/>
      </c>
      <c r="F275" t="str">
        <f>IF(coder1_YH!P275="","",TRUE)</f>
        <v/>
      </c>
      <c r="G275" s="116"/>
      <c r="H275" s="117"/>
      <c r="I275" s="116"/>
      <c r="K275" s="88"/>
      <c r="L275" s="88"/>
      <c r="O275" s="283" t="str">
        <f t="shared" si="39"/>
        <v/>
      </c>
      <c r="Q275" s="60"/>
      <c r="R275" s="358"/>
      <c r="S275" s="90"/>
      <c r="T275" s="90"/>
      <c r="U275" s="90"/>
      <c r="V275" s="90"/>
      <c r="W275" s="90"/>
      <c r="X275" s="90"/>
      <c r="Y275" s="90"/>
      <c r="Z275" s="60"/>
      <c r="AA275" s="92"/>
      <c r="AB275" s="60"/>
      <c r="AC275" s="60"/>
      <c r="AD275" s="60"/>
      <c r="AE275" s="60"/>
      <c r="AF275" s="60"/>
      <c r="AG275" s="60"/>
      <c r="AH275" s="60"/>
      <c r="AI275" s="60"/>
      <c r="AJ275" s="60" t="s">
        <v>880</v>
      </c>
      <c r="AK275" s="60" t="s">
        <v>95</v>
      </c>
      <c r="AL275" s="60" t="s">
        <v>459</v>
      </c>
      <c r="AM275" s="152" t="s">
        <v>52</v>
      </c>
      <c r="AN275" s="79">
        <v>2.75</v>
      </c>
      <c r="AO275" s="79">
        <v>1</v>
      </c>
      <c r="AP275" s="127">
        <v>16</v>
      </c>
      <c r="AQ275" s="79">
        <v>3</v>
      </c>
      <c r="AR275" s="79">
        <v>0.89</v>
      </c>
      <c r="AS275" s="127">
        <v>16</v>
      </c>
      <c r="AT275" s="203" t="s">
        <v>52</v>
      </c>
      <c r="AU275" s="203" t="s">
        <v>52</v>
      </c>
      <c r="AV275" s="203" t="s">
        <v>52</v>
      </c>
      <c r="AW275" s="203" t="s">
        <v>52</v>
      </c>
      <c r="AX275" s="203"/>
      <c r="AY275" s="203"/>
    </row>
    <row r="276" spans="3:51" x14ac:dyDescent="0.2">
      <c r="C276">
        <v>276</v>
      </c>
      <c r="E276" t="str">
        <f>IF(coder1_YH!G276="","",TRUE)</f>
        <v/>
      </c>
      <c r="F276" t="str">
        <f>IF(coder1_YH!P276="","",TRUE)</f>
        <v/>
      </c>
      <c r="G276" s="116"/>
      <c r="H276" s="117"/>
      <c r="I276" s="116"/>
      <c r="K276" s="88"/>
      <c r="L276" s="88"/>
      <c r="O276" s="283" t="str">
        <f t="shared" si="39"/>
        <v/>
      </c>
      <c r="Q276" s="60"/>
      <c r="R276" s="358"/>
      <c r="S276" s="90"/>
      <c r="T276" s="90"/>
      <c r="U276" s="90"/>
      <c r="V276" s="90"/>
      <c r="W276" s="90"/>
      <c r="X276" s="90"/>
      <c r="Y276" s="90"/>
      <c r="Z276" s="60"/>
      <c r="AA276" s="92"/>
      <c r="AB276" s="60"/>
      <c r="AC276" s="60"/>
      <c r="AD276" s="60"/>
      <c r="AE276" s="60"/>
      <c r="AF276" s="60"/>
      <c r="AG276" s="60"/>
      <c r="AH276" s="60"/>
      <c r="AI276" s="60"/>
      <c r="AJ276" s="60" t="s">
        <v>881</v>
      </c>
      <c r="AK276" s="60" t="s">
        <v>95</v>
      </c>
      <c r="AL276" s="60" t="s">
        <v>459</v>
      </c>
      <c r="AM276" s="152" t="s">
        <v>52</v>
      </c>
      <c r="AN276" s="79">
        <v>2.69</v>
      </c>
      <c r="AO276" s="79">
        <v>2.06</v>
      </c>
      <c r="AP276" s="127">
        <v>16</v>
      </c>
      <c r="AQ276" s="79">
        <v>3.63</v>
      </c>
      <c r="AR276" s="79">
        <v>2.06</v>
      </c>
      <c r="AS276" s="127">
        <v>16</v>
      </c>
      <c r="AT276" s="203" t="s">
        <v>52</v>
      </c>
      <c r="AU276" s="203" t="s">
        <v>52</v>
      </c>
      <c r="AV276" s="203" t="s">
        <v>52</v>
      </c>
      <c r="AW276" s="203" t="s">
        <v>52</v>
      </c>
      <c r="AX276" s="203"/>
      <c r="AY276" s="203"/>
    </row>
    <row r="277" spans="3:51" x14ac:dyDescent="0.2">
      <c r="C277">
        <v>277</v>
      </c>
      <c r="E277" t="str">
        <f>IF(coder1_YH!G277="","",TRUE)</f>
        <v/>
      </c>
      <c r="F277" t="str">
        <f>IF(coder1_YH!P277="","",TRUE)</f>
        <v/>
      </c>
      <c r="G277" s="116"/>
      <c r="H277" s="117"/>
      <c r="I277" s="116"/>
      <c r="K277" s="88"/>
      <c r="L277" s="88"/>
      <c r="O277" s="283" t="str">
        <f t="shared" si="39"/>
        <v/>
      </c>
      <c r="Q277" s="60"/>
      <c r="R277" s="358"/>
      <c r="S277" s="90"/>
      <c r="T277" s="90"/>
      <c r="U277" s="90"/>
      <c r="V277" s="90"/>
      <c r="W277" s="90"/>
      <c r="X277" s="90"/>
      <c r="Y277" s="90"/>
      <c r="Z277" s="60"/>
      <c r="AA277" s="92"/>
      <c r="AB277" s="60"/>
      <c r="AC277" s="60"/>
      <c r="AD277" s="60"/>
      <c r="AE277" s="60"/>
      <c r="AF277" s="60"/>
      <c r="AG277" s="60"/>
      <c r="AH277" s="60"/>
      <c r="AI277" s="60"/>
      <c r="AJ277" s="63" t="s">
        <v>882</v>
      </c>
      <c r="AK277" s="63" t="s">
        <v>95</v>
      </c>
      <c r="AL277" s="63" t="s">
        <v>459</v>
      </c>
      <c r="AM277" s="153" t="s">
        <v>52</v>
      </c>
      <c r="AN277" s="80">
        <v>1.81</v>
      </c>
      <c r="AO277" s="80">
        <v>1.22</v>
      </c>
      <c r="AP277" s="128">
        <v>16</v>
      </c>
      <c r="AQ277" s="80">
        <v>2.75</v>
      </c>
      <c r="AR277" s="80">
        <v>1.44</v>
      </c>
      <c r="AS277" s="128">
        <v>16</v>
      </c>
      <c r="AT277" s="203" t="s">
        <v>52</v>
      </c>
      <c r="AU277" s="203" t="s">
        <v>52</v>
      </c>
      <c r="AV277" s="203" t="s">
        <v>52</v>
      </c>
      <c r="AW277" s="203" t="s">
        <v>52</v>
      </c>
      <c r="AX277" s="203"/>
      <c r="AY277" s="203"/>
    </row>
    <row r="278" spans="3:51" x14ac:dyDescent="0.2">
      <c r="C278">
        <v>278</v>
      </c>
      <c r="E278" t="str">
        <f>IF(coder1_YH!G278="","",TRUE)</f>
        <v/>
      </c>
      <c r="F278" t="str">
        <f>IF(coder1_YH!P278="","",TRUE)</f>
        <v/>
      </c>
      <c r="G278" s="116"/>
      <c r="H278" s="117"/>
      <c r="I278" s="116"/>
      <c r="K278" s="88"/>
      <c r="L278" s="88"/>
      <c r="O278" s="283" t="str">
        <f t="shared" si="39"/>
        <v/>
      </c>
      <c r="Q278" s="60"/>
      <c r="R278" s="358"/>
      <c r="S278" s="90"/>
      <c r="T278" s="90"/>
      <c r="U278" s="90"/>
      <c r="V278" s="90"/>
      <c r="W278" s="90"/>
      <c r="X278" s="90"/>
      <c r="Y278" s="90"/>
      <c r="Z278" s="60"/>
      <c r="AA278" s="92"/>
      <c r="AB278" s="60"/>
      <c r="AC278" s="60"/>
      <c r="AD278" s="60"/>
      <c r="AE278" s="60"/>
      <c r="AF278" s="60"/>
      <c r="AG278" s="60"/>
      <c r="AH278" s="60"/>
      <c r="AI278" s="60"/>
      <c r="AJ278" s="60" t="s">
        <v>883</v>
      </c>
      <c r="AK278" s="60" t="s">
        <v>95</v>
      </c>
      <c r="AL278" s="60" t="s">
        <v>459</v>
      </c>
      <c r="AM278" s="205" t="s">
        <v>52</v>
      </c>
      <c r="AN278" s="79">
        <v>2.5</v>
      </c>
      <c r="AO278" s="79">
        <v>1.83</v>
      </c>
      <c r="AP278" s="202">
        <v>16</v>
      </c>
      <c r="AQ278" s="79">
        <v>4.13</v>
      </c>
      <c r="AR278" s="79">
        <v>1.55</v>
      </c>
      <c r="AS278" s="202">
        <v>16</v>
      </c>
      <c r="AT278" s="203" t="s">
        <v>52</v>
      </c>
      <c r="AU278" s="203" t="s">
        <v>52</v>
      </c>
      <c r="AV278" s="203" t="s">
        <v>52</v>
      </c>
      <c r="AW278" s="203" t="s">
        <v>52</v>
      </c>
      <c r="AX278" s="203"/>
      <c r="AY278" s="203"/>
    </row>
    <row r="279" spans="3:51" x14ac:dyDescent="0.2">
      <c r="C279">
        <v>279</v>
      </c>
      <c r="E279" t="str">
        <f>IF(coder1_YH!G279="","",TRUE)</f>
        <v/>
      </c>
      <c r="F279" t="str">
        <f>IF(coder1_YH!P279="","",TRUE)</f>
        <v/>
      </c>
      <c r="G279" s="116"/>
      <c r="H279" s="117"/>
      <c r="I279" s="116"/>
      <c r="K279" s="88"/>
      <c r="L279" s="88"/>
      <c r="O279" s="283" t="str">
        <f t="shared" si="39"/>
        <v/>
      </c>
      <c r="Q279" s="60"/>
      <c r="R279" s="358"/>
      <c r="S279" s="90"/>
      <c r="T279" s="90"/>
      <c r="U279" s="90"/>
      <c r="V279" s="90"/>
      <c r="W279" s="90"/>
      <c r="X279" s="90"/>
      <c r="Y279" s="90"/>
      <c r="Z279" s="60"/>
      <c r="AA279" s="92"/>
      <c r="AB279" s="60"/>
      <c r="AC279" s="60"/>
      <c r="AD279" s="60"/>
      <c r="AE279" s="60"/>
      <c r="AF279" s="60"/>
      <c r="AG279" s="60"/>
      <c r="AH279" s="60"/>
      <c r="AI279" s="60"/>
      <c r="AJ279" s="60" t="s">
        <v>884</v>
      </c>
      <c r="AK279" s="60" t="s">
        <v>95</v>
      </c>
      <c r="AL279" s="60" t="s">
        <v>459</v>
      </c>
      <c r="AM279" s="152" t="s">
        <v>52</v>
      </c>
      <c r="AN279" s="79">
        <v>2.94</v>
      </c>
      <c r="AO279" s="79">
        <v>1.77</v>
      </c>
      <c r="AP279" s="127">
        <v>16</v>
      </c>
      <c r="AQ279" s="79">
        <v>4.67</v>
      </c>
      <c r="AR279" s="79">
        <v>1.59</v>
      </c>
      <c r="AS279" s="127">
        <v>16</v>
      </c>
      <c r="AT279" s="203" t="s">
        <v>52</v>
      </c>
      <c r="AU279" s="203" t="s">
        <v>52</v>
      </c>
      <c r="AV279" s="203" t="s">
        <v>52</v>
      </c>
      <c r="AW279" s="203" t="s">
        <v>52</v>
      </c>
      <c r="AX279" s="203"/>
      <c r="AY279" s="203"/>
    </row>
    <row r="280" spans="3:51" x14ac:dyDescent="0.2">
      <c r="C280">
        <v>280</v>
      </c>
      <c r="E280" t="str">
        <f>IF(coder1_YH!G280="","",TRUE)</f>
        <v/>
      </c>
      <c r="F280" t="str">
        <f>IF(coder1_YH!P280="","",TRUE)</f>
        <v/>
      </c>
      <c r="G280" s="116"/>
      <c r="H280" s="117"/>
      <c r="I280" s="116"/>
      <c r="K280" s="88"/>
      <c r="L280" s="88"/>
      <c r="O280" s="283" t="str">
        <f t="shared" si="39"/>
        <v/>
      </c>
      <c r="Q280" s="60"/>
      <c r="R280" s="358"/>
      <c r="S280" s="90"/>
      <c r="T280" s="90"/>
      <c r="U280" s="90"/>
      <c r="V280" s="90"/>
      <c r="W280" s="90"/>
      <c r="X280" s="90"/>
      <c r="Y280" s="90"/>
      <c r="Z280" s="60"/>
      <c r="AA280" s="92"/>
      <c r="AB280" s="60"/>
      <c r="AC280" s="60"/>
      <c r="AD280" s="60"/>
      <c r="AE280" s="60"/>
      <c r="AF280" s="60"/>
      <c r="AG280" s="60"/>
      <c r="AH280" s="60"/>
      <c r="AI280" s="60"/>
      <c r="AJ280" s="60" t="s">
        <v>885</v>
      </c>
      <c r="AK280" s="60" t="s">
        <v>95</v>
      </c>
      <c r="AL280" s="60" t="s">
        <v>459</v>
      </c>
      <c r="AM280" s="152" t="s">
        <v>52</v>
      </c>
      <c r="AN280" s="79">
        <v>2.56</v>
      </c>
      <c r="AO280" s="79">
        <v>0.96</v>
      </c>
      <c r="AP280" s="127">
        <v>16</v>
      </c>
      <c r="AQ280" s="79">
        <v>3.87</v>
      </c>
      <c r="AR280" s="79">
        <v>1.25</v>
      </c>
      <c r="AS280" s="127">
        <v>16</v>
      </c>
      <c r="AT280" s="203" t="s">
        <v>52</v>
      </c>
      <c r="AU280" s="203" t="s">
        <v>52</v>
      </c>
      <c r="AV280" s="203" t="s">
        <v>52</v>
      </c>
      <c r="AW280" s="203" t="s">
        <v>52</v>
      </c>
      <c r="AX280" s="203"/>
      <c r="AY280" s="203"/>
    </row>
    <row r="281" spans="3:51" x14ac:dyDescent="0.2">
      <c r="C281">
        <v>281</v>
      </c>
      <c r="E281" t="str">
        <f>IF(coder1_YH!G281="","",TRUE)</f>
        <v/>
      </c>
      <c r="F281" t="str">
        <f>IF(coder1_YH!P281="","",TRUE)</f>
        <v/>
      </c>
      <c r="G281" s="116"/>
      <c r="H281" s="117"/>
      <c r="I281" s="116"/>
      <c r="K281" s="88"/>
      <c r="L281" s="88"/>
      <c r="O281" s="283" t="str">
        <f t="shared" si="39"/>
        <v/>
      </c>
      <c r="Q281" s="60"/>
      <c r="R281" s="358"/>
      <c r="S281" s="90"/>
      <c r="T281" s="90"/>
      <c r="U281" s="90"/>
      <c r="V281" s="90"/>
      <c r="W281" s="90"/>
      <c r="X281" s="90"/>
      <c r="Y281" s="90"/>
      <c r="Z281" s="60"/>
      <c r="AA281" s="92"/>
      <c r="AB281" s="60"/>
      <c r="AC281" s="60"/>
      <c r="AD281" s="60"/>
      <c r="AE281" s="60"/>
      <c r="AF281" s="60"/>
      <c r="AG281" s="60"/>
      <c r="AH281" s="60"/>
      <c r="AI281" s="60"/>
      <c r="AJ281" s="60" t="s">
        <v>886</v>
      </c>
      <c r="AK281" s="60" t="s">
        <v>95</v>
      </c>
      <c r="AL281" s="60" t="s">
        <v>459</v>
      </c>
      <c r="AM281" s="152" t="s">
        <v>52</v>
      </c>
      <c r="AN281" s="79">
        <v>3.56</v>
      </c>
      <c r="AO281" s="79">
        <v>1.67</v>
      </c>
      <c r="AP281" s="127">
        <v>16</v>
      </c>
      <c r="AQ281" s="79">
        <v>4.8</v>
      </c>
      <c r="AR281" s="79">
        <v>1.7</v>
      </c>
      <c r="AS281" s="127">
        <v>16</v>
      </c>
      <c r="AT281" s="203" t="s">
        <v>52</v>
      </c>
      <c r="AU281" s="203" t="s">
        <v>52</v>
      </c>
      <c r="AV281" s="203" t="s">
        <v>52</v>
      </c>
      <c r="AW281" s="203" t="s">
        <v>52</v>
      </c>
      <c r="AX281" s="203"/>
      <c r="AY281" s="203"/>
    </row>
    <row r="282" spans="3:51" x14ac:dyDescent="0.2">
      <c r="C282">
        <v>282</v>
      </c>
      <c r="E282" t="str">
        <f>IF(coder1_YH!G282="","",TRUE)</f>
        <v/>
      </c>
      <c r="F282" t="str">
        <f>IF(coder1_YH!P282="","",TRUE)</f>
        <v/>
      </c>
      <c r="G282" s="116"/>
      <c r="H282" s="117"/>
      <c r="I282" s="116"/>
      <c r="K282" s="88"/>
      <c r="L282" s="88"/>
      <c r="O282" s="283" t="str">
        <f t="shared" si="39"/>
        <v/>
      </c>
      <c r="Q282" s="60"/>
      <c r="R282" s="358"/>
      <c r="S282" s="90"/>
      <c r="T282" s="90"/>
      <c r="U282" s="90"/>
      <c r="V282" s="90"/>
      <c r="W282" s="90"/>
      <c r="X282" s="90"/>
      <c r="Y282" s="90"/>
      <c r="Z282" s="60"/>
      <c r="AA282" s="92"/>
      <c r="AB282" s="60"/>
      <c r="AC282" s="60"/>
      <c r="AD282" s="60"/>
      <c r="AE282" s="60"/>
      <c r="AF282" s="60"/>
      <c r="AG282" s="60"/>
      <c r="AH282" s="60"/>
      <c r="AI282" s="60"/>
      <c r="AJ282" s="60" t="s">
        <v>887</v>
      </c>
      <c r="AK282" s="60" t="s">
        <v>95</v>
      </c>
      <c r="AL282" s="60" t="s">
        <v>459</v>
      </c>
      <c r="AM282" s="152" t="s">
        <v>52</v>
      </c>
      <c r="AN282" s="79">
        <v>2.06</v>
      </c>
      <c r="AO282" s="79">
        <v>1</v>
      </c>
      <c r="AP282" s="127">
        <v>16</v>
      </c>
      <c r="AQ282" s="79">
        <v>2.27</v>
      </c>
      <c r="AR282" s="79">
        <v>1.1000000000000001</v>
      </c>
      <c r="AS282" s="127">
        <v>16</v>
      </c>
      <c r="AT282" s="203" t="s">
        <v>52</v>
      </c>
      <c r="AU282" s="203" t="s">
        <v>52</v>
      </c>
      <c r="AV282" s="203" t="s">
        <v>52</v>
      </c>
      <c r="AW282" s="203" t="s">
        <v>52</v>
      </c>
      <c r="AX282" s="203"/>
      <c r="AY282" s="203"/>
    </row>
    <row r="283" spans="3:51" x14ac:dyDescent="0.2">
      <c r="C283">
        <v>283</v>
      </c>
      <c r="E283" t="str">
        <f>IF(coder1_YH!G283="","",TRUE)</f>
        <v/>
      </c>
      <c r="F283" t="str">
        <f>IF(coder1_YH!P283="","",TRUE)</f>
        <v/>
      </c>
      <c r="G283" s="116"/>
      <c r="H283" s="117"/>
      <c r="I283" s="116"/>
      <c r="K283" s="88"/>
      <c r="L283" s="88"/>
      <c r="O283" s="283" t="str">
        <f t="shared" si="39"/>
        <v/>
      </c>
      <c r="Q283" s="60"/>
      <c r="R283" s="358"/>
      <c r="S283" s="90"/>
      <c r="T283" s="90"/>
      <c r="U283" s="90"/>
      <c r="V283" s="90"/>
      <c r="W283" s="90"/>
      <c r="X283" s="90"/>
      <c r="Y283" s="90"/>
      <c r="Z283" s="60"/>
      <c r="AA283" s="92"/>
      <c r="AB283" s="60"/>
      <c r="AC283" s="60"/>
      <c r="AD283" s="60"/>
      <c r="AE283" s="60"/>
      <c r="AF283" s="60"/>
      <c r="AG283" s="60"/>
      <c r="AH283" s="60"/>
      <c r="AI283" s="60"/>
      <c r="AJ283" s="60" t="s">
        <v>888</v>
      </c>
      <c r="AK283" s="60" t="s">
        <v>95</v>
      </c>
      <c r="AL283" s="60" t="s">
        <v>459</v>
      </c>
      <c r="AM283" s="152" t="s">
        <v>52</v>
      </c>
      <c r="AN283" s="79">
        <v>2.75</v>
      </c>
      <c r="AO283" s="79">
        <v>1</v>
      </c>
      <c r="AP283" s="127">
        <v>16</v>
      </c>
      <c r="AQ283" s="79">
        <v>3.87</v>
      </c>
      <c r="AR283" s="79">
        <v>1.07</v>
      </c>
      <c r="AS283" s="127">
        <v>16</v>
      </c>
      <c r="AT283" s="203" t="s">
        <v>52</v>
      </c>
      <c r="AU283" s="203" t="s">
        <v>52</v>
      </c>
      <c r="AV283" s="203" t="s">
        <v>52</v>
      </c>
      <c r="AW283" s="203" t="s">
        <v>52</v>
      </c>
      <c r="AX283" s="203"/>
      <c r="AY283" s="203"/>
    </row>
    <row r="284" spans="3:51" x14ac:dyDescent="0.2">
      <c r="C284">
        <v>284</v>
      </c>
      <c r="E284" t="str">
        <f>IF(coder1_YH!G284="","",TRUE)</f>
        <v/>
      </c>
      <c r="F284" t="str">
        <f>IF(coder1_YH!P284="","",TRUE)</f>
        <v/>
      </c>
      <c r="G284" s="116"/>
      <c r="H284" s="117"/>
      <c r="I284" s="116"/>
      <c r="K284" s="88"/>
      <c r="L284" s="88"/>
      <c r="O284" s="283" t="str">
        <f t="shared" si="39"/>
        <v/>
      </c>
      <c r="Q284" s="60"/>
      <c r="R284" s="358"/>
      <c r="S284" s="90"/>
      <c r="T284" s="90"/>
      <c r="U284" s="90"/>
      <c r="V284" s="90"/>
      <c r="W284" s="90"/>
      <c r="X284" s="90"/>
      <c r="Y284" s="90"/>
      <c r="Z284" s="60"/>
      <c r="AA284" s="92"/>
      <c r="AB284" s="60"/>
      <c r="AC284" s="60"/>
      <c r="AD284" s="60"/>
      <c r="AE284" s="60"/>
      <c r="AF284" s="60"/>
      <c r="AG284" s="60"/>
      <c r="AH284" s="60"/>
      <c r="AI284" s="60"/>
      <c r="AJ284" s="60" t="s">
        <v>889</v>
      </c>
      <c r="AK284" s="60" t="s">
        <v>95</v>
      </c>
      <c r="AL284" s="60" t="s">
        <v>459</v>
      </c>
      <c r="AM284" s="152" t="s">
        <v>52</v>
      </c>
      <c r="AN284" s="79">
        <v>2.69</v>
      </c>
      <c r="AO284" s="79">
        <v>2.06</v>
      </c>
      <c r="AP284" s="127">
        <v>16</v>
      </c>
      <c r="AQ284" s="79">
        <v>3.96</v>
      </c>
      <c r="AR284" s="79">
        <v>1.7</v>
      </c>
      <c r="AS284" s="127">
        <v>16</v>
      </c>
      <c r="AT284" s="203" t="s">
        <v>52</v>
      </c>
      <c r="AU284" s="203" t="s">
        <v>52</v>
      </c>
      <c r="AV284" s="203" t="s">
        <v>52</v>
      </c>
      <c r="AW284" s="203" t="s">
        <v>52</v>
      </c>
      <c r="AX284" s="203"/>
      <c r="AY284" s="203"/>
    </row>
    <row r="285" spans="3:51" x14ac:dyDescent="0.2">
      <c r="C285">
        <v>285</v>
      </c>
      <c r="E285" t="str">
        <f>IF(coder1_YH!G285="","",TRUE)</f>
        <v/>
      </c>
      <c r="F285" t="str">
        <f>IF(coder1_YH!P285="","",TRUE)</f>
        <v/>
      </c>
      <c r="G285" s="116"/>
      <c r="H285" s="117"/>
      <c r="I285" s="116"/>
      <c r="K285" s="88"/>
      <c r="L285" s="88"/>
      <c r="O285" s="283" t="str">
        <f t="shared" si="39"/>
        <v/>
      </c>
      <c r="Q285" s="60"/>
      <c r="R285" s="358"/>
      <c r="S285" s="90"/>
      <c r="T285" s="90"/>
      <c r="U285" s="90"/>
      <c r="V285" s="90"/>
      <c r="W285" s="90"/>
      <c r="X285" s="90"/>
      <c r="Y285" s="90"/>
      <c r="Z285" s="60"/>
      <c r="AA285" s="92"/>
      <c r="AB285" s="60"/>
      <c r="AC285" s="60"/>
      <c r="AD285" s="60"/>
      <c r="AE285" s="60"/>
      <c r="AF285" s="60"/>
      <c r="AG285" s="60"/>
      <c r="AH285" s="60"/>
      <c r="AI285" s="60"/>
      <c r="AJ285" s="63" t="s">
        <v>890</v>
      </c>
      <c r="AK285" s="63" t="s">
        <v>95</v>
      </c>
      <c r="AL285" s="63" t="s">
        <v>459</v>
      </c>
      <c r="AM285" s="153" t="s">
        <v>52</v>
      </c>
      <c r="AN285" s="80">
        <v>1.81</v>
      </c>
      <c r="AO285" s="80">
        <v>1.22</v>
      </c>
      <c r="AP285" s="128">
        <v>16</v>
      </c>
      <c r="AQ285" s="80">
        <v>2.78</v>
      </c>
      <c r="AR285" s="80">
        <v>1.4</v>
      </c>
      <c r="AS285" s="128">
        <v>16</v>
      </c>
      <c r="AT285" s="203" t="s">
        <v>52</v>
      </c>
      <c r="AU285" s="203" t="s">
        <v>52</v>
      </c>
      <c r="AV285" s="203" t="s">
        <v>52</v>
      </c>
      <c r="AW285" s="203" t="s">
        <v>52</v>
      </c>
      <c r="AX285" s="203"/>
      <c r="AY285" s="203"/>
    </row>
    <row r="286" spans="3:51" x14ac:dyDescent="0.2">
      <c r="C286">
        <v>286</v>
      </c>
      <c r="E286" t="str">
        <f>IF(coder1_YH!G286="","",TRUE)</f>
        <v/>
      </c>
      <c r="F286" t="b">
        <f>IF(coder1_YH!P286="","",TRUE)</f>
        <v>1</v>
      </c>
      <c r="G286" s="116"/>
      <c r="H286" s="117"/>
      <c r="I286" s="116"/>
      <c r="K286" s="88"/>
      <c r="L286" s="88"/>
      <c r="N286" s="283" t="s">
        <v>915</v>
      </c>
      <c r="O286" s="283" t="str">
        <f t="shared" si="39"/>
        <v xml:space="preserve">m </v>
      </c>
      <c r="P286" s="127" t="s">
        <v>924</v>
      </c>
      <c r="Q286" s="60" t="s">
        <v>891</v>
      </c>
      <c r="R286" s="358">
        <v>5</v>
      </c>
      <c r="S286" s="90">
        <f>125.82/12</f>
        <v>10.484999999999999</v>
      </c>
      <c r="T286" s="90">
        <v>1</v>
      </c>
      <c r="U286" s="90">
        <f>2/16</f>
        <v>0.125</v>
      </c>
      <c r="V286" s="90">
        <f>12/16</f>
        <v>0.75</v>
      </c>
      <c r="W286" s="90" t="s">
        <v>52</v>
      </c>
      <c r="X286" s="90">
        <f>7/16</f>
        <v>0.4375</v>
      </c>
      <c r="Y286" s="90">
        <f>1-1/16</f>
        <v>0.9375</v>
      </c>
      <c r="Z286" s="60" t="s">
        <v>92</v>
      </c>
      <c r="AA286" s="92" t="s">
        <v>892</v>
      </c>
      <c r="AB286" s="60" t="s">
        <v>456</v>
      </c>
      <c r="AC286" s="60" t="s">
        <v>153</v>
      </c>
      <c r="AD286" s="60" t="s">
        <v>57</v>
      </c>
      <c r="AE286" s="60" t="s">
        <v>72</v>
      </c>
      <c r="AF286" s="60">
        <f t="shared" ref="AF286" si="45">AG286*AH286</f>
        <v>260</v>
      </c>
      <c r="AG286" s="60">
        <f>AVERAGE(11,15)</f>
        <v>13</v>
      </c>
      <c r="AH286" s="60">
        <v>20</v>
      </c>
      <c r="AI286" s="60" t="s">
        <v>59</v>
      </c>
      <c r="AJ286" s="60" t="s">
        <v>875</v>
      </c>
      <c r="AK286" s="60" t="s">
        <v>95</v>
      </c>
      <c r="AL286" s="60" t="s">
        <v>459</v>
      </c>
      <c r="AM286" s="205" t="s">
        <v>52</v>
      </c>
      <c r="AN286" s="79">
        <v>2.19</v>
      </c>
      <c r="AO286" s="79">
        <v>1.52</v>
      </c>
      <c r="AP286" s="127">
        <v>16</v>
      </c>
      <c r="AQ286" s="79">
        <v>1.88</v>
      </c>
      <c r="AR286" s="79">
        <v>1.2</v>
      </c>
      <c r="AS286" s="127">
        <v>16</v>
      </c>
      <c r="AT286" s="203" t="s">
        <v>52</v>
      </c>
      <c r="AU286" s="203" t="s">
        <v>52</v>
      </c>
      <c r="AV286" s="203" t="s">
        <v>52</v>
      </c>
      <c r="AW286" s="203" t="s">
        <v>52</v>
      </c>
    </row>
    <row r="287" spans="3:51" x14ac:dyDescent="0.2">
      <c r="C287">
        <v>287</v>
      </c>
      <c r="E287" t="str">
        <f>IF(coder1_YH!G287="","",TRUE)</f>
        <v/>
      </c>
      <c r="F287" t="str">
        <f>IF(coder1_YH!P287="","",TRUE)</f>
        <v/>
      </c>
      <c r="G287" s="116"/>
      <c r="H287" s="117"/>
      <c r="I287" s="116"/>
      <c r="K287" s="88"/>
      <c r="L287" s="88"/>
      <c r="O287" s="283" t="str">
        <f t="shared" si="39"/>
        <v/>
      </c>
      <c r="Q287" s="60"/>
      <c r="R287" s="358"/>
      <c r="S287" s="90"/>
      <c r="T287" s="90"/>
      <c r="U287" s="90"/>
      <c r="V287" s="90"/>
      <c r="W287" s="90"/>
      <c r="X287" s="90"/>
      <c r="Y287" s="90"/>
      <c r="Z287" s="60"/>
      <c r="AA287" s="92"/>
      <c r="AB287" s="60"/>
      <c r="AC287" s="60"/>
      <c r="AD287" s="60"/>
      <c r="AE287" s="60"/>
      <c r="AF287" s="60"/>
      <c r="AG287" s="60"/>
      <c r="AH287" s="60"/>
      <c r="AI287" s="60"/>
      <c r="AJ287" s="60" t="s">
        <v>876</v>
      </c>
      <c r="AK287" s="60" t="s">
        <v>95</v>
      </c>
      <c r="AL287" s="60" t="s">
        <v>459</v>
      </c>
      <c r="AM287" s="152" t="s">
        <v>52</v>
      </c>
      <c r="AN287" s="79">
        <v>3.88</v>
      </c>
      <c r="AO287" s="79">
        <v>1.93</v>
      </c>
      <c r="AP287" s="127">
        <v>16</v>
      </c>
      <c r="AQ287" s="79">
        <v>4.1900000000000004</v>
      </c>
      <c r="AR287" s="79">
        <v>1.68</v>
      </c>
      <c r="AS287" s="127">
        <v>16</v>
      </c>
      <c r="AT287" s="203" t="s">
        <v>52</v>
      </c>
      <c r="AU287" s="203" t="s">
        <v>52</v>
      </c>
      <c r="AV287" s="203" t="s">
        <v>52</v>
      </c>
      <c r="AW287" s="203" t="s">
        <v>52</v>
      </c>
    </row>
    <row r="288" spans="3:51" x14ac:dyDescent="0.2">
      <c r="C288">
        <v>288</v>
      </c>
      <c r="E288" t="str">
        <f>IF(coder1_YH!G288="","",TRUE)</f>
        <v/>
      </c>
      <c r="F288" t="str">
        <f>IF(coder1_YH!P288="","",TRUE)</f>
        <v/>
      </c>
      <c r="G288" s="116"/>
      <c r="H288" s="117"/>
      <c r="I288" s="116"/>
      <c r="K288" s="88"/>
      <c r="L288" s="88"/>
      <c r="O288" s="283" t="str">
        <f t="shared" si="39"/>
        <v/>
      </c>
      <c r="Q288" s="60"/>
      <c r="R288" s="358"/>
      <c r="S288" s="90"/>
      <c r="T288" s="90"/>
      <c r="U288" s="90"/>
      <c r="V288" s="90"/>
      <c r="W288" s="90"/>
      <c r="X288" s="90"/>
      <c r="Y288" s="90"/>
      <c r="Z288" s="60"/>
      <c r="AA288" s="92"/>
      <c r="AB288" s="60"/>
      <c r="AC288" s="60"/>
      <c r="AD288" s="60"/>
      <c r="AE288" s="60"/>
      <c r="AF288" s="60"/>
      <c r="AG288" s="60"/>
      <c r="AH288" s="60"/>
      <c r="AI288" s="60"/>
      <c r="AJ288" s="60" t="s">
        <v>877</v>
      </c>
      <c r="AK288" s="60" t="s">
        <v>95</v>
      </c>
      <c r="AL288" s="60" t="s">
        <v>459</v>
      </c>
      <c r="AM288" s="152" t="s">
        <v>52</v>
      </c>
      <c r="AN288" s="79">
        <v>3.06</v>
      </c>
      <c r="AO288" s="79">
        <v>1.24</v>
      </c>
      <c r="AP288" s="127">
        <v>16</v>
      </c>
      <c r="AQ288" s="79">
        <v>3</v>
      </c>
      <c r="AR288" s="79">
        <v>0.89</v>
      </c>
      <c r="AS288" s="127">
        <v>16</v>
      </c>
      <c r="AT288" s="203" t="s">
        <v>52</v>
      </c>
      <c r="AU288" s="203" t="s">
        <v>52</v>
      </c>
      <c r="AV288" s="203" t="s">
        <v>52</v>
      </c>
      <c r="AW288" s="203" t="s">
        <v>52</v>
      </c>
    </row>
    <row r="289" spans="3:51" x14ac:dyDescent="0.2">
      <c r="C289">
        <v>289</v>
      </c>
      <c r="E289" t="str">
        <f>IF(coder1_YH!G289="","",TRUE)</f>
        <v/>
      </c>
      <c r="F289" t="str">
        <f>IF(coder1_YH!P289="","",TRUE)</f>
        <v/>
      </c>
      <c r="G289" s="116"/>
      <c r="H289" s="117"/>
      <c r="I289" s="116"/>
      <c r="K289" s="88"/>
      <c r="L289" s="88"/>
      <c r="O289" s="283" t="str">
        <f t="shared" si="39"/>
        <v/>
      </c>
      <c r="Q289" s="60"/>
      <c r="R289" s="358"/>
      <c r="S289" s="90"/>
      <c r="T289" s="90"/>
      <c r="U289" s="90"/>
      <c r="V289" s="90"/>
      <c r="W289" s="90"/>
      <c r="X289" s="90"/>
      <c r="Y289" s="90"/>
      <c r="Z289" s="60"/>
      <c r="AA289" s="92"/>
      <c r="AB289" s="60"/>
      <c r="AC289" s="60"/>
      <c r="AD289" s="60"/>
      <c r="AE289" s="60"/>
      <c r="AF289" s="60"/>
      <c r="AG289" s="60"/>
      <c r="AH289" s="60"/>
      <c r="AI289" s="60"/>
      <c r="AJ289" s="60" t="s">
        <v>878</v>
      </c>
      <c r="AK289" s="60" t="s">
        <v>95</v>
      </c>
      <c r="AL289" s="60" t="s">
        <v>459</v>
      </c>
      <c r="AM289" s="152" t="s">
        <v>52</v>
      </c>
      <c r="AN289" s="79">
        <v>4</v>
      </c>
      <c r="AO289" s="79">
        <v>2</v>
      </c>
      <c r="AP289" s="127">
        <v>16</v>
      </c>
      <c r="AQ289" s="79">
        <v>4.5</v>
      </c>
      <c r="AR289" s="79">
        <v>2.0699999999999998</v>
      </c>
      <c r="AS289" s="127">
        <v>16</v>
      </c>
      <c r="AT289" s="203" t="s">
        <v>52</v>
      </c>
      <c r="AU289" s="203" t="s">
        <v>52</v>
      </c>
      <c r="AV289" s="203" t="s">
        <v>52</v>
      </c>
      <c r="AW289" s="203" t="s">
        <v>52</v>
      </c>
    </row>
    <row r="290" spans="3:51" x14ac:dyDescent="0.2">
      <c r="C290">
        <v>290</v>
      </c>
      <c r="E290" t="str">
        <f>IF(coder1_YH!G290="","",TRUE)</f>
        <v/>
      </c>
      <c r="F290" t="str">
        <f>IF(coder1_YH!P290="","",TRUE)</f>
        <v/>
      </c>
      <c r="G290" s="116"/>
      <c r="H290" s="117"/>
      <c r="I290" s="116"/>
      <c r="K290" s="88"/>
      <c r="L290" s="88"/>
      <c r="O290" s="283" t="str">
        <f t="shared" si="39"/>
        <v/>
      </c>
      <c r="Q290" s="60"/>
      <c r="R290" s="358"/>
      <c r="S290" s="90"/>
      <c r="T290" s="90"/>
      <c r="U290" s="90"/>
      <c r="V290" s="90"/>
      <c r="W290" s="90"/>
      <c r="X290" s="90"/>
      <c r="Y290" s="90"/>
      <c r="Z290" s="60"/>
      <c r="AA290" s="92"/>
      <c r="AB290" s="60"/>
      <c r="AC290" s="60"/>
      <c r="AD290" s="60"/>
      <c r="AE290" s="60"/>
      <c r="AF290" s="60"/>
      <c r="AG290" s="60"/>
      <c r="AH290" s="60"/>
      <c r="AI290" s="60"/>
      <c r="AJ290" s="60" t="s">
        <v>879</v>
      </c>
      <c r="AK290" s="60" t="s">
        <v>95</v>
      </c>
      <c r="AL290" s="60" t="s">
        <v>459</v>
      </c>
      <c r="AM290" s="152" t="s">
        <v>52</v>
      </c>
      <c r="AN290" s="79">
        <v>2.44</v>
      </c>
      <c r="AO290" s="79">
        <v>0.96</v>
      </c>
      <c r="AP290" s="127">
        <v>16</v>
      </c>
      <c r="AQ290" s="79">
        <v>2.56</v>
      </c>
      <c r="AR290" s="79">
        <v>0.96</v>
      </c>
      <c r="AS290" s="127">
        <v>16</v>
      </c>
      <c r="AT290" s="203" t="s">
        <v>52</v>
      </c>
      <c r="AU290" s="203" t="s">
        <v>52</v>
      </c>
      <c r="AV290" s="203" t="s">
        <v>52</v>
      </c>
      <c r="AW290" s="203" t="s">
        <v>52</v>
      </c>
    </row>
    <row r="291" spans="3:51" x14ac:dyDescent="0.2">
      <c r="C291">
        <v>291</v>
      </c>
      <c r="E291" t="str">
        <f>IF(coder1_YH!G291="","",TRUE)</f>
        <v/>
      </c>
      <c r="F291" t="str">
        <f>IF(coder1_YH!P291="","",TRUE)</f>
        <v/>
      </c>
      <c r="G291" s="116"/>
      <c r="H291" s="117"/>
      <c r="I291" s="116"/>
      <c r="K291" s="88"/>
      <c r="L291" s="88"/>
      <c r="O291" s="283" t="str">
        <f t="shared" ref="O291:O312" si="46">IF(Z291="BAU",".",LEFT(Z291,2))</f>
        <v/>
      </c>
      <c r="Q291" s="60"/>
      <c r="R291" s="358"/>
      <c r="S291" s="90"/>
      <c r="T291" s="90"/>
      <c r="U291" s="90"/>
      <c r="V291" s="90"/>
      <c r="W291" s="90"/>
      <c r="X291" s="90"/>
      <c r="Y291" s="90"/>
      <c r="Z291" s="60"/>
      <c r="AA291" s="92"/>
      <c r="AB291" s="60"/>
      <c r="AC291" s="60"/>
      <c r="AD291" s="60"/>
      <c r="AE291" s="60"/>
      <c r="AF291" s="60"/>
      <c r="AG291" s="60"/>
      <c r="AH291" s="60"/>
      <c r="AI291" s="60"/>
      <c r="AJ291" s="60" t="s">
        <v>880</v>
      </c>
      <c r="AK291" s="60" t="s">
        <v>95</v>
      </c>
      <c r="AL291" s="60" t="s">
        <v>459</v>
      </c>
      <c r="AM291" s="152" t="s">
        <v>52</v>
      </c>
      <c r="AN291" s="79">
        <v>3</v>
      </c>
      <c r="AO291" s="79">
        <v>1.03</v>
      </c>
      <c r="AP291" s="127">
        <v>16</v>
      </c>
      <c r="AQ291" s="79">
        <v>3.19</v>
      </c>
      <c r="AR291" s="79">
        <v>1.28</v>
      </c>
      <c r="AS291" s="127">
        <v>16</v>
      </c>
      <c r="AT291" s="203" t="s">
        <v>52</v>
      </c>
      <c r="AU291" s="203" t="s">
        <v>52</v>
      </c>
      <c r="AV291" s="203" t="s">
        <v>52</v>
      </c>
      <c r="AW291" s="203" t="s">
        <v>52</v>
      </c>
    </row>
    <row r="292" spans="3:51" x14ac:dyDescent="0.2">
      <c r="C292">
        <v>292</v>
      </c>
      <c r="E292" t="str">
        <f>IF(coder1_YH!G292="","",TRUE)</f>
        <v/>
      </c>
      <c r="F292" t="str">
        <f>IF(coder1_YH!P292="","",TRUE)</f>
        <v/>
      </c>
      <c r="G292" s="116"/>
      <c r="H292" s="117"/>
      <c r="I292" s="116"/>
      <c r="K292" s="88"/>
      <c r="L292" s="88"/>
      <c r="O292" s="283" t="str">
        <f t="shared" si="46"/>
        <v/>
      </c>
      <c r="Q292" s="60"/>
      <c r="R292" s="358"/>
      <c r="S292" s="90"/>
      <c r="T292" s="90"/>
      <c r="U292" s="90"/>
      <c r="V292" s="90"/>
      <c r="W292" s="90"/>
      <c r="X292" s="90"/>
      <c r="Y292" s="90"/>
      <c r="Z292" s="60"/>
      <c r="AA292" s="92"/>
      <c r="AB292" s="60"/>
      <c r="AC292" s="60"/>
      <c r="AD292" s="60"/>
      <c r="AE292" s="60"/>
      <c r="AF292" s="60"/>
      <c r="AG292" s="60"/>
      <c r="AH292" s="60"/>
      <c r="AI292" s="60"/>
      <c r="AJ292" s="60" t="s">
        <v>881</v>
      </c>
      <c r="AK292" s="60" t="s">
        <v>95</v>
      </c>
      <c r="AL292" s="60" t="s">
        <v>459</v>
      </c>
      <c r="AM292" s="152" t="s">
        <v>52</v>
      </c>
      <c r="AN292" s="79">
        <v>4.0599999999999996</v>
      </c>
      <c r="AO292" s="79">
        <v>2.08</v>
      </c>
      <c r="AP292" s="127">
        <v>16</v>
      </c>
      <c r="AQ292" s="79">
        <v>3.69</v>
      </c>
      <c r="AR292" s="79">
        <v>2.5</v>
      </c>
      <c r="AS292" s="127">
        <v>16</v>
      </c>
      <c r="AT292" s="203" t="s">
        <v>52</v>
      </c>
      <c r="AU292" s="203" t="s">
        <v>52</v>
      </c>
      <c r="AV292" s="203" t="s">
        <v>52</v>
      </c>
      <c r="AW292" s="203" t="s">
        <v>52</v>
      </c>
    </row>
    <row r="293" spans="3:51" x14ac:dyDescent="0.2">
      <c r="C293">
        <v>293</v>
      </c>
      <c r="E293" t="str">
        <f>IF(coder1_YH!G293="","",TRUE)</f>
        <v/>
      </c>
      <c r="F293" t="str">
        <f>IF(coder1_YH!P293="","",TRUE)</f>
        <v/>
      </c>
      <c r="G293" s="116"/>
      <c r="H293" s="117"/>
      <c r="I293" s="116"/>
      <c r="K293" s="88"/>
      <c r="L293" s="88"/>
      <c r="O293" s="283" t="str">
        <f t="shared" si="46"/>
        <v/>
      </c>
      <c r="Q293" s="60"/>
      <c r="R293" s="358"/>
      <c r="S293" s="90"/>
      <c r="T293" s="90"/>
      <c r="U293" s="90"/>
      <c r="V293" s="90"/>
      <c r="W293" s="90"/>
      <c r="X293" s="90"/>
      <c r="Y293" s="90"/>
      <c r="Z293" s="60"/>
      <c r="AA293" s="92"/>
      <c r="AB293" s="60"/>
      <c r="AC293" s="60"/>
      <c r="AD293" s="60"/>
      <c r="AE293" s="60"/>
      <c r="AF293" s="60"/>
      <c r="AG293" s="60"/>
      <c r="AH293" s="60"/>
      <c r="AI293" s="60"/>
      <c r="AJ293" s="63" t="s">
        <v>882</v>
      </c>
      <c r="AK293" s="63" t="s">
        <v>95</v>
      </c>
      <c r="AL293" s="63" t="s">
        <v>459</v>
      </c>
      <c r="AM293" s="153" t="s">
        <v>52</v>
      </c>
      <c r="AN293" s="80">
        <v>2.0699999999999998</v>
      </c>
      <c r="AO293" s="80">
        <v>1.1200000000000001</v>
      </c>
      <c r="AP293" s="128">
        <v>16</v>
      </c>
      <c r="AQ293" s="80">
        <v>2.63</v>
      </c>
      <c r="AR293" s="80">
        <v>1.26</v>
      </c>
      <c r="AS293" s="128">
        <v>16</v>
      </c>
      <c r="AT293" s="203" t="s">
        <v>52</v>
      </c>
      <c r="AU293" s="203" t="s">
        <v>52</v>
      </c>
      <c r="AV293" s="203" t="s">
        <v>52</v>
      </c>
      <c r="AW293" s="203" t="s">
        <v>52</v>
      </c>
    </row>
    <row r="294" spans="3:51" x14ac:dyDescent="0.2">
      <c r="C294">
        <v>294</v>
      </c>
      <c r="E294" t="str">
        <f>IF(coder1_YH!G294="","",TRUE)</f>
        <v/>
      </c>
      <c r="F294" t="str">
        <f>IF(coder1_YH!P294="","",TRUE)</f>
        <v/>
      </c>
      <c r="G294" s="116"/>
      <c r="H294" s="117"/>
      <c r="I294" s="116"/>
      <c r="K294" s="88"/>
      <c r="L294" s="88"/>
      <c r="O294" s="283" t="str">
        <f t="shared" si="46"/>
        <v/>
      </c>
      <c r="Q294" s="60"/>
      <c r="R294" s="358"/>
      <c r="S294" s="90"/>
      <c r="T294" s="90"/>
      <c r="U294" s="90"/>
      <c r="V294" s="90"/>
      <c r="W294" s="90"/>
      <c r="X294" s="90"/>
      <c r="Y294" s="90"/>
      <c r="Z294" s="60"/>
      <c r="AA294" s="92"/>
      <c r="AB294" s="60"/>
      <c r="AC294" s="60"/>
      <c r="AD294" s="60"/>
      <c r="AE294" s="60"/>
      <c r="AF294" s="60"/>
      <c r="AG294" s="60"/>
      <c r="AH294" s="60"/>
      <c r="AI294" s="60"/>
      <c r="AJ294" s="60" t="s">
        <v>883</v>
      </c>
      <c r="AK294" s="60" t="s">
        <v>95</v>
      </c>
      <c r="AL294" s="60" t="s">
        <v>459</v>
      </c>
      <c r="AM294" s="205" t="s">
        <v>52</v>
      </c>
      <c r="AN294" s="79">
        <v>2.19</v>
      </c>
      <c r="AO294" s="79">
        <v>1.52</v>
      </c>
      <c r="AP294" s="202">
        <v>16</v>
      </c>
      <c r="AQ294" s="79">
        <v>2.4</v>
      </c>
      <c r="AR294" s="79">
        <v>1.35</v>
      </c>
      <c r="AS294" s="202">
        <v>16</v>
      </c>
      <c r="AT294" s="203" t="s">
        <v>52</v>
      </c>
      <c r="AU294" s="203" t="s">
        <v>52</v>
      </c>
      <c r="AV294" s="203" t="s">
        <v>52</v>
      </c>
      <c r="AW294" s="203" t="s">
        <v>52</v>
      </c>
    </row>
    <row r="295" spans="3:51" x14ac:dyDescent="0.2">
      <c r="C295">
        <v>295</v>
      </c>
      <c r="E295" t="str">
        <f>IF(coder1_YH!G295="","",TRUE)</f>
        <v/>
      </c>
      <c r="F295" t="str">
        <f>IF(coder1_YH!P295="","",TRUE)</f>
        <v/>
      </c>
      <c r="G295" s="116"/>
      <c r="H295" s="117"/>
      <c r="I295" s="116"/>
      <c r="K295" s="88"/>
      <c r="L295" s="88"/>
      <c r="O295" s="283" t="str">
        <f t="shared" si="46"/>
        <v/>
      </c>
      <c r="Q295" s="60"/>
      <c r="R295" s="358"/>
      <c r="S295" s="90"/>
      <c r="T295" s="90"/>
      <c r="U295" s="90"/>
      <c r="V295" s="90"/>
      <c r="W295" s="90"/>
      <c r="X295" s="90"/>
      <c r="Y295" s="90"/>
      <c r="Z295" s="60"/>
      <c r="AA295" s="92"/>
      <c r="AB295" s="60"/>
      <c r="AC295" s="60"/>
      <c r="AD295" s="60"/>
      <c r="AE295" s="60"/>
      <c r="AF295" s="60"/>
      <c r="AG295" s="60"/>
      <c r="AH295" s="60"/>
      <c r="AI295" s="60"/>
      <c r="AJ295" s="60" t="s">
        <v>884</v>
      </c>
      <c r="AK295" s="60" t="s">
        <v>95</v>
      </c>
      <c r="AL295" s="60" t="s">
        <v>459</v>
      </c>
      <c r="AM295" s="152" t="s">
        <v>52</v>
      </c>
      <c r="AN295" s="79">
        <v>3.88</v>
      </c>
      <c r="AO295" s="79">
        <v>1.93</v>
      </c>
      <c r="AP295" s="127">
        <v>16</v>
      </c>
      <c r="AQ295" s="79">
        <v>3.93</v>
      </c>
      <c r="AR295" s="79">
        <v>1.62</v>
      </c>
      <c r="AS295" s="127">
        <v>16</v>
      </c>
      <c r="AT295" s="203" t="s">
        <v>52</v>
      </c>
      <c r="AU295" s="203" t="s">
        <v>52</v>
      </c>
      <c r="AV295" s="203" t="s">
        <v>52</v>
      </c>
      <c r="AW295" s="203" t="s">
        <v>52</v>
      </c>
    </row>
    <row r="296" spans="3:51" x14ac:dyDescent="0.2">
      <c r="C296">
        <v>296</v>
      </c>
      <c r="E296" t="str">
        <f>IF(coder1_YH!G296="","",TRUE)</f>
        <v/>
      </c>
      <c r="F296" t="str">
        <f>IF(coder1_YH!P296="","",TRUE)</f>
        <v/>
      </c>
      <c r="G296" s="116"/>
      <c r="H296" s="117"/>
      <c r="I296" s="116"/>
      <c r="K296" s="88"/>
      <c r="L296" s="88"/>
      <c r="O296" s="283" t="str">
        <f t="shared" si="46"/>
        <v/>
      </c>
      <c r="Q296" s="60"/>
      <c r="R296" s="358"/>
      <c r="S296" s="90"/>
      <c r="T296" s="90"/>
      <c r="U296" s="90"/>
      <c r="V296" s="90"/>
      <c r="W296" s="90"/>
      <c r="X296" s="90"/>
      <c r="Y296" s="90"/>
      <c r="Z296" s="60"/>
      <c r="AA296" s="92"/>
      <c r="AB296" s="60"/>
      <c r="AC296" s="60"/>
      <c r="AD296" s="60"/>
      <c r="AE296" s="60"/>
      <c r="AF296" s="60"/>
      <c r="AG296" s="60"/>
      <c r="AH296" s="60"/>
      <c r="AI296" s="60"/>
      <c r="AJ296" s="60" t="s">
        <v>885</v>
      </c>
      <c r="AK296" s="60" t="s">
        <v>95</v>
      </c>
      <c r="AL296" s="60" t="s">
        <v>459</v>
      </c>
      <c r="AM296" s="152" t="s">
        <v>52</v>
      </c>
      <c r="AN296" s="79">
        <v>3.06</v>
      </c>
      <c r="AO296" s="79">
        <v>1.24</v>
      </c>
      <c r="AP296" s="127">
        <v>16</v>
      </c>
      <c r="AQ296" s="79">
        <v>3.33</v>
      </c>
      <c r="AR296" s="79">
        <v>1.29</v>
      </c>
      <c r="AS296" s="127">
        <v>16</v>
      </c>
      <c r="AT296" s="203" t="s">
        <v>52</v>
      </c>
      <c r="AU296" s="203" t="s">
        <v>52</v>
      </c>
      <c r="AV296" s="203" t="s">
        <v>52</v>
      </c>
      <c r="AW296" s="203" t="s">
        <v>52</v>
      </c>
    </row>
    <row r="297" spans="3:51" x14ac:dyDescent="0.2">
      <c r="C297">
        <v>297</v>
      </c>
      <c r="E297" t="str">
        <f>IF(coder1_YH!G297="","",TRUE)</f>
        <v/>
      </c>
      <c r="F297" t="str">
        <f>IF(coder1_YH!P297="","",TRUE)</f>
        <v/>
      </c>
      <c r="G297" s="116"/>
      <c r="H297" s="117"/>
      <c r="I297" s="116"/>
      <c r="K297" s="88"/>
      <c r="L297" s="88"/>
      <c r="O297" s="283" t="str">
        <f t="shared" si="46"/>
        <v/>
      </c>
      <c r="Q297" s="60"/>
      <c r="R297" s="358"/>
      <c r="S297" s="90"/>
      <c r="T297" s="90"/>
      <c r="U297" s="90"/>
      <c r="V297" s="90"/>
      <c r="W297" s="90"/>
      <c r="X297" s="90"/>
      <c r="Y297" s="90"/>
      <c r="Z297" s="60"/>
      <c r="AA297" s="92"/>
      <c r="AB297" s="60"/>
      <c r="AC297" s="60"/>
      <c r="AD297" s="60"/>
      <c r="AE297" s="60"/>
      <c r="AF297" s="60"/>
      <c r="AG297" s="60"/>
      <c r="AH297" s="60"/>
      <c r="AI297" s="60"/>
      <c r="AJ297" s="60" t="s">
        <v>886</v>
      </c>
      <c r="AK297" s="60" t="s">
        <v>95</v>
      </c>
      <c r="AL297" s="60" t="s">
        <v>459</v>
      </c>
      <c r="AM297" s="152" t="s">
        <v>52</v>
      </c>
      <c r="AN297" s="79">
        <v>4</v>
      </c>
      <c r="AO297" s="79">
        <v>2</v>
      </c>
      <c r="AP297" s="127">
        <v>16</v>
      </c>
      <c r="AQ297" s="79">
        <v>3.6</v>
      </c>
      <c r="AR297" s="79">
        <v>2.41</v>
      </c>
      <c r="AS297" s="127">
        <v>16</v>
      </c>
      <c r="AT297" s="203" t="s">
        <v>52</v>
      </c>
      <c r="AU297" s="203" t="s">
        <v>52</v>
      </c>
      <c r="AV297" s="203" t="s">
        <v>52</v>
      </c>
      <c r="AW297" s="203" t="s">
        <v>52</v>
      </c>
    </row>
    <row r="298" spans="3:51" x14ac:dyDescent="0.2">
      <c r="C298">
        <v>298</v>
      </c>
      <c r="E298" t="str">
        <f>IF(coder1_YH!G298="","",TRUE)</f>
        <v/>
      </c>
      <c r="F298" t="str">
        <f>IF(coder1_YH!P298="","",TRUE)</f>
        <v/>
      </c>
      <c r="G298" s="116"/>
      <c r="H298" s="117"/>
      <c r="I298" s="116"/>
      <c r="K298" s="88"/>
      <c r="L298" s="88"/>
      <c r="O298" s="283" t="str">
        <f t="shared" si="46"/>
        <v/>
      </c>
      <c r="Q298" s="60"/>
      <c r="R298" s="358"/>
      <c r="S298" s="90"/>
      <c r="T298" s="90"/>
      <c r="U298" s="90"/>
      <c r="V298" s="90"/>
      <c r="W298" s="90"/>
      <c r="X298" s="90"/>
      <c r="Y298" s="90"/>
      <c r="Z298" s="60"/>
      <c r="AA298" s="92"/>
      <c r="AB298" s="60"/>
      <c r="AC298" s="60"/>
      <c r="AD298" s="60"/>
      <c r="AE298" s="60"/>
      <c r="AF298" s="60"/>
      <c r="AG298" s="60"/>
      <c r="AH298" s="60"/>
      <c r="AI298" s="60"/>
      <c r="AJ298" s="60" t="s">
        <v>887</v>
      </c>
      <c r="AK298" s="60" t="s">
        <v>95</v>
      </c>
      <c r="AL298" s="60" t="s">
        <v>459</v>
      </c>
      <c r="AM298" s="152" t="s">
        <v>52</v>
      </c>
      <c r="AN298" s="79">
        <v>2.44</v>
      </c>
      <c r="AO298" s="79">
        <v>0.96</v>
      </c>
      <c r="AP298" s="127">
        <v>16</v>
      </c>
      <c r="AQ298" s="79">
        <v>1.53</v>
      </c>
      <c r="AR298" s="79">
        <v>1.36</v>
      </c>
      <c r="AS298" s="127">
        <v>16</v>
      </c>
      <c r="AT298" s="203" t="s">
        <v>52</v>
      </c>
      <c r="AU298" s="203" t="s">
        <v>52</v>
      </c>
      <c r="AV298" s="203" t="s">
        <v>52</v>
      </c>
      <c r="AW298" s="203" t="s">
        <v>52</v>
      </c>
    </row>
    <row r="299" spans="3:51" x14ac:dyDescent="0.2">
      <c r="C299">
        <v>299</v>
      </c>
      <c r="E299" t="str">
        <f>IF(coder1_YH!G299="","",TRUE)</f>
        <v/>
      </c>
      <c r="F299" t="str">
        <f>IF(coder1_YH!P299="","",TRUE)</f>
        <v/>
      </c>
      <c r="G299" s="116"/>
      <c r="H299" s="117"/>
      <c r="I299" s="116"/>
      <c r="K299" s="88"/>
      <c r="L299" s="88"/>
      <c r="O299" s="283" t="str">
        <f t="shared" si="46"/>
        <v/>
      </c>
      <c r="Q299" s="60"/>
      <c r="R299" s="358"/>
      <c r="S299" s="90"/>
      <c r="T299" s="90"/>
      <c r="U299" s="90"/>
      <c r="V299" s="90"/>
      <c r="W299" s="90"/>
      <c r="X299" s="90"/>
      <c r="Y299" s="90"/>
      <c r="Z299" s="60"/>
      <c r="AA299" s="92"/>
      <c r="AB299" s="60"/>
      <c r="AC299" s="60"/>
      <c r="AD299" s="60"/>
      <c r="AE299" s="60"/>
      <c r="AF299" s="60"/>
      <c r="AG299" s="60"/>
      <c r="AH299" s="60"/>
      <c r="AI299" s="60"/>
      <c r="AJ299" s="60" t="s">
        <v>888</v>
      </c>
      <c r="AK299" s="60" t="s">
        <v>95</v>
      </c>
      <c r="AL299" s="60" t="s">
        <v>459</v>
      </c>
      <c r="AM299" s="152" t="s">
        <v>52</v>
      </c>
      <c r="AN299" s="79">
        <v>3</v>
      </c>
      <c r="AO299" s="79">
        <v>1.03</v>
      </c>
      <c r="AP299" s="127">
        <v>16</v>
      </c>
      <c r="AQ299" s="79">
        <v>3.35</v>
      </c>
      <c r="AR299" s="79">
        <v>1.35</v>
      </c>
      <c r="AS299" s="127">
        <v>16</v>
      </c>
      <c r="AT299" s="203" t="s">
        <v>52</v>
      </c>
      <c r="AU299" s="203" t="s">
        <v>52</v>
      </c>
      <c r="AV299" s="203" t="s">
        <v>52</v>
      </c>
      <c r="AW299" s="203" t="s">
        <v>52</v>
      </c>
    </row>
    <row r="300" spans="3:51" x14ac:dyDescent="0.2">
      <c r="C300">
        <v>300</v>
      </c>
      <c r="E300" t="str">
        <f>IF(coder1_YH!G300="","",TRUE)</f>
        <v/>
      </c>
      <c r="F300" t="str">
        <f>IF(coder1_YH!P300="","",TRUE)</f>
        <v/>
      </c>
      <c r="G300" s="116"/>
      <c r="H300" s="117"/>
      <c r="I300" s="116"/>
      <c r="K300" s="88"/>
      <c r="L300" s="88"/>
      <c r="O300" s="283" t="str">
        <f t="shared" si="46"/>
        <v/>
      </c>
      <c r="Q300" s="60"/>
      <c r="R300" s="358"/>
      <c r="S300" s="90"/>
      <c r="T300" s="90"/>
      <c r="U300" s="90"/>
      <c r="V300" s="90"/>
      <c r="W300" s="90"/>
      <c r="X300" s="90"/>
      <c r="Y300" s="90"/>
      <c r="Z300" s="60"/>
      <c r="AA300" s="92"/>
      <c r="AB300" s="60"/>
      <c r="AC300" s="60"/>
      <c r="AD300" s="60"/>
      <c r="AE300" s="60"/>
      <c r="AF300" s="60"/>
      <c r="AG300" s="60"/>
      <c r="AH300" s="60"/>
      <c r="AI300" s="60"/>
      <c r="AJ300" s="60" t="s">
        <v>889</v>
      </c>
      <c r="AK300" s="60" t="s">
        <v>95</v>
      </c>
      <c r="AL300" s="60" t="s">
        <v>459</v>
      </c>
      <c r="AM300" s="152" t="s">
        <v>52</v>
      </c>
      <c r="AN300" s="79">
        <v>4.0599999999999996</v>
      </c>
      <c r="AO300" s="79">
        <v>2.08</v>
      </c>
      <c r="AP300" s="127">
        <v>16</v>
      </c>
      <c r="AQ300" s="79">
        <v>3.35</v>
      </c>
      <c r="AR300" s="79">
        <v>1.61</v>
      </c>
      <c r="AS300" s="127">
        <v>16</v>
      </c>
      <c r="AT300" s="203" t="s">
        <v>52</v>
      </c>
      <c r="AU300" s="203" t="s">
        <v>52</v>
      </c>
      <c r="AV300" s="203" t="s">
        <v>52</v>
      </c>
      <c r="AW300" s="203" t="s">
        <v>52</v>
      </c>
    </row>
    <row r="301" spans="3:51" x14ac:dyDescent="0.2">
      <c r="C301">
        <v>301</v>
      </c>
      <c r="E301" t="str">
        <f>IF(coder1_YH!G301="","",TRUE)</f>
        <v/>
      </c>
      <c r="F301" t="str">
        <f>IF(coder1_YH!P301="","",TRUE)</f>
        <v/>
      </c>
      <c r="G301" s="122"/>
      <c r="H301" s="123"/>
      <c r="I301" s="122"/>
      <c r="J301" s="89"/>
      <c r="K301" s="89"/>
      <c r="L301" s="89"/>
      <c r="M301" s="89"/>
      <c r="N301" s="284"/>
      <c r="O301" s="284" t="str">
        <f t="shared" si="46"/>
        <v/>
      </c>
      <c r="P301" s="128"/>
      <c r="Q301" s="63"/>
      <c r="R301" s="359"/>
      <c r="S301" s="93"/>
      <c r="T301" s="93"/>
      <c r="U301" s="93"/>
      <c r="V301" s="93"/>
      <c r="W301" s="93"/>
      <c r="X301" s="93"/>
      <c r="Y301" s="93"/>
      <c r="Z301" s="63"/>
      <c r="AA301" s="95"/>
      <c r="AB301" s="63"/>
      <c r="AC301" s="63"/>
      <c r="AD301" s="63"/>
      <c r="AE301" s="63"/>
      <c r="AF301" s="63"/>
      <c r="AG301" s="63"/>
      <c r="AH301" s="63"/>
      <c r="AI301" s="63"/>
      <c r="AJ301" s="63" t="s">
        <v>890</v>
      </c>
      <c r="AK301" s="63" t="s">
        <v>95</v>
      </c>
      <c r="AL301" s="63" t="s">
        <v>459</v>
      </c>
      <c r="AM301" s="153" t="s">
        <v>52</v>
      </c>
      <c r="AN301" s="80">
        <v>2.0699999999999998</v>
      </c>
      <c r="AO301" s="80">
        <v>1.1200000000000001</v>
      </c>
      <c r="AP301" s="128">
        <v>16</v>
      </c>
      <c r="AQ301" s="80">
        <v>2.59</v>
      </c>
      <c r="AR301" s="80">
        <v>1.36</v>
      </c>
      <c r="AS301" s="128">
        <v>16</v>
      </c>
      <c r="AT301" s="204" t="s">
        <v>52</v>
      </c>
      <c r="AU301" s="204" t="s">
        <v>52</v>
      </c>
      <c r="AV301" s="204" t="s">
        <v>52</v>
      </c>
      <c r="AW301" s="204" t="s">
        <v>52</v>
      </c>
    </row>
    <row r="302" spans="3:51" x14ac:dyDescent="0.2">
      <c r="C302">
        <v>302</v>
      </c>
      <c r="F302" t="b">
        <f>IF(coder1_YH!P302="","",TRUE)</f>
        <v>1</v>
      </c>
      <c r="G302" s="143" t="s">
        <v>893</v>
      </c>
      <c r="H302" s="315">
        <v>150</v>
      </c>
      <c r="I302" s="143" t="s">
        <v>47</v>
      </c>
      <c r="J302" s="144" t="s">
        <v>452</v>
      </c>
      <c r="K302" s="144" t="s">
        <v>66</v>
      </c>
      <c r="L302" s="144" t="s">
        <v>49</v>
      </c>
      <c r="M302" s="144" t="s">
        <v>752</v>
      </c>
      <c r="N302" s="283" t="s">
        <v>914</v>
      </c>
      <c r="O302" s="283" t="str">
        <f t="shared" si="46"/>
        <v>.</v>
      </c>
      <c r="P302" s="127" t="s">
        <v>924</v>
      </c>
      <c r="Q302" s="60" t="s">
        <v>756</v>
      </c>
      <c r="R302" s="358">
        <v>4</v>
      </c>
      <c r="S302" s="60">
        <v>10.02</v>
      </c>
      <c r="T302" s="90">
        <v>1</v>
      </c>
      <c r="U302" s="90" t="s">
        <v>52</v>
      </c>
      <c r="V302" s="90" t="s">
        <v>52</v>
      </c>
      <c r="W302" s="90">
        <v>0</v>
      </c>
      <c r="X302" s="90">
        <f>1-0.5185</f>
        <v>0.48150000000000004</v>
      </c>
      <c r="Y302" s="90">
        <f>1-0.0741</f>
        <v>0.92589999999999995</v>
      </c>
      <c r="Z302" s="60" t="s">
        <v>78</v>
      </c>
      <c r="AA302" s="92" t="s">
        <v>52</v>
      </c>
      <c r="AB302" s="60" t="s">
        <v>235</v>
      </c>
      <c r="AC302" s="60" t="s">
        <v>78</v>
      </c>
      <c r="AD302" s="60" t="s">
        <v>78</v>
      </c>
      <c r="AE302" s="60" t="s">
        <v>78</v>
      </c>
      <c r="AF302" s="60" t="s">
        <v>78</v>
      </c>
      <c r="AG302" s="60" t="s">
        <v>78</v>
      </c>
      <c r="AH302" s="60" t="s">
        <v>78</v>
      </c>
      <c r="AI302" s="60" t="s">
        <v>78</v>
      </c>
      <c r="AJ302" s="60" t="s">
        <v>894</v>
      </c>
      <c r="AK302" s="60" t="s">
        <v>95</v>
      </c>
      <c r="AL302" s="60" t="s">
        <v>459</v>
      </c>
      <c r="AM302" s="152" t="s">
        <v>52</v>
      </c>
      <c r="AN302" s="206" t="s">
        <v>52</v>
      </c>
      <c r="AO302" s="206" t="s">
        <v>52</v>
      </c>
      <c r="AP302" s="206" t="s">
        <v>52</v>
      </c>
      <c r="AQ302" s="120">
        <v>0.49</v>
      </c>
      <c r="AR302" s="120">
        <v>0.23</v>
      </c>
      <c r="AS302" s="120">
        <v>27</v>
      </c>
      <c r="AT302" s="203" t="s">
        <v>52</v>
      </c>
      <c r="AU302" s="203" t="s">
        <v>52</v>
      </c>
      <c r="AV302" s="203" t="s">
        <v>52</v>
      </c>
      <c r="AW302" s="203" t="s">
        <v>52</v>
      </c>
    </row>
    <row r="303" spans="3:51" x14ac:dyDescent="0.2">
      <c r="C303">
        <v>303</v>
      </c>
      <c r="F303" t="b">
        <f>IF(coder1_YH!P303="","",TRUE)</f>
        <v>1</v>
      </c>
      <c r="G303" s="116" t="s">
        <v>893</v>
      </c>
      <c r="H303" s="117">
        <v>150</v>
      </c>
      <c r="I303" s="116" t="s">
        <v>47</v>
      </c>
      <c r="J303" s="88" t="s">
        <v>452</v>
      </c>
      <c r="K303" s="88" t="s">
        <v>66</v>
      </c>
      <c r="L303" s="88" t="s">
        <v>49</v>
      </c>
      <c r="M303" s="88" t="s">
        <v>752</v>
      </c>
      <c r="N303" s="283" t="s">
        <v>914</v>
      </c>
      <c r="O303" s="283" t="str">
        <f t="shared" si="46"/>
        <v>cm</v>
      </c>
      <c r="P303" s="127">
        <v>1</v>
      </c>
      <c r="Q303" s="60" t="s">
        <v>895</v>
      </c>
      <c r="R303" s="358">
        <v>4</v>
      </c>
      <c r="S303" s="60">
        <v>10.220000000000001</v>
      </c>
      <c r="T303" s="90">
        <v>1</v>
      </c>
      <c r="U303" s="90" t="s">
        <v>52</v>
      </c>
      <c r="V303" s="90" t="s">
        <v>52</v>
      </c>
      <c r="W303" s="90">
        <v>0</v>
      </c>
      <c r="X303" s="90">
        <f>1-0.375</f>
        <v>0.625</v>
      </c>
      <c r="Y303" s="90">
        <v>1</v>
      </c>
      <c r="Z303" s="60" t="s">
        <v>53</v>
      </c>
      <c r="AA303" s="92" t="s">
        <v>896</v>
      </c>
      <c r="AB303" s="60" t="s">
        <v>456</v>
      </c>
      <c r="AC303" s="60" t="s">
        <v>153</v>
      </c>
      <c r="AD303" s="60" t="s">
        <v>57</v>
      </c>
      <c r="AE303" s="60" t="s">
        <v>72</v>
      </c>
      <c r="AF303" s="60">
        <v>533.96</v>
      </c>
      <c r="AG303" s="60">
        <v>15</v>
      </c>
      <c r="AH303" s="60">
        <f>AF303/AG303</f>
        <v>35.597333333333339</v>
      </c>
      <c r="AI303" s="60" t="s">
        <v>59</v>
      </c>
      <c r="AJ303" s="60" t="s">
        <v>894</v>
      </c>
      <c r="AK303" s="60" t="s">
        <v>95</v>
      </c>
      <c r="AL303" s="60" t="s">
        <v>459</v>
      </c>
      <c r="AM303" s="152" t="s">
        <v>52</v>
      </c>
      <c r="AN303" s="206" t="s">
        <v>52</v>
      </c>
      <c r="AO303" s="206" t="s">
        <v>52</v>
      </c>
      <c r="AP303" s="206" t="s">
        <v>52</v>
      </c>
      <c r="AQ303" s="120">
        <v>0.47</v>
      </c>
      <c r="AR303" s="120">
        <v>0.23</v>
      </c>
      <c r="AS303" s="120">
        <v>24</v>
      </c>
      <c r="AT303" s="203" t="s">
        <v>52</v>
      </c>
      <c r="AU303" s="203" t="s">
        <v>52</v>
      </c>
      <c r="AV303" s="203" t="s">
        <v>52</v>
      </c>
      <c r="AW303" s="203" t="s">
        <v>52</v>
      </c>
    </row>
    <row r="304" spans="3:51" x14ac:dyDescent="0.2">
      <c r="C304">
        <v>304</v>
      </c>
      <c r="D304" t="b">
        <f t="shared" ref="D304:D305" si="47">E304</f>
        <v>1</v>
      </c>
      <c r="E304" t="b">
        <f>IF(coder1_YH!G304="","",TRUE)</f>
        <v>1</v>
      </c>
      <c r="F304" t="b">
        <f>IF(coder1_YH!P304="","",TRUE)</f>
        <v>1</v>
      </c>
      <c r="G304" s="122" t="s">
        <v>893</v>
      </c>
      <c r="H304" s="123">
        <v>150</v>
      </c>
      <c r="I304" s="122" t="s">
        <v>47</v>
      </c>
      <c r="J304" s="89" t="s">
        <v>452</v>
      </c>
      <c r="K304" s="89" t="s">
        <v>66</v>
      </c>
      <c r="L304" s="89" t="s">
        <v>49</v>
      </c>
      <c r="M304" s="89" t="s">
        <v>752</v>
      </c>
      <c r="N304" s="284" t="s">
        <v>918</v>
      </c>
      <c r="O304" s="284" t="str">
        <f t="shared" si="46"/>
        <v>cm</v>
      </c>
      <c r="P304" s="128">
        <v>2</v>
      </c>
      <c r="Q304" s="63" t="s">
        <v>897</v>
      </c>
      <c r="R304" s="359">
        <v>4</v>
      </c>
      <c r="S304" s="63">
        <v>10.32</v>
      </c>
      <c r="T304" s="93">
        <v>1</v>
      </c>
      <c r="U304" s="93" t="s">
        <v>52</v>
      </c>
      <c r="V304" s="93" t="s">
        <v>52</v>
      </c>
      <c r="W304" s="93">
        <v>0</v>
      </c>
      <c r="X304" s="93">
        <f>1-0.2083</f>
        <v>0.79169999999999996</v>
      </c>
      <c r="Y304" s="93">
        <f>1-0.0833</f>
        <v>0.91669999999999996</v>
      </c>
      <c r="Z304" s="63" t="s">
        <v>53</v>
      </c>
      <c r="AA304" s="95" t="s">
        <v>896</v>
      </c>
      <c r="AB304" s="63" t="s">
        <v>456</v>
      </c>
      <c r="AC304" s="63" t="s">
        <v>153</v>
      </c>
      <c r="AD304" s="63" t="s">
        <v>57</v>
      </c>
      <c r="AE304" s="63" t="s">
        <v>72</v>
      </c>
      <c r="AF304" s="63">
        <v>550.13</v>
      </c>
      <c r="AG304" s="63">
        <v>14.73</v>
      </c>
      <c r="AH304" s="63">
        <f>AF304/AG304</f>
        <v>37.347589952477932</v>
      </c>
      <c r="AI304" s="63" t="s">
        <v>59</v>
      </c>
      <c r="AJ304" s="63" t="s">
        <v>894</v>
      </c>
      <c r="AK304" s="63" t="s">
        <v>95</v>
      </c>
      <c r="AL304" s="63" t="s">
        <v>459</v>
      </c>
      <c r="AM304" s="153" t="s">
        <v>52</v>
      </c>
      <c r="AN304" s="207" t="s">
        <v>52</v>
      </c>
      <c r="AO304" s="207" t="s">
        <v>52</v>
      </c>
      <c r="AP304" s="207" t="s">
        <v>52</v>
      </c>
      <c r="AQ304" s="124">
        <v>0.5</v>
      </c>
      <c r="AR304" s="124">
        <v>0.27</v>
      </c>
      <c r="AS304" s="124">
        <v>24</v>
      </c>
      <c r="AT304" s="204" t="s">
        <v>52</v>
      </c>
      <c r="AU304" s="204" t="s">
        <v>52</v>
      </c>
      <c r="AV304" s="204" t="s">
        <v>52</v>
      </c>
      <c r="AW304" s="204" t="s">
        <v>52</v>
      </c>
      <c r="AX304" s="128"/>
      <c r="AY304" s="128"/>
    </row>
    <row r="305" spans="1:55" x14ac:dyDescent="0.2">
      <c r="C305">
        <v>305</v>
      </c>
      <c r="D305" t="b">
        <f t="shared" si="47"/>
        <v>1</v>
      </c>
      <c r="E305" t="b">
        <f>IF(coder1_YH!G305="","",TRUE)</f>
        <v>1</v>
      </c>
      <c r="F305" t="b">
        <f>IF(coder1_YH!P305="","",TRUE)</f>
        <v>1</v>
      </c>
      <c r="G305" s="116" t="s">
        <v>900</v>
      </c>
      <c r="H305" s="117">
        <v>151</v>
      </c>
      <c r="I305" s="88" t="s">
        <v>47</v>
      </c>
      <c r="J305" s="88" t="s">
        <v>452</v>
      </c>
      <c r="K305" s="130" t="s">
        <v>66</v>
      </c>
      <c r="L305" s="130" t="s">
        <v>228</v>
      </c>
      <c r="M305" s="88" t="s">
        <v>752</v>
      </c>
      <c r="N305" s="283" t="s">
        <v>919</v>
      </c>
      <c r="O305" s="283" t="str">
        <f t="shared" si="46"/>
        <v xml:space="preserve">m </v>
      </c>
      <c r="P305" s="127">
        <v>1</v>
      </c>
      <c r="Q305" s="127" t="s">
        <v>901</v>
      </c>
      <c r="R305" s="351" t="s">
        <v>902</v>
      </c>
      <c r="S305" s="245">
        <v>11.5</v>
      </c>
      <c r="T305" s="245">
        <v>1</v>
      </c>
      <c r="U305" s="245">
        <v>0.05</v>
      </c>
      <c r="V305" s="245" t="s">
        <v>52</v>
      </c>
      <c r="W305" s="245">
        <v>0</v>
      </c>
      <c r="X305" s="245">
        <v>0.75</v>
      </c>
      <c r="Y305" s="245" t="s">
        <v>52</v>
      </c>
      <c r="Z305" s="127" t="s">
        <v>92</v>
      </c>
      <c r="AA305" s="246" t="s">
        <v>903</v>
      </c>
      <c r="AB305" s="127" t="s">
        <v>456</v>
      </c>
      <c r="AC305" s="127" t="s">
        <v>153</v>
      </c>
      <c r="AD305" s="127" t="s">
        <v>57</v>
      </c>
      <c r="AE305" s="127" t="s">
        <v>72</v>
      </c>
      <c r="AF305" s="127">
        <v>1200</v>
      </c>
      <c r="AG305" s="127">
        <v>20</v>
      </c>
      <c r="AH305" s="127">
        <v>60</v>
      </c>
      <c r="AI305" s="127" t="s">
        <v>59</v>
      </c>
      <c r="AJ305" s="127" t="s">
        <v>904</v>
      </c>
      <c r="AK305" s="127" t="s">
        <v>95</v>
      </c>
      <c r="AL305" s="60" t="s">
        <v>459</v>
      </c>
      <c r="AM305" s="152" t="s">
        <v>905</v>
      </c>
      <c r="AN305" s="127">
        <v>1.5</v>
      </c>
      <c r="AO305" s="127">
        <v>1.1000000000000001</v>
      </c>
      <c r="AP305" s="127">
        <v>9</v>
      </c>
      <c r="AQ305" s="127">
        <v>2.9</v>
      </c>
      <c r="AR305" s="127">
        <v>1.4</v>
      </c>
      <c r="AS305" s="127">
        <v>9</v>
      </c>
      <c r="AT305" s="127" t="s">
        <v>52</v>
      </c>
      <c r="AU305" s="127" t="s">
        <v>52</v>
      </c>
      <c r="AV305" s="127" t="s">
        <v>52</v>
      </c>
      <c r="AW305" s="127" t="s">
        <v>52</v>
      </c>
    </row>
    <row r="306" spans="1:55" x14ac:dyDescent="0.2">
      <c r="C306">
        <v>306</v>
      </c>
      <c r="E306" t="str">
        <f>IF(coder1_YH!G306="","",TRUE)</f>
        <v/>
      </c>
      <c r="F306" t="str">
        <f>IF(coder1_YH!P306="","",TRUE)</f>
        <v/>
      </c>
      <c r="G306" s="116"/>
      <c r="H306" s="117"/>
      <c r="M306" s="130"/>
      <c r="O306" s="283" t="str">
        <f t="shared" si="46"/>
        <v/>
      </c>
      <c r="AJ306" s="127" t="s">
        <v>906</v>
      </c>
      <c r="AK306" s="127" t="s">
        <v>95</v>
      </c>
      <c r="AL306" s="60" t="s">
        <v>459</v>
      </c>
      <c r="AM306" s="152" t="s">
        <v>907</v>
      </c>
      <c r="AN306" s="127">
        <v>0.5</v>
      </c>
      <c r="AO306" s="127">
        <v>0.4</v>
      </c>
      <c r="AP306" s="127">
        <v>9</v>
      </c>
      <c r="AQ306" s="127">
        <v>0.9</v>
      </c>
      <c r="AR306" s="127">
        <v>0.5</v>
      </c>
      <c r="AS306" s="127">
        <v>9</v>
      </c>
      <c r="AT306" s="127" t="s">
        <v>52</v>
      </c>
      <c r="AU306" s="127" t="s">
        <v>52</v>
      </c>
      <c r="AV306" s="127" t="s">
        <v>52</v>
      </c>
      <c r="AW306" s="127" t="s">
        <v>52</v>
      </c>
    </row>
    <row r="307" spans="1:55" x14ac:dyDescent="0.2">
      <c r="C307">
        <v>307</v>
      </c>
      <c r="E307" t="str">
        <f>IF(coder1_YH!G307="","",TRUE)</f>
        <v/>
      </c>
      <c r="F307" t="str">
        <f>IF(coder1_YH!P307="","",TRUE)</f>
        <v/>
      </c>
      <c r="G307" s="116"/>
      <c r="H307" s="117"/>
      <c r="M307" s="130"/>
      <c r="O307" s="283" t="str">
        <f t="shared" si="46"/>
        <v/>
      </c>
      <c r="AJ307" s="127" t="s">
        <v>908</v>
      </c>
      <c r="AK307" s="127" t="s">
        <v>95</v>
      </c>
      <c r="AL307" s="60" t="s">
        <v>459</v>
      </c>
      <c r="AM307" s="152" t="s">
        <v>52</v>
      </c>
      <c r="AN307" s="127">
        <v>5.2</v>
      </c>
      <c r="AO307" s="127">
        <v>1.8</v>
      </c>
      <c r="AP307" s="127">
        <v>9</v>
      </c>
      <c r="AQ307" s="127">
        <v>6.2</v>
      </c>
      <c r="AR307" s="127">
        <v>2.2000000000000002</v>
      </c>
      <c r="AS307" s="127">
        <v>9</v>
      </c>
      <c r="AT307" s="127" t="s">
        <v>52</v>
      </c>
      <c r="AU307" s="127" t="s">
        <v>52</v>
      </c>
      <c r="AV307" s="127" t="s">
        <v>52</v>
      </c>
      <c r="AW307" s="127" t="s">
        <v>52</v>
      </c>
    </row>
    <row r="308" spans="1:55" x14ac:dyDescent="0.2">
      <c r="C308">
        <v>308</v>
      </c>
      <c r="E308" t="str">
        <f>IF(coder1_YH!G308="","",TRUE)</f>
        <v/>
      </c>
      <c r="F308" t="str">
        <f>IF(coder1_YH!P308="","",TRUE)</f>
        <v/>
      </c>
      <c r="G308" s="116"/>
      <c r="H308" s="117"/>
      <c r="M308" s="130"/>
      <c r="O308" s="283" t="str">
        <f t="shared" si="46"/>
        <v/>
      </c>
      <c r="AJ308" s="127" t="s">
        <v>909</v>
      </c>
      <c r="AK308" s="127" t="s">
        <v>61</v>
      </c>
      <c r="AL308" s="60" t="s">
        <v>536</v>
      </c>
      <c r="AM308" s="152" t="s">
        <v>52</v>
      </c>
      <c r="AN308" s="127">
        <v>79.2</v>
      </c>
      <c r="AO308" s="127">
        <v>7.5</v>
      </c>
      <c r="AP308" s="127">
        <v>9</v>
      </c>
      <c r="AQ308" s="127">
        <v>78.7</v>
      </c>
      <c r="AR308" s="127">
        <v>8.6999999999999993</v>
      </c>
      <c r="AS308" s="127">
        <v>9</v>
      </c>
      <c r="AT308" s="127" t="s">
        <v>52</v>
      </c>
      <c r="AU308" s="127" t="s">
        <v>52</v>
      </c>
      <c r="AV308" s="127" t="s">
        <v>52</v>
      </c>
      <c r="AW308" s="127" t="s">
        <v>52</v>
      </c>
    </row>
    <row r="309" spans="1:55" x14ac:dyDescent="0.2">
      <c r="C309">
        <v>309</v>
      </c>
      <c r="E309" t="str">
        <f>IF(coder1_YH!G309="","",TRUE)</f>
        <v/>
      </c>
      <c r="F309" t="b">
        <f>IF(coder1_YH!P309="","",TRUE)</f>
        <v>1</v>
      </c>
      <c r="G309" s="116"/>
      <c r="H309" s="117"/>
      <c r="N309" s="283" t="s">
        <v>915</v>
      </c>
      <c r="O309" s="283" t="str">
        <f t="shared" si="46"/>
        <v xml:space="preserve">m </v>
      </c>
      <c r="P309" s="127" t="s">
        <v>924</v>
      </c>
      <c r="Q309" s="127" t="s">
        <v>910</v>
      </c>
      <c r="R309" s="351" t="s">
        <v>902</v>
      </c>
      <c r="S309" s="245">
        <v>11.75</v>
      </c>
      <c r="T309" s="245">
        <v>1</v>
      </c>
      <c r="U309" s="245">
        <v>0.05</v>
      </c>
      <c r="V309" s="245" t="s">
        <v>52</v>
      </c>
      <c r="W309" s="245">
        <v>0</v>
      </c>
      <c r="X309" s="245">
        <v>0.75</v>
      </c>
      <c r="Y309" s="245" t="s">
        <v>52</v>
      </c>
      <c r="Z309" s="127" t="s">
        <v>92</v>
      </c>
      <c r="AA309" s="246" t="s">
        <v>911</v>
      </c>
      <c r="AB309" s="127" t="s">
        <v>456</v>
      </c>
      <c r="AC309" s="127" t="s">
        <v>153</v>
      </c>
      <c r="AD309" s="127" t="s">
        <v>57</v>
      </c>
      <c r="AE309" s="127" t="s">
        <v>72</v>
      </c>
      <c r="AF309" s="127">
        <v>1200</v>
      </c>
      <c r="AG309" s="127">
        <v>20</v>
      </c>
      <c r="AH309" s="127">
        <v>60</v>
      </c>
      <c r="AI309" s="127" t="s">
        <v>59</v>
      </c>
      <c r="AJ309" s="127" t="s">
        <v>904</v>
      </c>
      <c r="AK309" s="127" t="s">
        <v>95</v>
      </c>
      <c r="AL309" s="60" t="s">
        <v>459</v>
      </c>
      <c r="AM309" s="152" t="s">
        <v>905</v>
      </c>
      <c r="AN309" s="127">
        <v>1.6</v>
      </c>
      <c r="AO309" s="127">
        <v>1.2</v>
      </c>
      <c r="AP309" s="127">
        <v>9</v>
      </c>
      <c r="AQ309" s="127">
        <v>4.2</v>
      </c>
      <c r="AR309" s="127">
        <v>1.3</v>
      </c>
      <c r="AS309" s="127">
        <v>9</v>
      </c>
      <c r="AT309" s="127" t="s">
        <v>52</v>
      </c>
      <c r="AU309" s="127" t="s">
        <v>52</v>
      </c>
      <c r="AV309" s="127" t="s">
        <v>52</v>
      </c>
      <c r="AW309" s="127" t="s">
        <v>52</v>
      </c>
    </row>
    <row r="310" spans="1:55" x14ac:dyDescent="0.2">
      <c r="C310">
        <v>310</v>
      </c>
      <c r="E310" t="str">
        <f>IF(coder1_YH!G310="","",TRUE)</f>
        <v/>
      </c>
      <c r="F310" t="str">
        <f>IF(coder1_YH!P310="","",TRUE)</f>
        <v/>
      </c>
      <c r="G310" s="116"/>
      <c r="H310" s="117"/>
      <c r="M310" s="130"/>
      <c r="O310" s="283" t="str">
        <f t="shared" si="46"/>
        <v/>
      </c>
      <c r="AJ310" s="127" t="s">
        <v>906</v>
      </c>
      <c r="AK310" s="127" t="s">
        <v>95</v>
      </c>
      <c r="AL310" s="60" t="s">
        <v>459</v>
      </c>
      <c r="AM310" s="152" t="s">
        <v>907</v>
      </c>
      <c r="AN310" s="127">
        <v>0.6</v>
      </c>
      <c r="AO310" s="127">
        <v>0.6</v>
      </c>
      <c r="AP310" s="127">
        <v>9</v>
      </c>
      <c r="AQ310" s="127">
        <v>1.4</v>
      </c>
      <c r="AR310" s="127">
        <v>0.4</v>
      </c>
      <c r="AS310" s="127">
        <v>9</v>
      </c>
      <c r="AT310" s="127" t="s">
        <v>52</v>
      </c>
      <c r="AU310" s="127" t="s">
        <v>52</v>
      </c>
      <c r="AV310" s="127" t="s">
        <v>52</v>
      </c>
      <c r="AW310" s="127" t="s">
        <v>52</v>
      </c>
    </row>
    <row r="311" spans="1:55" x14ac:dyDescent="0.2">
      <c r="C311">
        <v>311</v>
      </c>
      <c r="E311" t="str">
        <f>IF(coder1_YH!G311="","",TRUE)</f>
        <v/>
      </c>
      <c r="F311" t="str">
        <f>IF(coder1_YH!P311="","",TRUE)</f>
        <v/>
      </c>
      <c r="G311" s="116"/>
      <c r="H311" s="117"/>
      <c r="M311" s="130"/>
      <c r="O311" s="283" t="str">
        <f t="shared" si="46"/>
        <v/>
      </c>
      <c r="AJ311" s="127" t="s">
        <v>908</v>
      </c>
      <c r="AK311" s="127" t="s">
        <v>95</v>
      </c>
      <c r="AL311" s="60" t="s">
        <v>459</v>
      </c>
      <c r="AM311" s="152" t="s">
        <v>52</v>
      </c>
      <c r="AN311" s="127">
        <v>5.8</v>
      </c>
      <c r="AO311" s="127">
        <v>1.9</v>
      </c>
      <c r="AP311" s="127">
        <v>9</v>
      </c>
      <c r="AQ311" s="127">
        <v>7.4</v>
      </c>
      <c r="AR311" s="127">
        <v>2.7</v>
      </c>
      <c r="AS311" s="127">
        <v>9</v>
      </c>
      <c r="AT311" s="127" t="s">
        <v>52</v>
      </c>
      <c r="AU311" s="127" t="s">
        <v>52</v>
      </c>
      <c r="AV311" s="127" t="s">
        <v>52</v>
      </c>
      <c r="AW311" s="127" t="s">
        <v>52</v>
      </c>
    </row>
    <row r="312" spans="1:55" s="128" customFormat="1" x14ac:dyDescent="0.2">
      <c r="A312"/>
      <c r="B312"/>
      <c r="C312">
        <v>312</v>
      </c>
      <c r="D312"/>
      <c r="E312" t="str">
        <f>IF(coder1_YH!G312="","",TRUE)</f>
        <v/>
      </c>
      <c r="F312" t="str">
        <f>IF(coder1_YH!P312="","",TRUE)</f>
        <v/>
      </c>
      <c r="G312" s="122"/>
      <c r="H312" s="123"/>
      <c r="I312" s="89"/>
      <c r="J312" s="89"/>
      <c r="K312" s="132"/>
      <c r="L312" s="132"/>
      <c r="M312" s="132"/>
      <c r="N312" s="284"/>
      <c r="O312" s="284" t="str">
        <f t="shared" si="46"/>
        <v/>
      </c>
      <c r="R312" s="352"/>
      <c r="S312" s="247"/>
      <c r="T312" s="247"/>
      <c r="U312" s="247"/>
      <c r="V312" s="247"/>
      <c r="W312" s="247"/>
      <c r="X312" s="247"/>
      <c r="Y312" s="247"/>
      <c r="AA312" s="248"/>
      <c r="AJ312" s="128" t="s">
        <v>909</v>
      </c>
      <c r="AK312" s="128" t="s">
        <v>61</v>
      </c>
      <c r="AL312" s="63" t="s">
        <v>536</v>
      </c>
      <c r="AM312" s="153" t="s">
        <v>52</v>
      </c>
      <c r="AN312" s="128">
        <v>70.3</v>
      </c>
      <c r="AO312" s="128">
        <v>17.399999999999999</v>
      </c>
      <c r="AP312" s="128">
        <v>9</v>
      </c>
      <c r="AQ312" s="128">
        <v>75.599999999999994</v>
      </c>
      <c r="AR312" s="128">
        <v>14.5</v>
      </c>
      <c r="AS312" s="128">
        <v>9</v>
      </c>
      <c r="AT312" s="128" t="s">
        <v>52</v>
      </c>
      <c r="AU312" s="128" t="s">
        <v>52</v>
      </c>
      <c r="AV312" s="128" t="s">
        <v>52</v>
      </c>
      <c r="AW312" s="128" t="s">
        <v>52</v>
      </c>
      <c r="BB312" s="63"/>
      <c r="BC312" s="63"/>
    </row>
    <row r="313" spans="1:55" x14ac:dyDescent="0.2">
      <c r="G313" s="88" t="s">
        <v>1021</v>
      </c>
      <c r="H313" s="130">
        <v>152</v>
      </c>
      <c r="I313" s="88" t="s">
        <v>47</v>
      </c>
      <c r="J313" s="88" t="s">
        <v>452</v>
      </c>
      <c r="K313" s="130" t="s">
        <v>66</v>
      </c>
      <c r="L313" s="130" t="s">
        <v>49</v>
      </c>
      <c r="M313" s="88" t="s">
        <v>841</v>
      </c>
      <c r="N313" s="283" t="s">
        <v>915</v>
      </c>
      <c r="O313" s="283" t="s">
        <v>1018</v>
      </c>
      <c r="P313" s="127">
        <v>1</v>
      </c>
      <c r="Q313" s="127" t="s">
        <v>1022</v>
      </c>
      <c r="R313" s="351" t="s">
        <v>1030</v>
      </c>
      <c r="S313" s="245">
        <v>7.5</v>
      </c>
      <c r="T313" s="245">
        <v>0.4</v>
      </c>
      <c r="U313" s="245">
        <v>0.05</v>
      </c>
      <c r="V313" s="245" t="s">
        <v>52</v>
      </c>
      <c r="W313" s="245">
        <v>0.21</v>
      </c>
      <c r="X313" s="245">
        <v>0.47</v>
      </c>
      <c r="Y313" s="245" t="s">
        <v>52</v>
      </c>
      <c r="Z313" s="127" t="s">
        <v>92</v>
      </c>
      <c r="AA313" s="246" t="s">
        <v>1023</v>
      </c>
      <c r="AB313" s="127" t="s">
        <v>71</v>
      </c>
      <c r="AC313" s="127" t="s">
        <v>153</v>
      </c>
      <c r="AD313" s="127" t="s">
        <v>162</v>
      </c>
      <c r="AE313" s="127" t="s">
        <v>58</v>
      </c>
      <c r="AF313" s="127">
        <v>2025</v>
      </c>
      <c r="AG313" s="127">
        <v>90</v>
      </c>
      <c r="AH313" s="127">
        <v>22.5</v>
      </c>
      <c r="AI313" s="127" t="s">
        <v>59</v>
      </c>
      <c r="AJ313" s="127" t="s">
        <v>1024</v>
      </c>
      <c r="AK313" s="127" t="s">
        <v>61</v>
      </c>
      <c r="AL313" s="60" t="s">
        <v>536</v>
      </c>
      <c r="AM313" s="152" t="s">
        <v>1025</v>
      </c>
      <c r="AN313" s="127">
        <v>19.739999999999998</v>
      </c>
      <c r="AO313" s="127">
        <v>10.050000000000001</v>
      </c>
      <c r="AP313" s="127">
        <v>38</v>
      </c>
      <c r="AQ313" s="127">
        <v>28.37</v>
      </c>
      <c r="AR313" s="127">
        <v>6.9</v>
      </c>
      <c r="AS313" s="127">
        <v>38</v>
      </c>
      <c r="AT313" s="127" t="s">
        <v>52</v>
      </c>
      <c r="AU313" s="127" t="s">
        <v>52</v>
      </c>
      <c r="AV313" s="127" t="s">
        <v>52</v>
      </c>
      <c r="AW313" s="127" t="s">
        <v>52</v>
      </c>
    </row>
    <row r="314" spans="1:55" s="128" customFormat="1" x14ac:dyDescent="0.2">
      <c r="A314"/>
      <c r="B314"/>
      <c r="C314"/>
      <c r="D314"/>
      <c r="E314"/>
      <c r="F314"/>
      <c r="G314" s="89"/>
      <c r="H314" s="132"/>
      <c r="I314" s="89"/>
      <c r="J314" s="89"/>
      <c r="K314" s="132"/>
      <c r="L314" s="132"/>
      <c r="M314" s="89"/>
      <c r="N314" s="284"/>
      <c r="O314" s="284" t="s">
        <v>1018</v>
      </c>
      <c r="P314" s="128">
        <v>0</v>
      </c>
      <c r="Q314" s="128" t="s">
        <v>126</v>
      </c>
      <c r="R314" s="352" t="s">
        <v>1030</v>
      </c>
      <c r="S314" s="247">
        <v>7.5</v>
      </c>
      <c r="T314" s="247">
        <v>0.45</v>
      </c>
      <c r="U314" s="247">
        <v>0.03</v>
      </c>
      <c r="V314" s="247" t="s">
        <v>52</v>
      </c>
      <c r="W314" s="247">
        <v>0.18</v>
      </c>
      <c r="X314" s="247">
        <v>0.53</v>
      </c>
      <c r="Y314" s="247" t="s">
        <v>52</v>
      </c>
      <c r="Z314" s="128" t="s">
        <v>92</v>
      </c>
      <c r="AA314" s="248" t="s">
        <v>1026</v>
      </c>
      <c r="AB314" s="128" t="s">
        <v>80</v>
      </c>
      <c r="AC314" s="128" t="s">
        <v>78</v>
      </c>
      <c r="AD314" s="128" t="s">
        <v>78</v>
      </c>
      <c r="AE314" s="128" t="s">
        <v>78</v>
      </c>
      <c r="AF314" s="128" t="s">
        <v>78</v>
      </c>
      <c r="AG314" s="128" t="s">
        <v>78</v>
      </c>
      <c r="AH314" s="128" t="s">
        <v>78</v>
      </c>
      <c r="AI314" s="128" t="s">
        <v>78</v>
      </c>
      <c r="AJ314" s="128" t="s">
        <v>1024</v>
      </c>
      <c r="AK314" s="128" t="s">
        <v>61</v>
      </c>
      <c r="AL314" s="63" t="s">
        <v>536</v>
      </c>
      <c r="AM314" s="153" t="s">
        <v>1025</v>
      </c>
      <c r="AN314" s="128">
        <v>23.16</v>
      </c>
      <c r="AO314" s="128">
        <v>8</v>
      </c>
      <c r="AP314" s="128">
        <v>38</v>
      </c>
      <c r="AQ314" s="128">
        <v>26.5</v>
      </c>
      <c r="AR314" s="128">
        <v>7.28</v>
      </c>
      <c r="AS314" s="128">
        <v>38</v>
      </c>
      <c r="AT314" s="128" t="s">
        <v>52</v>
      </c>
      <c r="AU314" s="128" t="s">
        <v>52</v>
      </c>
      <c r="AV314" s="128" t="s">
        <v>52</v>
      </c>
      <c r="AW314" s="128" t="s">
        <v>52</v>
      </c>
      <c r="BB314" s="63"/>
      <c r="BC314" s="63"/>
    </row>
    <row r="315" spans="1:55" x14ac:dyDescent="0.2">
      <c r="G315" s="88" t="s">
        <v>1027</v>
      </c>
      <c r="H315" s="130">
        <v>153</v>
      </c>
      <c r="I315" s="88" t="s">
        <v>47</v>
      </c>
      <c r="J315" s="88" t="s">
        <v>452</v>
      </c>
      <c r="K315" s="130" t="s">
        <v>66</v>
      </c>
      <c r="L315" s="130" t="s">
        <v>49</v>
      </c>
      <c r="M315" s="88" t="s">
        <v>841</v>
      </c>
      <c r="N315" s="283" t="s">
        <v>915</v>
      </c>
      <c r="O315" s="283" t="s">
        <v>1018</v>
      </c>
      <c r="P315" s="127">
        <v>1</v>
      </c>
      <c r="Q315" s="127" t="s">
        <v>1028</v>
      </c>
      <c r="R315" s="351" t="s">
        <v>1030</v>
      </c>
      <c r="S315" s="245">
        <v>7.5</v>
      </c>
      <c r="T315" s="245">
        <v>0.6</v>
      </c>
      <c r="U315" s="245">
        <v>0.05</v>
      </c>
      <c r="V315" s="245" t="s">
        <v>52</v>
      </c>
      <c r="W315" s="245">
        <v>0.12</v>
      </c>
      <c r="X315" s="245">
        <v>1</v>
      </c>
      <c r="Y315" s="245" t="s">
        <v>52</v>
      </c>
      <c r="Z315" s="127" t="s">
        <v>92</v>
      </c>
      <c r="AA315" s="246" t="s">
        <v>1023</v>
      </c>
      <c r="AB315" s="127" t="s">
        <v>71</v>
      </c>
      <c r="AC315" s="127" t="s">
        <v>153</v>
      </c>
      <c r="AD315" s="127" t="s">
        <v>162</v>
      </c>
      <c r="AE315" s="127" t="s">
        <v>58</v>
      </c>
      <c r="AF315" s="127">
        <v>2250</v>
      </c>
      <c r="AG315" s="127">
        <v>90</v>
      </c>
      <c r="AH315" s="127">
        <v>25</v>
      </c>
      <c r="AI315" s="127" t="s">
        <v>59</v>
      </c>
      <c r="AJ315" s="127" t="s">
        <v>1024</v>
      </c>
      <c r="AK315" s="127" t="s">
        <v>61</v>
      </c>
      <c r="AL315" s="60" t="s">
        <v>536</v>
      </c>
      <c r="AM315" s="152" t="s">
        <v>1025</v>
      </c>
      <c r="AN315" s="127">
        <v>17.78</v>
      </c>
      <c r="AO315" s="127">
        <v>8.27</v>
      </c>
      <c r="AP315" s="127">
        <v>23</v>
      </c>
      <c r="AQ315" s="127">
        <v>28.09</v>
      </c>
      <c r="AR315" s="127">
        <v>7.35</v>
      </c>
      <c r="AS315" s="127">
        <v>23</v>
      </c>
      <c r="AT315" s="127" t="s">
        <v>52</v>
      </c>
      <c r="AU315" s="127" t="s">
        <v>52</v>
      </c>
      <c r="AV315" s="127" t="s">
        <v>52</v>
      </c>
      <c r="AW315" s="127" t="s">
        <v>52</v>
      </c>
    </row>
    <row r="316" spans="1:55" s="128" customFormat="1" x14ac:dyDescent="0.2">
      <c r="A316"/>
      <c r="B316"/>
      <c r="C316"/>
      <c r="D316"/>
      <c r="E316"/>
      <c r="F316"/>
      <c r="G316" s="89"/>
      <c r="H316" s="132"/>
      <c r="I316" s="89"/>
      <c r="J316" s="89"/>
      <c r="K316" s="132"/>
      <c r="L316" s="132"/>
      <c r="M316" s="89"/>
      <c r="N316" s="284"/>
      <c r="O316" s="284" t="s">
        <v>1018</v>
      </c>
      <c r="P316" s="128">
        <v>0</v>
      </c>
      <c r="Q316" s="128" t="s">
        <v>1029</v>
      </c>
      <c r="R316" s="352" t="s">
        <v>1030</v>
      </c>
      <c r="S316" s="247">
        <v>7.5</v>
      </c>
      <c r="T316" s="247">
        <v>0.6</v>
      </c>
      <c r="U316" s="247">
        <v>0.14000000000000001</v>
      </c>
      <c r="V316" s="247" t="s">
        <v>52</v>
      </c>
      <c r="W316" s="247">
        <v>0.12</v>
      </c>
      <c r="X316" s="247">
        <v>1</v>
      </c>
      <c r="Y316" s="247" t="s">
        <v>52</v>
      </c>
      <c r="Z316" s="128" t="s">
        <v>92</v>
      </c>
      <c r="AA316" s="248" t="s">
        <v>1026</v>
      </c>
      <c r="AB316" s="128" t="s">
        <v>80</v>
      </c>
      <c r="AC316" s="128" t="s">
        <v>78</v>
      </c>
      <c r="AD316" s="128" t="s">
        <v>78</v>
      </c>
      <c r="AE316" s="128" t="s">
        <v>78</v>
      </c>
      <c r="AF316" s="128" t="s">
        <v>78</v>
      </c>
      <c r="AG316" s="128" t="s">
        <v>78</v>
      </c>
      <c r="AH316" s="128" t="s">
        <v>78</v>
      </c>
      <c r="AI316" s="128" t="s">
        <v>78</v>
      </c>
      <c r="AJ316" s="128" t="s">
        <v>1024</v>
      </c>
      <c r="AK316" s="128" t="s">
        <v>61</v>
      </c>
      <c r="AL316" s="63" t="s">
        <v>536</v>
      </c>
      <c r="AM316" s="153" t="s">
        <v>1025</v>
      </c>
      <c r="AN316" s="128">
        <v>18.61</v>
      </c>
      <c r="AO316" s="128">
        <v>7.02</v>
      </c>
      <c r="AP316" s="128">
        <v>23</v>
      </c>
      <c r="AQ316" s="128">
        <v>22.61</v>
      </c>
      <c r="AR316" s="128">
        <v>6.45</v>
      </c>
      <c r="AS316" s="128">
        <v>23</v>
      </c>
      <c r="AT316" s="128" t="s">
        <v>52</v>
      </c>
      <c r="AU316" s="128" t="s">
        <v>52</v>
      </c>
      <c r="AV316" s="128" t="s">
        <v>52</v>
      </c>
      <c r="AW316" s="128" t="s">
        <v>52</v>
      </c>
      <c r="BB316" s="63"/>
      <c r="BC316" s="63"/>
    </row>
    <row r="317" spans="1:55" x14ac:dyDescent="0.2">
      <c r="G317" s="88"/>
      <c r="AM317" s="152"/>
    </row>
    <row r="318" spans="1:55" x14ac:dyDescent="0.2">
      <c r="G318" s="88"/>
      <c r="AM318" s="152"/>
    </row>
    <row r="319" spans="1:55" x14ac:dyDescent="0.2">
      <c r="G319" s="88"/>
      <c r="AM319" s="152"/>
    </row>
    <row r="320" spans="1:55" x14ac:dyDescent="0.2">
      <c r="G320" s="88"/>
      <c r="AM320" s="152"/>
    </row>
    <row r="321" spans="7:39" x14ac:dyDescent="0.2">
      <c r="G321" s="88"/>
      <c r="AM321" s="152"/>
    </row>
    <row r="322" spans="7:39" x14ac:dyDescent="0.2">
      <c r="G322" s="88"/>
      <c r="AM322" s="152"/>
    </row>
    <row r="323" spans="7:39" x14ac:dyDescent="0.2">
      <c r="G323" s="88"/>
      <c r="AM323" s="152"/>
    </row>
    <row r="324" spans="7:39" x14ac:dyDescent="0.2">
      <c r="G324" s="88"/>
      <c r="AM324" s="152"/>
    </row>
    <row r="325" spans="7:39" x14ac:dyDescent="0.2">
      <c r="G325" s="88"/>
      <c r="AM325" s="152"/>
    </row>
    <row r="326" spans="7:39" x14ac:dyDescent="0.2">
      <c r="G326" s="88"/>
      <c r="AM326" s="152"/>
    </row>
    <row r="327" spans="7:39" x14ac:dyDescent="0.2">
      <c r="G327" s="88"/>
      <c r="AM327" s="152"/>
    </row>
    <row r="328" spans="7:39" x14ac:dyDescent="0.2">
      <c r="G328" s="88"/>
      <c r="AM328" s="152"/>
    </row>
    <row r="329" spans="7:39" x14ac:dyDescent="0.2">
      <c r="G329" s="88"/>
      <c r="AM329" s="152"/>
    </row>
    <row r="330" spans="7:39" x14ac:dyDescent="0.2">
      <c r="G330" s="88"/>
      <c r="AM330" s="152"/>
    </row>
    <row r="331" spans="7:39" x14ac:dyDescent="0.2">
      <c r="G331" s="88"/>
      <c r="AM331" s="152"/>
    </row>
    <row r="332" spans="7:39" x14ac:dyDescent="0.2">
      <c r="G332" s="88"/>
      <c r="AM332" s="152"/>
    </row>
    <row r="333" spans="7:39" x14ac:dyDescent="0.2">
      <c r="G333" s="88"/>
      <c r="AM333" s="152"/>
    </row>
    <row r="334" spans="7:39" x14ac:dyDescent="0.2">
      <c r="G334" s="88"/>
      <c r="AM334" s="152"/>
    </row>
    <row r="335" spans="7:39" x14ac:dyDescent="0.2">
      <c r="G335" s="88"/>
      <c r="AM335" s="152"/>
    </row>
    <row r="336" spans="7:39" x14ac:dyDescent="0.2">
      <c r="G336" s="88"/>
      <c r="AM336" s="152"/>
    </row>
    <row r="337" spans="7:39" x14ac:dyDescent="0.2">
      <c r="G337" s="88"/>
      <c r="AM337" s="152"/>
    </row>
    <row r="338" spans="7:39" x14ac:dyDescent="0.2">
      <c r="G338" s="88"/>
      <c r="AM338" s="152"/>
    </row>
    <row r="339" spans="7:39" x14ac:dyDescent="0.2">
      <c r="G339" s="88"/>
      <c r="AM339" s="152"/>
    </row>
    <row r="340" spans="7:39" x14ac:dyDescent="0.2">
      <c r="G340" s="88"/>
      <c r="AM340" s="152"/>
    </row>
    <row r="341" spans="7:39" x14ac:dyDescent="0.2">
      <c r="G341" s="88"/>
      <c r="AM341" s="152"/>
    </row>
    <row r="342" spans="7:39" x14ac:dyDescent="0.2">
      <c r="G342" s="88"/>
      <c r="AM342" s="152"/>
    </row>
    <row r="343" spans="7:39" x14ac:dyDescent="0.2">
      <c r="G343" s="88"/>
      <c r="AM343" s="152"/>
    </row>
    <row r="344" spans="7:39" x14ac:dyDescent="0.2">
      <c r="G344" s="88"/>
      <c r="AM344" s="152"/>
    </row>
    <row r="345" spans="7:39" x14ac:dyDescent="0.2">
      <c r="G345" s="88"/>
      <c r="AM345" s="152"/>
    </row>
    <row r="346" spans="7:39" x14ac:dyDescent="0.2">
      <c r="G346" s="88"/>
      <c r="AM346" s="152"/>
    </row>
    <row r="347" spans="7:39" x14ac:dyDescent="0.2">
      <c r="G347" s="88"/>
      <c r="AM347" s="152"/>
    </row>
    <row r="348" spans="7:39" x14ac:dyDescent="0.2">
      <c r="G348" s="88"/>
      <c r="AM348" s="152"/>
    </row>
    <row r="349" spans="7:39" x14ac:dyDescent="0.2">
      <c r="G349" s="88"/>
      <c r="AM349" s="152"/>
    </row>
    <row r="350" spans="7:39" x14ac:dyDescent="0.2">
      <c r="G350" s="88"/>
      <c r="AM350" s="152"/>
    </row>
    <row r="351" spans="7:39" x14ac:dyDescent="0.2">
      <c r="G351" s="88"/>
      <c r="AM351" s="152"/>
    </row>
    <row r="352" spans="7:39" x14ac:dyDescent="0.2">
      <c r="G352" s="88"/>
      <c r="AM352" s="152"/>
    </row>
    <row r="353" spans="7:39" x14ac:dyDescent="0.2">
      <c r="G353" s="88"/>
      <c r="AM353" s="152"/>
    </row>
    <row r="354" spans="7:39" x14ac:dyDescent="0.2">
      <c r="G354" s="88"/>
      <c r="AM354" s="152"/>
    </row>
    <row r="355" spans="7:39" x14ac:dyDescent="0.2">
      <c r="G355" s="88"/>
      <c r="AM355" s="152"/>
    </row>
    <row r="356" spans="7:39" x14ac:dyDescent="0.2">
      <c r="G356" s="88"/>
      <c r="AM356" s="152"/>
    </row>
    <row r="357" spans="7:39" x14ac:dyDescent="0.2">
      <c r="G357" s="88"/>
      <c r="AM357" s="152"/>
    </row>
    <row r="358" spans="7:39" x14ac:dyDescent="0.2">
      <c r="G358" s="88"/>
      <c r="AM358" s="152"/>
    </row>
    <row r="359" spans="7:39" x14ac:dyDescent="0.2">
      <c r="G359" s="88"/>
      <c r="AM359" s="152"/>
    </row>
    <row r="360" spans="7:39" x14ac:dyDescent="0.2">
      <c r="G360" s="88"/>
      <c r="AM360" s="152"/>
    </row>
    <row r="361" spans="7:39" x14ac:dyDescent="0.2">
      <c r="G361" s="88"/>
      <c r="AM361" s="152"/>
    </row>
    <row r="362" spans="7:39" x14ac:dyDescent="0.2">
      <c r="G362" s="88"/>
      <c r="AM362" s="152"/>
    </row>
    <row r="363" spans="7:39" x14ac:dyDescent="0.2">
      <c r="G363" s="88"/>
      <c r="AM363" s="152"/>
    </row>
    <row r="364" spans="7:39" x14ac:dyDescent="0.2">
      <c r="G364" s="88"/>
      <c r="AM364" s="152"/>
    </row>
    <row r="365" spans="7:39" x14ac:dyDescent="0.2">
      <c r="G365" s="88"/>
      <c r="AM365" s="152"/>
    </row>
    <row r="366" spans="7:39" x14ac:dyDescent="0.2">
      <c r="G366" s="88"/>
      <c r="AM366" s="152"/>
    </row>
    <row r="367" spans="7:39" x14ac:dyDescent="0.2">
      <c r="G367" s="88"/>
      <c r="AM367" s="152"/>
    </row>
    <row r="368" spans="7:39" x14ac:dyDescent="0.2">
      <c r="G368" s="88"/>
      <c r="AM368" s="152"/>
    </row>
    <row r="369" spans="7:39" x14ac:dyDescent="0.2">
      <c r="G369" s="88"/>
      <c r="AM369" s="152"/>
    </row>
    <row r="370" spans="7:39" x14ac:dyDescent="0.2">
      <c r="G370" s="88"/>
      <c r="AM370" s="152"/>
    </row>
    <row r="371" spans="7:39" x14ac:dyDescent="0.2">
      <c r="G371" s="88"/>
      <c r="AM371" s="152"/>
    </row>
    <row r="372" spans="7:39" x14ac:dyDescent="0.2">
      <c r="G372" s="88"/>
      <c r="AM372" s="152"/>
    </row>
    <row r="373" spans="7:39" x14ac:dyDescent="0.2">
      <c r="G373" s="88"/>
      <c r="AM373" s="152"/>
    </row>
    <row r="374" spans="7:39" x14ac:dyDescent="0.2">
      <c r="G374" s="88"/>
      <c r="AM374" s="152"/>
    </row>
    <row r="375" spans="7:39" x14ac:dyDescent="0.2">
      <c r="G375" s="88"/>
      <c r="AM375" s="152"/>
    </row>
    <row r="376" spans="7:39" x14ac:dyDescent="0.2">
      <c r="G376" s="88"/>
      <c r="AM376" s="152"/>
    </row>
    <row r="377" spans="7:39" x14ac:dyDescent="0.2">
      <c r="G377" s="88"/>
    </row>
    <row r="378" spans="7:39" x14ac:dyDescent="0.2">
      <c r="G378" s="88"/>
    </row>
    <row r="379" spans="7:39" x14ac:dyDescent="0.2">
      <c r="G379" s="88"/>
    </row>
    <row r="380" spans="7:39" x14ac:dyDescent="0.2">
      <c r="G380" s="88"/>
    </row>
    <row r="381" spans="7:39" x14ac:dyDescent="0.2">
      <c r="G381" s="88"/>
    </row>
    <row r="382" spans="7:39" x14ac:dyDescent="0.2">
      <c r="G382" s="88"/>
    </row>
    <row r="383" spans="7:39" x14ac:dyDescent="0.2">
      <c r="G383" s="88"/>
    </row>
    <row r="384" spans="7:39" x14ac:dyDescent="0.2">
      <c r="G384" s="88"/>
    </row>
    <row r="385" spans="7:7" x14ac:dyDescent="0.2">
      <c r="G385" s="88"/>
    </row>
    <row r="386" spans="7:7" x14ac:dyDescent="0.2">
      <c r="G386" s="88"/>
    </row>
    <row r="387" spans="7:7" x14ac:dyDescent="0.2">
      <c r="G387" s="88"/>
    </row>
    <row r="388" spans="7:7" x14ac:dyDescent="0.2">
      <c r="G388" s="88"/>
    </row>
    <row r="389" spans="7:7" x14ac:dyDescent="0.2">
      <c r="G389" s="88"/>
    </row>
    <row r="390" spans="7:7" x14ac:dyDescent="0.2">
      <c r="G390" s="88"/>
    </row>
    <row r="391" spans="7:7" x14ac:dyDescent="0.2">
      <c r="G391" s="88"/>
    </row>
    <row r="392" spans="7:7" x14ac:dyDescent="0.2">
      <c r="G392" s="88"/>
    </row>
    <row r="393" spans="7:7" x14ac:dyDescent="0.2">
      <c r="G393" s="88"/>
    </row>
    <row r="394" spans="7:7" x14ac:dyDescent="0.2">
      <c r="G394" s="88"/>
    </row>
    <row r="395" spans="7:7" x14ac:dyDescent="0.2">
      <c r="G395" s="88"/>
    </row>
    <row r="396" spans="7:7" x14ac:dyDescent="0.2">
      <c r="G396" s="88"/>
    </row>
    <row r="397" spans="7:7" x14ac:dyDescent="0.2">
      <c r="G397" s="88"/>
    </row>
    <row r="398" spans="7:7" x14ac:dyDescent="0.2">
      <c r="G398" s="88"/>
    </row>
    <row r="399" spans="7:7" x14ac:dyDescent="0.2">
      <c r="G399" s="88"/>
    </row>
    <row r="400" spans="7:7" x14ac:dyDescent="0.2">
      <c r="G400" s="88"/>
    </row>
    <row r="401" spans="7:7" x14ac:dyDescent="0.2">
      <c r="G401" s="88"/>
    </row>
    <row r="402" spans="7:7" x14ac:dyDescent="0.2">
      <c r="G402" s="88"/>
    </row>
    <row r="403" spans="7:7" x14ac:dyDescent="0.2">
      <c r="G403" s="88"/>
    </row>
    <row r="404" spans="7:7" x14ac:dyDescent="0.2">
      <c r="G404" s="88"/>
    </row>
    <row r="405" spans="7:7" x14ac:dyDescent="0.2">
      <c r="G405" s="88"/>
    </row>
    <row r="406" spans="7:7" x14ac:dyDescent="0.2">
      <c r="G406" s="88"/>
    </row>
    <row r="407" spans="7:7" x14ac:dyDescent="0.2">
      <c r="G407" s="88"/>
    </row>
    <row r="408" spans="7:7" x14ac:dyDescent="0.2">
      <c r="G408" s="88"/>
    </row>
    <row r="409" spans="7:7" x14ac:dyDescent="0.2">
      <c r="G409" s="88"/>
    </row>
    <row r="410" spans="7:7" x14ac:dyDescent="0.2">
      <c r="G410" s="88"/>
    </row>
    <row r="411" spans="7:7" x14ac:dyDescent="0.2">
      <c r="G411" s="88"/>
    </row>
    <row r="412" spans="7:7" x14ac:dyDescent="0.2">
      <c r="G412" s="88"/>
    </row>
    <row r="413" spans="7:7" x14ac:dyDescent="0.2">
      <c r="G413" s="88"/>
    </row>
    <row r="414" spans="7:7" x14ac:dyDescent="0.2">
      <c r="G414" s="88"/>
    </row>
    <row r="415" spans="7:7" x14ac:dyDescent="0.2">
      <c r="G415" s="88"/>
    </row>
    <row r="416" spans="7:7" x14ac:dyDescent="0.2">
      <c r="G416" s="88"/>
    </row>
    <row r="417" spans="7:7" x14ac:dyDescent="0.2">
      <c r="G417" s="88"/>
    </row>
    <row r="418" spans="7:7" x14ac:dyDescent="0.2">
      <c r="G418" s="88"/>
    </row>
    <row r="419" spans="7:7" x14ac:dyDescent="0.2">
      <c r="G419" s="88"/>
    </row>
    <row r="420" spans="7:7" x14ac:dyDescent="0.2">
      <c r="G420" s="88"/>
    </row>
    <row r="421" spans="7:7" x14ac:dyDescent="0.2">
      <c r="G421" s="88"/>
    </row>
    <row r="422" spans="7:7" x14ac:dyDescent="0.2">
      <c r="G422" s="88"/>
    </row>
    <row r="423" spans="7:7" x14ac:dyDescent="0.2">
      <c r="G423" s="88"/>
    </row>
    <row r="424" spans="7:7" x14ac:dyDescent="0.2">
      <c r="G424" s="88"/>
    </row>
    <row r="425" spans="7:7" x14ac:dyDescent="0.2">
      <c r="G425" s="88"/>
    </row>
    <row r="426" spans="7:7" x14ac:dyDescent="0.2">
      <c r="G426" s="88"/>
    </row>
    <row r="427" spans="7:7" x14ac:dyDescent="0.2">
      <c r="G427" s="88"/>
    </row>
    <row r="428" spans="7:7" x14ac:dyDescent="0.2">
      <c r="G428" s="88"/>
    </row>
    <row r="429" spans="7:7" x14ac:dyDescent="0.2">
      <c r="G429" s="88"/>
    </row>
    <row r="430" spans="7:7" x14ac:dyDescent="0.2">
      <c r="G430" s="88"/>
    </row>
    <row r="431" spans="7:7" x14ac:dyDescent="0.2">
      <c r="G431" s="88"/>
    </row>
    <row r="432" spans="7:7" x14ac:dyDescent="0.2">
      <c r="G432" s="88"/>
    </row>
    <row r="433" spans="7:7" x14ac:dyDescent="0.2">
      <c r="G433" s="88"/>
    </row>
    <row r="434" spans="7:7" x14ac:dyDescent="0.2">
      <c r="G434" s="88"/>
    </row>
    <row r="435" spans="7:7" x14ac:dyDescent="0.2">
      <c r="G435" s="88"/>
    </row>
    <row r="436" spans="7:7" x14ac:dyDescent="0.2">
      <c r="G436" s="88"/>
    </row>
    <row r="437" spans="7:7" x14ac:dyDescent="0.2">
      <c r="G437" s="88"/>
    </row>
    <row r="438" spans="7:7" x14ac:dyDescent="0.2">
      <c r="G438" s="88"/>
    </row>
    <row r="439" spans="7:7" x14ac:dyDescent="0.2">
      <c r="G439" s="88"/>
    </row>
    <row r="440" spans="7:7" x14ac:dyDescent="0.2">
      <c r="G440" s="88"/>
    </row>
    <row r="441" spans="7:7" x14ac:dyDescent="0.2">
      <c r="G441" s="88"/>
    </row>
    <row r="442" spans="7:7" x14ac:dyDescent="0.2">
      <c r="G442" s="88"/>
    </row>
    <row r="443" spans="7:7" x14ac:dyDescent="0.2">
      <c r="G443" s="88"/>
    </row>
    <row r="444" spans="7:7" x14ac:dyDescent="0.2">
      <c r="G444" s="88"/>
    </row>
    <row r="445" spans="7:7" x14ac:dyDescent="0.2">
      <c r="G445" s="88"/>
    </row>
    <row r="446" spans="7:7" x14ac:dyDescent="0.2">
      <c r="G446" s="88"/>
    </row>
    <row r="447" spans="7:7" x14ac:dyDescent="0.2">
      <c r="G447" s="88"/>
    </row>
    <row r="448" spans="7:7" x14ac:dyDescent="0.2">
      <c r="G448" s="88"/>
    </row>
    <row r="449" spans="7:7" x14ac:dyDescent="0.2">
      <c r="G449" s="88"/>
    </row>
    <row r="450" spans="7:7" x14ac:dyDescent="0.2">
      <c r="G450" s="88"/>
    </row>
    <row r="451" spans="7:7" x14ac:dyDescent="0.2">
      <c r="G451" s="88"/>
    </row>
    <row r="452" spans="7:7" x14ac:dyDescent="0.2">
      <c r="G452" s="88"/>
    </row>
    <row r="453" spans="7:7" x14ac:dyDescent="0.2">
      <c r="G453" s="88"/>
    </row>
    <row r="454" spans="7:7" x14ac:dyDescent="0.2">
      <c r="G454" s="88"/>
    </row>
    <row r="455" spans="7:7" x14ac:dyDescent="0.2">
      <c r="G455" s="88"/>
    </row>
    <row r="456" spans="7:7" x14ac:dyDescent="0.2">
      <c r="G456" s="88"/>
    </row>
    <row r="457" spans="7:7" x14ac:dyDescent="0.2">
      <c r="G457" s="88"/>
    </row>
    <row r="458" spans="7:7" x14ac:dyDescent="0.2">
      <c r="G458" s="88"/>
    </row>
    <row r="459" spans="7:7" x14ac:dyDescent="0.2">
      <c r="G459" s="88"/>
    </row>
    <row r="460" spans="7:7" x14ac:dyDescent="0.2">
      <c r="G460" s="88"/>
    </row>
    <row r="461" spans="7:7" x14ac:dyDescent="0.2">
      <c r="G461" s="88"/>
    </row>
  </sheetData>
  <dataConsolidate/>
  <conditionalFormatting sqref="G1:Y1">
    <cfRule type="cellIs" dxfId="46" priority="5" operator="notEqual">
      <formula>#REF!</formula>
    </cfRule>
    <cfRule type="cellIs" dxfId="45" priority="6" operator="notEqual">
      <formula>#REF!+#REF!</formula>
    </cfRule>
  </conditionalFormatting>
  <conditionalFormatting sqref="AC1:AL1">
    <cfRule type="cellIs" dxfId="44" priority="7" operator="notEqual">
      <formula>#REF!</formula>
    </cfRule>
    <cfRule type="cellIs" dxfId="43" priority="8" operator="notEqual">
      <formula>#REF!+#REF!</formula>
    </cfRule>
  </conditionalFormatting>
  <conditionalFormatting sqref="AQ1:BA1">
    <cfRule type="cellIs" dxfId="42" priority="1" operator="notEqual">
      <formula>#REF!</formula>
    </cfRule>
    <cfRule type="cellIs" dxfId="41" priority="2" operator="notEqual">
      <formula>#REF!+#REF!</formula>
    </cfRule>
  </conditionalFormatting>
  <dataValidations count="15">
    <dataValidation type="list" allowBlank="1" showInputMessage="1" showErrorMessage="1" sqref="AD109 AD305:AD1048576 AD1:AD107" xr:uid="{93E27F9F-E552-1544-8B13-06C2FAE6222B}">
      <formula1>"BAU, NA, 0 = classroom/ large group,  1 = small group (3–7 students),  2 = individual  (1–2 students)"</formula1>
    </dataValidation>
    <dataValidation type="list" allowBlank="1" showInputMessage="1" showErrorMessage="1" sqref="AE2:AE41 AE305:AE1048576 AE43:AE109" xr:uid="{63A58230-BCFD-A840-93A0-25746A369BFA}">
      <formula1>"BAU, NA, 0 = Research Staff,  1 = School Staff,  2 =  CAI,  3 = 50% T and 50% R"</formula1>
    </dataValidation>
    <dataValidation type="list" allowBlank="1" showInputMessage="1" showErrorMessage="1" sqref="AI2:AI41 AI305:AI1048576 AI108 AI100 AI102 AI104 AI106 AI43:AI98" xr:uid="{A0FC5C2F-034A-6146-8D2C-7A905C198EE7}">
      <formula1>"BAU, 0 = Not reported , 1 = Reported"</formula1>
    </dataValidation>
    <dataValidation type="list" allowBlank="1" showInputMessage="1" showErrorMessage="1" sqref="AK2:AK109 AK305:AK1048576" xr:uid="{43B9E862-9244-B643-B4E4-75D936E35FA6}">
      <formula1>"0 = NO - Not standardized,  1 = YES - standardized"</formula1>
    </dataValidation>
    <dataValidation type="list" allowBlank="1" showInputMessage="1" showErrorMessage="1" sqref="AZ2:AZ56 BB92:BB96 BB57:BB79 BB85:BB90 AZ97:AZ109 AP270:AP285 AZ220:AZ285 AZ302:AZ1048576" xr:uid="{9BFBB305-FBB2-5B49-96F0-C00CFC19F66F}">
      <formula1>"cohen's d,  Hedges' g,  T test,  F test , z score,  Other types"</formula1>
    </dataValidation>
    <dataValidation type="list" allowBlank="1" showInputMessage="1" showErrorMessage="1" sqref="BA2:BA109 AQ270:AQ285 BA220:BA285 BA302:BA1048576" xr:uid="{170935DB-F5D2-4344-9B92-CDB4B49222BF}">
      <formula1>"0,1,2,3,4,5"</formula1>
    </dataValidation>
    <dataValidation type="list" allowBlank="1" showInputMessage="1" showErrorMessage="1" sqref="AB109 AB45:AB60 AB100:AB107 AB65:AB98" xr:uid="{3F054BA7-E497-0145-9CDF-31AF381A887B}">
      <formula1>"0 = Researcher-developed curriculum,   1 = Published or Commercially available curriculum,  2 = District/State curriculum, 3 = NA (for BAU/AC Condition)"</formula1>
    </dataValidation>
    <dataValidation type="list" allowBlank="1" showInputMessage="1" showErrorMessage="1" sqref="K45:K109" xr:uid="{5E305AB8-B480-4A4A-9310-6E8028F31A88}">
      <formula1>"0=School Environment, 1=After school Program"</formula1>
    </dataValidation>
    <dataValidation type="list" allowBlank="1" showInputMessage="1" showErrorMessage="1" sqref="M45:M109" xr:uid="{40F24B6A-F26B-B442-9040-8D80DB3FA522}">
      <formula1>" 0 = RCT,   1 = QED with matched group  "</formula1>
    </dataValidation>
    <dataValidation type="list" allowBlank="1" showInputMessage="1" showErrorMessage="1" sqref="L45:L109" xr:uid="{E8E131F7-FDC4-1140-8455-07F3F6223A87}">
      <formula1>" 0 = peer reviewed paper,   1 = disseration,   2 = report/chapter/others"</formula1>
    </dataValidation>
    <dataValidation type="list" allowBlank="1" showInputMessage="1" showErrorMessage="1" sqref="Z45:Z109" xr:uid="{89704310-39BF-C04A-B897-122E65A7D03E}">
      <formula1>"BAU, AC (other area),... ,c = code-based,  m = meaning-based, cm = combined coding + meaning "</formula1>
    </dataValidation>
    <dataValidation type="list" allowBlank="1" showInputMessage="1" showErrorMessage="1" sqref="AD109 AC45:AC109 AD45:AD107" xr:uid="{33BE710D-304F-EB4B-808F-6B19707F67F7}">
      <formula1>"BAU, 0 = No / Not reported,  1 = Yes (Including CAI)"</formula1>
    </dataValidation>
    <dataValidation type="list" allowBlank="1" showInputMessage="1" showErrorMessage="1" sqref="AB99" xr:uid="{82839229-6951-7042-B193-A43BA466EE57}">
      <formula1>"0 = Researcher-developed curriculum,   1 = Published or Commercially available curriculum,  2 = District/State curriculum, NA (for BAU/AC Condition)"</formula1>
    </dataValidation>
    <dataValidation type="list" allowBlank="1" showInputMessage="1" showErrorMessage="1" sqref="AB198:AC198" xr:uid="{6A48CA66-0AC7-3945-B0AA-33E2B8F4015F}">
      <formula1>AB$2:AB$7</formula1>
    </dataValidation>
    <dataValidation type="list" allowBlank="1" showInputMessage="1" showErrorMessage="1" sqref="K305:M461" xr:uid="{E79098D0-0A21-DF43-9043-DDC5E9445D54}">
      <formula1>#REF!</formula1>
    </dataValidation>
  </dataValidations>
  <pageMargins left="0.7" right="0.7" top="0.75" bottom="0.75" header="0.3" footer="0.3"/>
  <pageSetup orientation="portrait" horizontalDpi="0" verticalDpi="0"/>
  <ignoredErrors>
    <ignoredError sqref="R13 R15 R17" twoDigitTextYear="1"/>
    <ignoredError sqref="R57 R61 R65:R107" numberStoredAsText="1"/>
  </ignoredErrors>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1DC89C6B-6102-0E4E-B328-910F454D3395}">
          <x14:formula1>
            <xm:f>'0. Options'!$D$3:$D$10</xm:f>
          </x14:formula1>
          <xm:sqref>K462:K1048576 K1:K44</xm:sqref>
        </x14:dataValidation>
        <x14:dataValidation type="list" allowBlank="1" showInputMessage="1" showErrorMessage="1" xr:uid="{AB35F928-1B43-6643-9881-5302ACC5AC42}">
          <x14:formula1>
            <xm:f>'0. Options'!$E$3:$E$10</xm:f>
          </x14:formula1>
          <xm:sqref>L462:L1048576 L1:L44</xm:sqref>
        </x14:dataValidation>
        <x14:dataValidation type="list" allowBlank="1" showInputMessage="1" showErrorMessage="1" xr:uid="{06612773-33E2-D042-8659-F022CB642EE5}">
          <x14:formula1>
            <xm:f>'0. Options'!$F$3:$F$10</xm:f>
          </x14:formula1>
          <xm:sqref>M462:M1048576 M1:M44</xm:sqref>
        </x14:dataValidation>
        <x14:dataValidation type="list" allowBlank="1" showInputMessage="1" showErrorMessage="1" xr:uid="{5F978E3B-4FAB-254E-8CED-AC3BA2772E1A}">
          <x14:formula1>
            <xm:f>'0. Options'!$S$3:$S$10</xm:f>
          </x14:formula1>
          <xm:sqref>AB305:AB1048576 AB1:AB44</xm:sqref>
        </x14:dataValidation>
        <x14:dataValidation type="list" allowBlank="1" showInputMessage="1" showErrorMessage="1" xr:uid="{82BAFF93-9179-8045-9ACA-06AB76251E7E}">
          <x14:formula1>
            <xm:f>'0. Options'!$Q$3:$Q$10</xm:f>
          </x14:formula1>
          <xm:sqref>Z305:Z1048576 Z1:Z44</xm:sqref>
        </x14:dataValidation>
        <x14:dataValidation type="list" allowBlank="1" showInputMessage="1" showErrorMessage="1" xr:uid="{778726C6-35F2-4241-8DA3-647893CFE9AE}">
          <x14:formula1>
            <xm:f>'0. Options'!$T$3:$T$10</xm:f>
          </x14:formula1>
          <xm:sqref>AC305:AC1048576 AC1:AC44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AE35-2ED2-874C-9AEA-7A130E94AB1E}">
  <dimension ref="A1:AV534"/>
  <sheetViews>
    <sheetView zoomScaleNormal="125" workbookViewId="0">
      <pane xSplit="11" ySplit="2" topLeftCell="L55" activePane="bottomRight" state="frozen"/>
      <selection pane="topRight" activeCell="J1" sqref="J1"/>
      <selection pane="bottomLeft" activeCell="A3" sqref="A3"/>
      <selection pane="bottomRight" activeCell="N85" sqref="N85"/>
    </sheetView>
  </sheetViews>
  <sheetFormatPr baseColWidth="10" defaultColWidth="11.5" defaultRowHeight="15" x14ac:dyDescent="0.2"/>
  <cols>
    <col min="1" max="1" width="17.83203125" style="11" customWidth="1"/>
    <col min="2" max="2" width="6.1640625" style="11" customWidth="1"/>
    <col min="3" max="3" width="6" style="11" customWidth="1"/>
    <col min="4" max="4" width="10.5" style="88" customWidth="1"/>
    <col min="5" max="5" width="5.5" style="11" customWidth="1"/>
    <col min="6" max="6" width="4.5" style="11" customWidth="1"/>
    <col min="7" max="7" width="7.33203125" style="11" customWidth="1"/>
    <col min="8" max="9" width="7.33203125" style="273" customWidth="1"/>
    <col min="10" max="10" width="9.33203125" style="11" customWidth="1"/>
    <col min="11" max="11" width="12.6640625" style="11" customWidth="1"/>
    <col min="12" max="12" width="11.5" style="11"/>
    <col min="13" max="13" width="11.5" style="17"/>
    <col min="14" max="14" width="14.33203125" style="17" customWidth="1"/>
    <col min="15" max="16" width="9.83203125" style="17" customWidth="1"/>
    <col min="17" max="17" width="11.6640625" style="17" customWidth="1"/>
    <col min="18" max="19" width="9.83203125" style="17" customWidth="1"/>
    <col min="20" max="20" width="15.6640625" style="11" customWidth="1"/>
    <col min="21" max="21" width="10.33203125" style="12" customWidth="1"/>
    <col min="22" max="22" width="16.33203125" style="11" customWidth="1"/>
    <col min="23" max="23" width="11.5" style="11"/>
    <col min="24" max="24" width="13.83203125" style="11" customWidth="1"/>
    <col min="25" max="25" width="16.5" style="11" customWidth="1"/>
    <col min="26" max="27" width="13" style="11" customWidth="1"/>
    <col min="28" max="28" width="13.5" style="11" customWidth="1"/>
    <col min="29" max="29" width="11.5" style="11"/>
    <col min="30" max="30" width="20.1640625" style="11" customWidth="1"/>
    <col min="31" max="31" width="12.5" style="11" customWidth="1"/>
    <col min="32" max="32" width="12.5" style="60" customWidth="1"/>
    <col min="33" max="33" width="30.33203125" style="60" customWidth="1"/>
    <col min="34" max="36" width="12.33203125" style="11" customWidth="1"/>
    <col min="37" max="45" width="11.5" style="11"/>
    <col min="46" max="46" width="13.83203125" style="11" customWidth="1"/>
    <col min="47" max="47" width="20" style="11" customWidth="1"/>
    <col min="48" max="48" width="26.6640625" style="1" customWidth="1"/>
    <col min="49" max="49" width="26.5" style="11" customWidth="1"/>
    <col min="50" max="16384" width="11.5" style="11"/>
  </cols>
  <sheetData>
    <row r="1" spans="1:48" ht="21" customHeight="1" x14ac:dyDescent="0.2">
      <c r="A1" s="411" t="s">
        <v>0</v>
      </c>
      <c r="B1" s="411"/>
      <c r="C1" s="411"/>
      <c r="D1" s="411"/>
      <c r="E1" s="411"/>
      <c r="F1" s="411"/>
      <c r="G1" s="411"/>
      <c r="H1" s="269"/>
      <c r="I1" s="269"/>
      <c r="J1" s="412" t="s">
        <v>1</v>
      </c>
      <c r="K1" s="412"/>
      <c r="L1" s="412"/>
      <c r="M1" s="412"/>
      <c r="N1" s="412"/>
      <c r="O1" s="412"/>
      <c r="P1" s="412"/>
      <c r="Q1" s="412"/>
      <c r="R1" s="412"/>
      <c r="S1" s="412"/>
      <c r="T1" s="413" t="s">
        <v>2</v>
      </c>
      <c r="U1" s="413"/>
      <c r="V1" s="413"/>
      <c r="W1" s="414" t="s">
        <v>3</v>
      </c>
      <c r="X1" s="414"/>
      <c r="Y1" s="414"/>
      <c r="Z1" s="414"/>
      <c r="AA1" s="414"/>
      <c r="AB1" s="414"/>
      <c r="AC1" s="414"/>
      <c r="AD1" s="410" t="s">
        <v>4</v>
      </c>
      <c r="AE1" s="410"/>
      <c r="AF1" s="410"/>
      <c r="AG1" s="409" t="s">
        <v>449</v>
      </c>
      <c r="AH1" s="410" t="s">
        <v>5</v>
      </c>
      <c r="AI1" s="410"/>
      <c r="AJ1" s="410"/>
      <c r="AK1" s="410"/>
      <c r="AL1" s="410"/>
      <c r="AM1" s="410"/>
      <c r="AN1" s="189" t="s">
        <v>898</v>
      </c>
      <c r="AO1" s="190"/>
      <c r="AP1" s="190"/>
      <c r="AQ1" s="190"/>
      <c r="AR1" s="191" t="s">
        <v>787</v>
      </c>
      <c r="AS1" s="191"/>
      <c r="AT1" s="14" t="s">
        <v>6</v>
      </c>
      <c r="AU1" s="14" t="s">
        <v>7</v>
      </c>
      <c r="AV1" s="11" t="s">
        <v>9</v>
      </c>
    </row>
    <row r="2" spans="1:48" ht="38" customHeight="1" x14ac:dyDescent="0.2">
      <c r="A2" s="4" t="s">
        <v>10</v>
      </c>
      <c r="B2" s="4" t="s">
        <v>11</v>
      </c>
      <c r="C2" s="4" t="s">
        <v>12</v>
      </c>
      <c r="D2" s="159" t="s">
        <v>450</v>
      </c>
      <c r="E2" s="5" t="s">
        <v>13</v>
      </c>
      <c r="F2" s="5" t="s">
        <v>14</v>
      </c>
      <c r="G2" s="5" t="s">
        <v>15</v>
      </c>
      <c r="H2" s="270" t="s">
        <v>912</v>
      </c>
      <c r="I2" s="270" t="s">
        <v>913</v>
      </c>
      <c r="J2" s="6" t="s">
        <v>16</v>
      </c>
      <c r="K2" s="6" t="s">
        <v>17</v>
      </c>
      <c r="L2" s="6" t="s">
        <v>18</v>
      </c>
      <c r="M2" s="16" t="s">
        <v>19</v>
      </c>
      <c r="N2" s="6" t="s">
        <v>20</v>
      </c>
      <c r="O2" s="3" t="s">
        <v>21</v>
      </c>
      <c r="P2" s="3" t="s">
        <v>22</v>
      </c>
      <c r="Q2" s="3" t="s">
        <v>292</v>
      </c>
      <c r="R2" s="3" t="s">
        <v>24</v>
      </c>
      <c r="S2" s="3" t="s">
        <v>288</v>
      </c>
      <c r="T2" s="36" t="s">
        <v>26</v>
      </c>
      <c r="U2" s="37" t="s">
        <v>27</v>
      </c>
      <c r="V2" s="35" t="s">
        <v>28</v>
      </c>
      <c r="W2" s="8" t="s">
        <v>29</v>
      </c>
      <c r="X2" s="8" t="s">
        <v>30</v>
      </c>
      <c r="Y2" s="8" t="s">
        <v>31</v>
      </c>
      <c r="Z2" s="9" t="s">
        <v>32</v>
      </c>
      <c r="AA2" s="9" t="s">
        <v>443</v>
      </c>
      <c r="AB2" s="9" t="s">
        <v>33</v>
      </c>
      <c r="AC2" s="8" t="s">
        <v>34</v>
      </c>
      <c r="AD2" s="4" t="s">
        <v>35</v>
      </c>
      <c r="AE2" s="5" t="s">
        <v>36</v>
      </c>
      <c r="AF2" s="115" t="s">
        <v>451</v>
      </c>
      <c r="AG2" s="409"/>
      <c r="AH2" s="7" t="s">
        <v>38</v>
      </c>
      <c r="AI2" s="7" t="s">
        <v>39</v>
      </c>
      <c r="AJ2" s="7" t="s">
        <v>40</v>
      </c>
      <c r="AK2" s="10" t="s">
        <v>41</v>
      </c>
      <c r="AL2" s="10" t="s">
        <v>42</v>
      </c>
      <c r="AM2" s="10" t="s">
        <v>43</v>
      </c>
      <c r="AN2" s="192" t="s">
        <v>788</v>
      </c>
      <c r="AO2" s="192" t="s">
        <v>789</v>
      </c>
      <c r="AP2" s="192" t="s">
        <v>790</v>
      </c>
      <c r="AQ2" s="192" t="s">
        <v>791</v>
      </c>
      <c r="AR2" s="193" t="s">
        <v>792</v>
      </c>
      <c r="AS2" s="193" t="s">
        <v>793</v>
      </c>
      <c r="AT2" s="15" t="s">
        <v>44</v>
      </c>
      <c r="AU2" s="15" t="s">
        <v>45</v>
      </c>
    </row>
    <row r="3" spans="1:48" s="20" customFormat="1" ht="17" customHeight="1" x14ac:dyDescent="0.2">
      <c r="A3" s="23" t="s">
        <v>46</v>
      </c>
      <c r="B3" s="23">
        <v>301</v>
      </c>
      <c r="C3" s="23" t="s">
        <v>47</v>
      </c>
      <c r="D3" s="88" t="s">
        <v>690</v>
      </c>
      <c r="E3" s="23" t="s">
        <v>48</v>
      </c>
      <c r="F3" s="23" t="s">
        <v>49</v>
      </c>
      <c r="G3" s="23" t="s">
        <v>50</v>
      </c>
      <c r="H3" s="271"/>
      <c r="I3" s="271"/>
      <c r="J3" s="20">
        <v>3011</v>
      </c>
      <c r="K3" s="20" t="s">
        <v>51</v>
      </c>
      <c r="L3" s="38">
        <v>2.71</v>
      </c>
      <c r="M3" s="46">
        <v>8.42</v>
      </c>
      <c r="N3" s="19">
        <v>1</v>
      </c>
      <c r="O3" s="19">
        <f>(1+3+13+3+2)/24</f>
        <v>0.91666666666666663</v>
      </c>
      <c r="P3" s="19" t="s">
        <v>52</v>
      </c>
      <c r="Q3" s="19" t="s">
        <v>52</v>
      </c>
      <c r="R3" s="19">
        <f>10/24</f>
        <v>0.41666666666666669</v>
      </c>
      <c r="S3" s="19" t="s">
        <v>52</v>
      </c>
      <c r="T3" s="20" t="s">
        <v>53</v>
      </c>
      <c r="U3" s="24" t="s">
        <v>111</v>
      </c>
      <c r="V3" s="20" t="s">
        <v>55</v>
      </c>
      <c r="W3" s="20" t="s">
        <v>56</v>
      </c>
      <c r="X3" s="20" t="s">
        <v>57</v>
      </c>
      <c r="Y3" s="20" t="s">
        <v>58</v>
      </c>
      <c r="Z3" s="20">
        <f>120*5*5</f>
        <v>3000</v>
      </c>
      <c r="AA3" s="20">
        <v>25</v>
      </c>
      <c r="AB3" s="20">
        <v>120</v>
      </c>
      <c r="AC3" s="20" t="s">
        <v>59</v>
      </c>
      <c r="AD3" s="20" t="s">
        <v>60</v>
      </c>
      <c r="AE3" s="20" t="s">
        <v>61</v>
      </c>
      <c r="AF3" s="60" t="s">
        <v>536</v>
      </c>
      <c r="AG3" s="60" t="s">
        <v>574</v>
      </c>
      <c r="AH3" s="20">
        <v>8.17</v>
      </c>
      <c r="AI3" s="20">
        <v>2.5099999999999998</v>
      </c>
      <c r="AJ3" s="20">
        <v>24</v>
      </c>
      <c r="AK3" s="20">
        <v>9.5399999999999991</v>
      </c>
      <c r="AL3" s="20">
        <v>2.93</v>
      </c>
      <c r="AM3" s="20">
        <v>24</v>
      </c>
      <c r="AU3" s="20">
        <v>0</v>
      </c>
      <c r="AV3" s="2" t="s">
        <v>62</v>
      </c>
    </row>
    <row r="4" spans="1:48" s="21" customFormat="1" ht="17" customHeight="1" x14ac:dyDescent="0.2">
      <c r="A4" s="29"/>
      <c r="B4" s="26"/>
      <c r="C4" s="26"/>
      <c r="D4" s="89"/>
      <c r="E4" s="26"/>
      <c r="F4" s="26"/>
      <c r="G4" s="26"/>
      <c r="H4" s="272"/>
      <c r="I4" s="272"/>
      <c r="J4" s="21">
        <v>3012</v>
      </c>
      <c r="K4" s="21" t="s">
        <v>63</v>
      </c>
      <c r="L4" s="39">
        <v>1.83</v>
      </c>
      <c r="M4" s="22">
        <v>7.96</v>
      </c>
      <c r="N4" s="22">
        <v>1</v>
      </c>
      <c r="O4" s="22">
        <f>(1+5+8+4+2+2)/23</f>
        <v>0.95652173913043481</v>
      </c>
      <c r="P4" s="22" t="s">
        <v>52</v>
      </c>
      <c r="Q4" s="22" t="s">
        <v>52</v>
      </c>
      <c r="R4" s="22">
        <f>11/23</f>
        <v>0.47826086956521741</v>
      </c>
      <c r="S4" s="22" t="s">
        <v>52</v>
      </c>
      <c r="T4" s="21" t="s">
        <v>53</v>
      </c>
      <c r="U4" s="24" t="s">
        <v>111</v>
      </c>
      <c r="V4" s="21" t="s">
        <v>55</v>
      </c>
      <c r="W4" s="21" t="s">
        <v>56</v>
      </c>
      <c r="X4" s="21" t="s">
        <v>57</v>
      </c>
      <c r="Y4" s="21" t="s">
        <v>58</v>
      </c>
      <c r="Z4" s="21">
        <f>120*5*5</f>
        <v>3000</v>
      </c>
      <c r="AA4" s="21">
        <v>25</v>
      </c>
      <c r="AB4" s="21">
        <v>120</v>
      </c>
      <c r="AC4" s="21" t="s">
        <v>59</v>
      </c>
      <c r="AD4" s="21" t="s">
        <v>60</v>
      </c>
      <c r="AE4" s="21" t="s">
        <v>61</v>
      </c>
      <c r="AF4" s="63"/>
      <c r="AG4" s="63"/>
      <c r="AH4" s="21">
        <v>8</v>
      </c>
      <c r="AI4" s="21">
        <v>2.2400000000000002</v>
      </c>
      <c r="AJ4" s="21">
        <v>23</v>
      </c>
      <c r="AK4" s="21">
        <v>8.17</v>
      </c>
      <c r="AL4" s="21">
        <v>2.31</v>
      </c>
      <c r="AM4" s="21">
        <v>23</v>
      </c>
      <c r="AU4" s="21">
        <v>0</v>
      </c>
      <c r="AV4" s="28" t="s">
        <v>64</v>
      </c>
    </row>
    <row r="5" spans="1:48" s="20" customFormat="1" ht="17" customHeight="1" x14ac:dyDescent="0.2">
      <c r="A5" s="23" t="s">
        <v>65</v>
      </c>
      <c r="B5" s="23">
        <v>302</v>
      </c>
      <c r="C5" s="23" t="s">
        <v>47</v>
      </c>
      <c r="D5" s="88" t="s">
        <v>690</v>
      </c>
      <c r="E5" s="23" t="s">
        <v>66</v>
      </c>
      <c r="F5" s="23" t="s">
        <v>49</v>
      </c>
      <c r="G5" s="23" t="s">
        <v>50</v>
      </c>
      <c r="H5" s="271"/>
      <c r="I5" s="271"/>
      <c r="J5" s="20">
        <v>3021</v>
      </c>
      <c r="K5" s="20" t="s">
        <v>67</v>
      </c>
      <c r="L5" s="38" t="s">
        <v>68</v>
      </c>
      <c r="M5" s="19">
        <f>(9.5+10.5)/2</f>
        <v>10</v>
      </c>
      <c r="N5" s="19">
        <v>1</v>
      </c>
      <c r="O5" s="19" t="s">
        <v>52</v>
      </c>
      <c r="P5" s="19">
        <f>30/34</f>
        <v>0.88235294117647056</v>
      </c>
      <c r="Q5" s="19">
        <f>4/34</f>
        <v>0.11764705882352941</v>
      </c>
      <c r="R5" s="19">
        <f>18/34</f>
        <v>0.52941176470588236</v>
      </c>
      <c r="S5" s="19">
        <f>32/34</f>
        <v>0.94117647058823528</v>
      </c>
      <c r="T5" s="43" t="s">
        <v>69</v>
      </c>
      <c r="U5" s="24" t="s">
        <v>112</v>
      </c>
      <c r="V5" s="20" t="s">
        <v>71</v>
      </c>
      <c r="W5" s="20" t="s">
        <v>56</v>
      </c>
      <c r="X5" s="20" t="s">
        <v>57</v>
      </c>
      <c r="Y5" s="20" t="s">
        <v>72</v>
      </c>
      <c r="Z5" s="20">
        <f>40*40</f>
        <v>1600</v>
      </c>
      <c r="AA5" s="20">
        <v>40</v>
      </c>
      <c r="AB5" s="20">
        <v>40</v>
      </c>
      <c r="AC5" s="20" t="s">
        <v>59</v>
      </c>
      <c r="AD5" s="20" t="s">
        <v>73</v>
      </c>
      <c r="AE5" s="20" t="s">
        <v>61</v>
      </c>
      <c r="AF5" s="60" t="s">
        <v>536</v>
      </c>
      <c r="AG5" s="60" t="s">
        <v>575</v>
      </c>
      <c r="AH5" s="20">
        <v>88.91</v>
      </c>
      <c r="AI5" s="20">
        <v>8.9600000000000009</v>
      </c>
      <c r="AJ5" s="20">
        <v>34</v>
      </c>
      <c r="AK5" s="20">
        <v>88.91</v>
      </c>
      <c r="AL5" s="20">
        <v>8.91</v>
      </c>
      <c r="AM5" s="20">
        <v>34</v>
      </c>
      <c r="AU5" s="20">
        <v>0</v>
      </c>
      <c r="AV5" s="2"/>
    </row>
    <row r="6" spans="1:48" s="20" customFormat="1" ht="17" customHeight="1" x14ac:dyDescent="0.2">
      <c r="A6" s="25"/>
      <c r="B6" s="23"/>
      <c r="C6" s="23"/>
      <c r="D6" s="88"/>
      <c r="E6" s="23"/>
      <c r="F6" s="23"/>
      <c r="G6" s="23"/>
      <c r="H6" s="271"/>
      <c r="I6" s="271"/>
      <c r="L6" s="38"/>
      <c r="M6" s="19"/>
      <c r="N6" s="19"/>
      <c r="O6" s="19"/>
      <c r="P6" s="19"/>
      <c r="Q6" s="19"/>
      <c r="R6" s="19"/>
      <c r="S6" s="19"/>
      <c r="U6" s="24"/>
      <c r="AD6" s="20" t="s">
        <v>75</v>
      </c>
      <c r="AE6" s="20" t="s">
        <v>61</v>
      </c>
      <c r="AF6" s="60" t="s">
        <v>536</v>
      </c>
      <c r="AG6" s="60" t="s">
        <v>692</v>
      </c>
      <c r="AH6" s="20">
        <v>88.86</v>
      </c>
      <c r="AI6" s="20">
        <v>12.3</v>
      </c>
      <c r="AJ6" s="20">
        <v>34</v>
      </c>
      <c r="AK6" s="20">
        <v>91.98</v>
      </c>
      <c r="AL6" s="20">
        <v>9.34</v>
      </c>
      <c r="AM6" s="20">
        <v>34</v>
      </c>
      <c r="AU6" s="20">
        <v>0</v>
      </c>
      <c r="AV6" s="2"/>
    </row>
    <row r="7" spans="1:48" s="20" customFormat="1" ht="17" customHeight="1" x14ac:dyDescent="0.2">
      <c r="A7" s="23"/>
      <c r="B7" s="23"/>
      <c r="C7" s="23"/>
      <c r="D7" s="88"/>
      <c r="E7" s="23"/>
      <c r="F7" s="23"/>
      <c r="G7" s="23"/>
      <c r="H7" s="271"/>
      <c r="I7" s="271"/>
      <c r="J7" s="20">
        <v>3022</v>
      </c>
      <c r="K7" s="20" t="s">
        <v>76</v>
      </c>
      <c r="L7" s="38" t="s">
        <v>77</v>
      </c>
      <c r="M7" s="19">
        <f>(22*9.5+16*10.5)/38</f>
        <v>9.9210526315789469</v>
      </c>
      <c r="N7" s="19">
        <v>1</v>
      </c>
      <c r="O7" s="19" t="s">
        <v>52</v>
      </c>
      <c r="P7" s="19">
        <f>34/38</f>
        <v>0.89473684210526316</v>
      </c>
      <c r="Q7" s="19">
        <f>12/38</f>
        <v>0.31578947368421051</v>
      </c>
      <c r="R7" s="19">
        <f>18/38</f>
        <v>0.47368421052631576</v>
      </c>
      <c r="S7" s="19">
        <f>37/38</f>
        <v>0.97368421052631582</v>
      </c>
      <c r="T7" s="43" t="s">
        <v>69</v>
      </c>
      <c r="U7" s="24" t="s">
        <v>112</v>
      </c>
      <c r="V7" s="20" t="s">
        <v>71</v>
      </c>
      <c r="W7" s="20" t="s">
        <v>56</v>
      </c>
      <c r="X7" s="20" t="s">
        <v>57</v>
      </c>
      <c r="Y7" s="20" t="s">
        <v>72</v>
      </c>
      <c r="Z7" s="20">
        <f>40*40</f>
        <v>1600</v>
      </c>
      <c r="AA7" s="20">
        <v>40</v>
      </c>
      <c r="AB7" s="20">
        <v>40</v>
      </c>
      <c r="AC7" s="20" t="s">
        <v>59</v>
      </c>
      <c r="AD7" s="20" t="s">
        <v>73</v>
      </c>
      <c r="AE7" s="20" t="s">
        <v>61</v>
      </c>
      <c r="AF7" s="60"/>
      <c r="AG7" s="60"/>
      <c r="AH7" s="20">
        <v>86.79</v>
      </c>
      <c r="AI7" s="20">
        <v>6.96</v>
      </c>
      <c r="AJ7" s="20">
        <v>38</v>
      </c>
      <c r="AK7" s="20">
        <v>91.16</v>
      </c>
      <c r="AL7" s="20">
        <v>7.53</v>
      </c>
      <c r="AM7" s="20">
        <v>38</v>
      </c>
      <c r="AU7" s="20">
        <v>0</v>
      </c>
      <c r="AV7" s="2"/>
    </row>
    <row r="8" spans="1:48" s="20" customFormat="1" ht="17" customHeight="1" x14ac:dyDescent="0.2">
      <c r="A8" s="23"/>
      <c r="B8" s="23"/>
      <c r="C8" s="23"/>
      <c r="D8" s="88"/>
      <c r="E8" s="23"/>
      <c r="F8" s="23"/>
      <c r="G8" s="23"/>
      <c r="H8" s="271"/>
      <c r="I8" s="271"/>
      <c r="L8" s="38"/>
      <c r="M8" s="19"/>
      <c r="N8" s="19"/>
      <c r="O8" s="19"/>
      <c r="P8" s="19"/>
      <c r="Q8" s="19"/>
      <c r="R8" s="19"/>
      <c r="S8" s="19"/>
      <c r="U8" s="24"/>
      <c r="AD8" s="20" t="s">
        <v>75</v>
      </c>
      <c r="AE8" s="20" t="s">
        <v>61</v>
      </c>
      <c r="AF8" s="60"/>
      <c r="AG8" s="60"/>
      <c r="AH8" s="20">
        <v>89.3</v>
      </c>
      <c r="AI8" s="20">
        <v>10.49</v>
      </c>
      <c r="AJ8" s="20">
        <v>38</v>
      </c>
      <c r="AK8" s="20">
        <v>91.88</v>
      </c>
      <c r="AL8" s="20">
        <v>6.38</v>
      </c>
      <c r="AM8" s="20">
        <v>38</v>
      </c>
      <c r="AU8" s="20">
        <v>0</v>
      </c>
      <c r="AV8" s="2"/>
    </row>
    <row r="9" spans="1:48" s="20" customFormat="1" ht="17" customHeight="1" x14ac:dyDescent="0.2">
      <c r="A9" s="23"/>
      <c r="B9" s="23"/>
      <c r="C9" s="23"/>
      <c r="D9" s="88"/>
      <c r="E9" s="23"/>
      <c r="F9" s="23"/>
      <c r="G9" s="23"/>
      <c r="H9" s="271"/>
      <c r="I9" s="271"/>
      <c r="J9" s="20">
        <v>3023</v>
      </c>
      <c r="K9" s="20" t="s">
        <v>78</v>
      </c>
      <c r="L9" s="38" t="s">
        <v>77</v>
      </c>
      <c r="M9" s="19">
        <f>(20*9.5+17*10.5)/37</f>
        <v>9.9594594594594597</v>
      </c>
      <c r="N9" s="19">
        <v>1</v>
      </c>
      <c r="O9" s="19" t="s">
        <v>52</v>
      </c>
      <c r="P9" s="19">
        <f>34/37</f>
        <v>0.91891891891891897</v>
      </c>
      <c r="Q9" s="19">
        <f>13/37</f>
        <v>0.35135135135135137</v>
      </c>
      <c r="R9" s="19">
        <f>17/37</f>
        <v>0.45945945945945948</v>
      </c>
      <c r="S9" s="19">
        <f>36/37</f>
        <v>0.97297297297297303</v>
      </c>
      <c r="T9" s="20" t="s">
        <v>78</v>
      </c>
      <c r="U9" s="24" t="s">
        <v>79</v>
      </c>
      <c r="V9" s="20" t="s">
        <v>80</v>
      </c>
      <c r="W9" s="20" t="s">
        <v>78</v>
      </c>
      <c r="X9" s="20" t="s">
        <v>78</v>
      </c>
      <c r="Y9" s="20" t="s">
        <v>78</v>
      </c>
      <c r="Z9" s="20" t="s">
        <v>78</v>
      </c>
      <c r="AA9" s="20" t="s">
        <v>78</v>
      </c>
      <c r="AB9" s="20" t="s">
        <v>78</v>
      </c>
      <c r="AC9" s="20" t="s">
        <v>78</v>
      </c>
      <c r="AD9" s="20" t="s">
        <v>73</v>
      </c>
      <c r="AE9" s="20" t="s">
        <v>61</v>
      </c>
      <c r="AF9" s="60"/>
      <c r="AG9" s="60"/>
      <c r="AH9" s="20">
        <v>87.19</v>
      </c>
      <c r="AI9" s="20">
        <v>6.97</v>
      </c>
      <c r="AJ9" s="20">
        <v>37</v>
      </c>
      <c r="AK9" s="20">
        <v>89.06</v>
      </c>
      <c r="AL9" s="20">
        <v>6.59</v>
      </c>
      <c r="AM9" s="20">
        <v>36</v>
      </c>
      <c r="AU9" s="20">
        <v>0</v>
      </c>
      <c r="AV9" s="2"/>
    </row>
    <row r="10" spans="1:48" s="21" customFormat="1" ht="17" customHeight="1" x14ac:dyDescent="0.2">
      <c r="A10" s="26"/>
      <c r="B10" s="26"/>
      <c r="C10" s="26"/>
      <c r="D10" s="89"/>
      <c r="E10" s="26"/>
      <c r="F10" s="26"/>
      <c r="G10" s="26"/>
      <c r="H10" s="272"/>
      <c r="I10" s="272"/>
      <c r="L10" s="39"/>
      <c r="M10" s="22"/>
      <c r="N10" s="22"/>
      <c r="O10" s="22"/>
      <c r="P10" s="22"/>
      <c r="Q10" s="22"/>
      <c r="R10" s="22"/>
      <c r="S10" s="22"/>
      <c r="U10" s="27"/>
      <c r="AD10" s="21" t="s">
        <v>75</v>
      </c>
      <c r="AE10" s="21" t="s">
        <v>61</v>
      </c>
      <c r="AF10" s="63"/>
      <c r="AG10" s="60"/>
      <c r="AH10" s="21">
        <v>91.31</v>
      </c>
      <c r="AI10" s="21">
        <v>9.9700000000000006</v>
      </c>
      <c r="AJ10" s="21">
        <v>36</v>
      </c>
      <c r="AK10" s="21">
        <v>90.8</v>
      </c>
      <c r="AL10" s="21">
        <v>7.82</v>
      </c>
      <c r="AM10" s="21">
        <v>36</v>
      </c>
      <c r="AU10" s="21">
        <v>0</v>
      </c>
      <c r="AV10" s="28"/>
    </row>
    <row r="11" spans="1:48" ht="17" customHeight="1" x14ac:dyDescent="0.2">
      <c r="A11" s="13" t="s">
        <v>81</v>
      </c>
      <c r="B11" s="13">
        <v>303</v>
      </c>
      <c r="C11" s="13" t="s">
        <v>47</v>
      </c>
      <c r="D11" s="88" t="s">
        <v>690</v>
      </c>
      <c r="E11" s="13" t="s">
        <v>66</v>
      </c>
      <c r="F11" s="13" t="s">
        <v>49</v>
      </c>
      <c r="G11" s="13" t="s">
        <v>50</v>
      </c>
      <c r="J11" s="11">
        <v>3031</v>
      </c>
      <c r="K11" s="11" t="s">
        <v>67</v>
      </c>
      <c r="L11" s="40" t="s">
        <v>83</v>
      </c>
      <c r="M11" s="19">
        <f xml:space="preserve"> (39*8.5+20*9.5)/59</f>
        <v>8.8389830508474585</v>
      </c>
      <c r="N11" s="17">
        <v>1</v>
      </c>
      <c r="O11" s="17" t="s">
        <v>52</v>
      </c>
      <c r="P11" s="44">
        <f>(86.5+51)/2/100</f>
        <v>0.6875</v>
      </c>
      <c r="Q11" s="17" t="s">
        <v>52</v>
      </c>
      <c r="R11" s="17">
        <f>29/59</f>
        <v>0.49152542372881358</v>
      </c>
      <c r="S11" s="19">
        <f>(0.975+0.85)/2</f>
        <v>0.91249999999999998</v>
      </c>
      <c r="T11" s="20" t="s">
        <v>69</v>
      </c>
      <c r="U11" s="12" t="s">
        <v>113</v>
      </c>
      <c r="V11" s="11" t="s">
        <v>71</v>
      </c>
      <c r="W11" s="11" t="s">
        <v>56</v>
      </c>
      <c r="X11" s="11" t="s">
        <v>57</v>
      </c>
      <c r="Y11" s="11" t="s">
        <v>72</v>
      </c>
      <c r="Z11" s="45">
        <f>35*24</f>
        <v>840</v>
      </c>
      <c r="AA11" s="45">
        <v>24</v>
      </c>
      <c r="AB11" s="45">
        <v>35</v>
      </c>
      <c r="AC11" s="11" t="s">
        <v>59</v>
      </c>
      <c r="AD11" s="11" t="s">
        <v>114</v>
      </c>
      <c r="AE11" s="11" t="s">
        <v>61</v>
      </c>
      <c r="AF11" s="60" t="s">
        <v>536</v>
      </c>
      <c r="AG11" s="126" t="s">
        <v>693</v>
      </c>
      <c r="AH11" s="11">
        <v>98.33</v>
      </c>
      <c r="AI11" s="11">
        <v>10.6</v>
      </c>
      <c r="AJ11" s="11">
        <v>18</v>
      </c>
      <c r="AK11" s="11">
        <v>97.17</v>
      </c>
      <c r="AL11" s="11">
        <v>7.9</v>
      </c>
      <c r="AM11" s="11">
        <v>18</v>
      </c>
      <c r="AU11" s="11">
        <v>0</v>
      </c>
      <c r="AV11" s="1" t="s">
        <v>86</v>
      </c>
    </row>
    <row r="12" spans="1:48" ht="17" customHeight="1" x14ac:dyDescent="0.2">
      <c r="A12" s="13"/>
      <c r="B12" s="13"/>
      <c r="C12" s="13"/>
      <c r="E12" s="13"/>
      <c r="F12" s="13"/>
      <c r="G12" s="13"/>
      <c r="J12" s="11">
        <v>3032</v>
      </c>
      <c r="K12" s="11" t="s">
        <v>76</v>
      </c>
      <c r="L12" s="40" t="s">
        <v>83</v>
      </c>
      <c r="M12" s="19">
        <f xml:space="preserve"> (39*8.5+20*9.5)/59</f>
        <v>8.8389830508474585</v>
      </c>
      <c r="N12" s="17">
        <v>1</v>
      </c>
      <c r="O12" s="17" t="s">
        <v>52</v>
      </c>
      <c r="P12" s="44">
        <f>(86.5+51)/2/100</f>
        <v>0.6875</v>
      </c>
      <c r="Q12" s="17" t="s">
        <v>52</v>
      </c>
      <c r="R12" s="17">
        <f>29/59</f>
        <v>0.49152542372881358</v>
      </c>
      <c r="S12" s="19">
        <f>(0.975+0.85)/2</f>
        <v>0.91249999999999998</v>
      </c>
      <c r="T12" s="20" t="s">
        <v>69</v>
      </c>
      <c r="U12" s="12" t="s">
        <v>113</v>
      </c>
      <c r="V12" s="11" t="s">
        <v>71</v>
      </c>
      <c r="W12" s="11" t="s">
        <v>56</v>
      </c>
      <c r="X12" s="11" t="s">
        <v>57</v>
      </c>
      <c r="Y12" s="11" t="s">
        <v>72</v>
      </c>
      <c r="Z12" s="11">
        <f>40*24</f>
        <v>960</v>
      </c>
      <c r="AA12" s="11">
        <v>24</v>
      </c>
      <c r="AB12" s="11">
        <v>40</v>
      </c>
      <c r="AC12" s="11" t="s">
        <v>59</v>
      </c>
      <c r="AD12" s="11" t="s">
        <v>114</v>
      </c>
      <c r="AE12" s="11" t="s">
        <v>61</v>
      </c>
      <c r="AH12" s="11">
        <v>94.89</v>
      </c>
      <c r="AI12" s="11">
        <v>9.64</v>
      </c>
      <c r="AJ12" s="11">
        <v>19</v>
      </c>
      <c r="AK12" s="11">
        <v>100.47</v>
      </c>
      <c r="AL12" s="11">
        <v>9.9700000000000006</v>
      </c>
      <c r="AM12" s="11">
        <v>19</v>
      </c>
      <c r="AU12" s="11">
        <v>0</v>
      </c>
    </row>
    <row r="13" spans="1:48" s="31" customFormat="1" ht="17" customHeight="1" x14ac:dyDescent="0.2">
      <c r="A13" s="30"/>
      <c r="B13" s="30"/>
      <c r="C13" s="30"/>
      <c r="D13" s="89"/>
      <c r="E13" s="30"/>
      <c r="F13" s="30"/>
      <c r="G13" s="30"/>
      <c r="H13" s="274"/>
      <c r="I13" s="274"/>
      <c r="J13" s="31">
        <v>3033</v>
      </c>
      <c r="K13" s="31" t="s">
        <v>78</v>
      </c>
      <c r="L13" s="41" t="s">
        <v>83</v>
      </c>
      <c r="M13" s="22">
        <f xml:space="preserve"> (39*8.5+20*9.5)/59</f>
        <v>8.8389830508474585</v>
      </c>
      <c r="N13" s="32">
        <v>1</v>
      </c>
      <c r="O13" s="32" t="s">
        <v>52</v>
      </c>
      <c r="P13" s="47">
        <f>(86.5+51)/2/100</f>
        <v>0.6875</v>
      </c>
      <c r="Q13" s="32" t="s">
        <v>52</v>
      </c>
      <c r="R13" s="32">
        <f>29/59</f>
        <v>0.49152542372881358</v>
      </c>
      <c r="S13" s="22">
        <f>(0.975+0.85)/2</f>
        <v>0.91249999999999998</v>
      </c>
      <c r="T13" s="31" t="s">
        <v>78</v>
      </c>
      <c r="U13" s="33" t="s">
        <v>115</v>
      </c>
      <c r="V13" s="50" t="s">
        <v>80</v>
      </c>
      <c r="W13" s="31" t="s">
        <v>78</v>
      </c>
      <c r="X13" s="31" t="s">
        <v>78</v>
      </c>
      <c r="Y13" s="31" t="s">
        <v>78</v>
      </c>
      <c r="Z13" s="31" t="s">
        <v>78</v>
      </c>
      <c r="AA13" s="31" t="s">
        <v>78</v>
      </c>
      <c r="AB13" s="21" t="s">
        <v>78</v>
      </c>
      <c r="AC13" s="31" t="s">
        <v>78</v>
      </c>
      <c r="AD13" s="31" t="s">
        <v>114</v>
      </c>
      <c r="AE13" s="31" t="s">
        <v>61</v>
      </c>
      <c r="AF13" s="63"/>
      <c r="AG13" s="63"/>
      <c r="AH13" s="31">
        <v>90.36</v>
      </c>
      <c r="AI13" s="31">
        <v>10.61</v>
      </c>
      <c r="AJ13" s="31">
        <v>22</v>
      </c>
      <c r="AK13" s="31">
        <v>94.91</v>
      </c>
      <c r="AL13" s="31">
        <v>14.33</v>
      </c>
      <c r="AM13" s="31">
        <v>21</v>
      </c>
      <c r="AU13" s="31">
        <v>0</v>
      </c>
      <c r="AV13" s="34"/>
    </row>
    <row r="14" spans="1:48" ht="17" customHeight="1" x14ac:dyDescent="0.2">
      <c r="A14" s="13" t="s">
        <v>89</v>
      </c>
      <c r="B14" s="13">
        <v>304</v>
      </c>
      <c r="C14" s="13" t="s">
        <v>47</v>
      </c>
      <c r="D14" s="88" t="s">
        <v>690</v>
      </c>
      <c r="E14" s="13" t="s">
        <v>66</v>
      </c>
      <c r="F14" s="13" t="s">
        <v>49</v>
      </c>
      <c r="G14" s="13" t="s">
        <v>50</v>
      </c>
      <c r="J14" s="11">
        <v>3041</v>
      </c>
      <c r="K14" s="11" t="s">
        <v>116</v>
      </c>
      <c r="L14" s="40" t="s">
        <v>91</v>
      </c>
      <c r="M14" s="17">
        <v>14.737500000000001</v>
      </c>
      <c r="N14" s="17">
        <v>1</v>
      </c>
      <c r="O14" s="17">
        <v>1</v>
      </c>
      <c r="P14" s="17" t="s">
        <v>52</v>
      </c>
      <c r="Q14" s="17">
        <f>6/20</f>
        <v>0.3</v>
      </c>
      <c r="R14" s="17">
        <f>15/20</f>
        <v>0.75</v>
      </c>
      <c r="S14" s="17">
        <f>15/20</f>
        <v>0.75</v>
      </c>
      <c r="T14" s="11" t="s">
        <v>92</v>
      </c>
      <c r="U14" s="12" t="s">
        <v>117</v>
      </c>
      <c r="V14" s="11" t="s">
        <v>71</v>
      </c>
      <c r="W14" s="11" t="s">
        <v>56</v>
      </c>
      <c r="X14" s="43" t="s">
        <v>57</v>
      </c>
      <c r="Y14" s="45" t="s">
        <v>72</v>
      </c>
      <c r="Z14" s="11">
        <v>360</v>
      </c>
      <c r="AA14" s="11">
        <v>12</v>
      </c>
      <c r="AB14" s="11">
        <v>30</v>
      </c>
      <c r="AC14" s="11" t="s">
        <v>59</v>
      </c>
      <c r="AD14" s="11" t="s">
        <v>118</v>
      </c>
      <c r="AE14" s="11" t="s">
        <v>95</v>
      </c>
      <c r="AF14" s="60" t="s">
        <v>459</v>
      </c>
      <c r="AG14" s="60" t="s">
        <v>52</v>
      </c>
      <c r="AH14" s="11">
        <v>3.8</v>
      </c>
      <c r="AI14" s="11">
        <v>1.28</v>
      </c>
      <c r="AJ14" s="11">
        <v>20</v>
      </c>
      <c r="AK14" s="11">
        <v>7.5</v>
      </c>
      <c r="AL14" s="11">
        <v>2.1800000000000002</v>
      </c>
      <c r="AM14" s="11">
        <v>20</v>
      </c>
      <c r="AU14" s="11">
        <v>1</v>
      </c>
      <c r="AV14" s="1" t="s">
        <v>97</v>
      </c>
    </row>
    <row r="15" spans="1:48" ht="17" customHeight="1" x14ac:dyDescent="0.2">
      <c r="A15" s="13"/>
      <c r="B15" s="13"/>
      <c r="C15" s="13"/>
      <c r="E15" s="13"/>
      <c r="F15" s="13"/>
      <c r="G15" s="13"/>
      <c r="L15" s="40"/>
      <c r="AD15" s="11" t="s">
        <v>119</v>
      </c>
      <c r="AE15" s="11" t="s">
        <v>95</v>
      </c>
      <c r="AF15" s="60" t="s">
        <v>459</v>
      </c>
      <c r="AG15" s="60" t="s">
        <v>52</v>
      </c>
      <c r="AH15" s="11">
        <v>6.55</v>
      </c>
      <c r="AI15" s="11">
        <v>2.2799999999999998</v>
      </c>
      <c r="AJ15" s="11">
        <v>20</v>
      </c>
      <c r="AK15" s="11">
        <v>8.9499999999999993</v>
      </c>
      <c r="AL15" s="11">
        <v>3.49</v>
      </c>
      <c r="AM15" s="11">
        <v>20</v>
      </c>
      <c r="AU15" s="11">
        <v>1</v>
      </c>
    </row>
    <row r="16" spans="1:48" ht="17" customHeight="1" x14ac:dyDescent="0.2">
      <c r="A16" s="13"/>
      <c r="B16" s="13"/>
      <c r="C16" s="13"/>
      <c r="E16" s="13"/>
      <c r="F16" s="13"/>
      <c r="G16" s="13"/>
      <c r="J16" s="11">
        <v>3042</v>
      </c>
      <c r="K16" s="11" t="s">
        <v>99</v>
      </c>
      <c r="L16" s="40" t="s">
        <v>91</v>
      </c>
      <c r="M16" s="17">
        <v>14.737500000000001</v>
      </c>
      <c r="N16" s="17">
        <v>1</v>
      </c>
      <c r="O16" s="17">
        <v>1</v>
      </c>
      <c r="P16" s="17" t="s">
        <v>52</v>
      </c>
      <c r="Q16" s="17">
        <f>8/19</f>
        <v>0.42105263157894735</v>
      </c>
      <c r="R16" s="17">
        <f>11/19</f>
        <v>0.57894736842105265</v>
      </c>
      <c r="S16" s="17">
        <f>18/19</f>
        <v>0.94736842105263153</v>
      </c>
      <c r="T16" s="11" t="s">
        <v>92</v>
      </c>
      <c r="U16" s="12" t="s">
        <v>120</v>
      </c>
      <c r="V16" s="11" t="s">
        <v>71</v>
      </c>
      <c r="W16" s="11" t="s">
        <v>56</v>
      </c>
      <c r="X16" s="43" t="s">
        <v>57</v>
      </c>
      <c r="Y16" s="11" t="s">
        <v>58</v>
      </c>
      <c r="Z16" s="11">
        <v>360</v>
      </c>
      <c r="AA16" s="11">
        <v>12</v>
      </c>
      <c r="AB16" s="11">
        <v>30</v>
      </c>
      <c r="AC16" s="11" t="s">
        <v>59</v>
      </c>
      <c r="AD16" s="11" t="s">
        <v>118</v>
      </c>
      <c r="AE16" s="11" t="s">
        <v>95</v>
      </c>
      <c r="AH16" s="11">
        <v>3.61</v>
      </c>
      <c r="AI16" s="11">
        <v>1.72</v>
      </c>
      <c r="AJ16" s="11">
        <v>19</v>
      </c>
      <c r="AK16" s="11">
        <v>6.4</v>
      </c>
      <c r="AL16" s="11">
        <v>1.81</v>
      </c>
      <c r="AM16" s="11">
        <v>19</v>
      </c>
      <c r="AU16" s="11">
        <v>1</v>
      </c>
    </row>
    <row r="17" spans="1:48" ht="17" customHeight="1" x14ac:dyDescent="0.2">
      <c r="A17" s="13"/>
      <c r="B17" s="13"/>
      <c r="C17" s="13"/>
      <c r="E17" s="13"/>
      <c r="F17" s="13"/>
      <c r="G17" s="13"/>
      <c r="L17" s="40"/>
      <c r="AD17" s="11" t="s">
        <v>119</v>
      </c>
      <c r="AE17" s="11" t="s">
        <v>95</v>
      </c>
      <c r="AH17" s="11">
        <v>5.89</v>
      </c>
      <c r="AI17" s="11">
        <v>2.16</v>
      </c>
      <c r="AJ17" s="11">
        <v>19</v>
      </c>
      <c r="AK17" s="11">
        <v>7.84</v>
      </c>
      <c r="AL17" s="11">
        <v>3.83</v>
      </c>
      <c r="AM17" s="11">
        <v>19</v>
      </c>
      <c r="AU17" s="11">
        <v>1</v>
      </c>
    </row>
    <row r="18" spans="1:48" ht="17" customHeight="1" x14ac:dyDescent="0.2">
      <c r="A18" s="13"/>
      <c r="B18" s="13"/>
      <c r="C18" s="13"/>
      <c r="E18" s="13"/>
      <c r="F18" s="13"/>
      <c r="G18" s="13"/>
      <c r="J18" s="11">
        <v>3043</v>
      </c>
      <c r="K18" s="11" t="s">
        <v>100</v>
      </c>
      <c r="L18" s="40" t="s">
        <v>91</v>
      </c>
      <c r="M18" s="17">
        <v>14.737500000000001</v>
      </c>
      <c r="N18" s="17">
        <v>1</v>
      </c>
      <c r="O18" s="17">
        <v>1</v>
      </c>
      <c r="P18" s="17" t="s">
        <v>52</v>
      </c>
      <c r="Q18" s="17">
        <f>9/20</f>
        <v>0.45</v>
      </c>
      <c r="R18" s="17">
        <f>14/20</f>
        <v>0.7</v>
      </c>
      <c r="S18" s="17">
        <f>19/20</f>
        <v>0.95</v>
      </c>
      <c r="T18" s="43" t="s">
        <v>53</v>
      </c>
      <c r="U18" s="51" t="s">
        <v>121</v>
      </c>
      <c r="V18" s="43" t="s">
        <v>55</v>
      </c>
      <c r="W18" s="43" t="s">
        <v>56</v>
      </c>
      <c r="X18" s="43" t="s">
        <v>57</v>
      </c>
      <c r="Y18" s="11" t="s">
        <v>58</v>
      </c>
      <c r="Z18" s="11">
        <v>360</v>
      </c>
      <c r="AA18" s="11">
        <v>12</v>
      </c>
      <c r="AB18" s="11">
        <v>30</v>
      </c>
      <c r="AC18" s="11" t="s">
        <v>59</v>
      </c>
      <c r="AD18" s="11" t="s">
        <v>118</v>
      </c>
      <c r="AE18" s="11" t="s">
        <v>95</v>
      </c>
      <c r="AH18" s="11">
        <v>3.95</v>
      </c>
      <c r="AI18" s="11">
        <v>1.46</v>
      </c>
      <c r="AJ18" s="11">
        <v>20</v>
      </c>
      <c r="AK18" s="11">
        <v>4.83</v>
      </c>
      <c r="AL18" s="11">
        <v>1.52</v>
      </c>
      <c r="AM18" s="11">
        <v>20</v>
      </c>
      <c r="AU18" s="11">
        <v>1</v>
      </c>
    </row>
    <row r="19" spans="1:48" s="31" customFormat="1" ht="17" customHeight="1" x14ac:dyDescent="0.2">
      <c r="A19" s="30"/>
      <c r="B19" s="30"/>
      <c r="C19" s="30"/>
      <c r="D19" s="89"/>
      <c r="E19" s="30"/>
      <c r="F19" s="30"/>
      <c r="G19" s="30"/>
      <c r="H19" s="274"/>
      <c r="I19" s="274"/>
      <c r="L19" s="41"/>
      <c r="M19" s="32"/>
      <c r="N19" s="32"/>
      <c r="O19" s="32"/>
      <c r="P19" s="32"/>
      <c r="Q19" s="32"/>
      <c r="R19" s="32"/>
      <c r="S19" s="32"/>
      <c r="U19" s="33"/>
      <c r="AD19" s="31" t="s">
        <v>119</v>
      </c>
      <c r="AE19" s="31" t="s">
        <v>95</v>
      </c>
      <c r="AF19" s="60"/>
      <c r="AG19" s="60"/>
      <c r="AH19" s="31">
        <v>5.8</v>
      </c>
      <c r="AI19" s="31">
        <v>2.34</v>
      </c>
      <c r="AJ19" s="31">
        <v>20</v>
      </c>
      <c r="AK19" s="31">
        <v>8.4499999999999993</v>
      </c>
      <c r="AL19" s="31">
        <v>3.83</v>
      </c>
      <c r="AM19" s="31">
        <v>20</v>
      </c>
      <c r="AU19" s="31">
        <v>1</v>
      </c>
      <c r="AV19" s="34"/>
    </row>
    <row r="20" spans="1:48" ht="17" customHeight="1" x14ac:dyDescent="0.2">
      <c r="A20" s="13" t="s">
        <v>103</v>
      </c>
      <c r="B20" s="13">
        <v>305</v>
      </c>
      <c r="C20" s="13" t="s">
        <v>47</v>
      </c>
      <c r="D20" s="88" t="s">
        <v>690</v>
      </c>
      <c r="E20" s="13" t="s">
        <v>66</v>
      </c>
      <c r="F20" s="13" t="s">
        <v>49</v>
      </c>
      <c r="G20" s="13" t="s">
        <v>50</v>
      </c>
      <c r="J20" s="11">
        <v>3051</v>
      </c>
      <c r="K20" s="11" t="s">
        <v>122</v>
      </c>
      <c r="L20" s="40" t="s">
        <v>68</v>
      </c>
      <c r="M20" s="19">
        <v>11.2</v>
      </c>
      <c r="N20" s="19">
        <v>1</v>
      </c>
      <c r="O20" s="19" t="s">
        <v>52</v>
      </c>
      <c r="P20" s="19">
        <v>0.85</v>
      </c>
      <c r="Q20" s="44">
        <f>21/33</f>
        <v>0.63636363636363635</v>
      </c>
      <c r="R20" s="17">
        <f>15/33</f>
        <v>0.45454545454545453</v>
      </c>
      <c r="S20" s="17">
        <f>1-0.12</f>
        <v>0.88</v>
      </c>
      <c r="T20" s="11" t="s">
        <v>92</v>
      </c>
      <c r="U20" s="12" t="s">
        <v>123</v>
      </c>
      <c r="V20" s="11" t="s">
        <v>71</v>
      </c>
      <c r="W20" s="11" t="s">
        <v>56</v>
      </c>
      <c r="X20" s="11" t="s">
        <v>57</v>
      </c>
      <c r="Y20" s="45" t="s">
        <v>72</v>
      </c>
      <c r="Z20" s="11">
        <f>35*15</f>
        <v>525</v>
      </c>
      <c r="AA20" s="11">
        <v>15</v>
      </c>
      <c r="AB20" s="11">
        <v>35</v>
      </c>
      <c r="AC20" s="43" t="s">
        <v>59</v>
      </c>
      <c r="AD20" s="11" t="s">
        <v>124</v>
      </c>
      <c r="AE20" s="43" t="s">
        <v>95</v>
      </c>
      <c r="AF20" s="126" t="s">
        <v>459</v>
      </c>
      <c r="AG20" s="126" t="s">
        <v>543</v>
      </c>
      <c r="AH20" s="11">
        <v>7.8</v>
      </c>
      <c r="AI20" s="11">
        <v>2.5</v>
      </c>
      <c r="AJ20" s="11">
        <v>11</v>
      </c>
      <c r="AK20" s="11">
        <v>12.5</v>
      </c>
      <c r="AL20" s="11">
        <v>3.7</v>
      </c>
      <c r="AM20" s="11">
        <v>11</v>
      </c>
      <c r="AU20" s="11">
        <v>0</v>
      </c>
      <c r="AV20" s="1" t="s">
        <v>108</v>
      </c>
    </row>
    <row r="21" spans="1:48" ht="17" customHeight="1" x14ac:dyDescent="0.2">
      <c r="A21" s="13"/>
      <c r="B21" s="13"/>
      <c r="C21" s="13"/>
      <c r="E21" s="13"/>
      <c r="F21" s="13"/>
      <c r="G21" s="13"/>
      <c r="J21" s="11">
        <v>3052</v>
      </c>
      <c r="K21" s="11" t="s">
        <v>125</v>
      </c>
      <c r="L21" s="40" t="s">
        <v>68</v>
      </c>
      <c r="M21" s="19">
        <v>11.2</v>
      </c>
      <c r="N21" s="19">
        <v>1</v>
      </c>
      <c r="O21" s="19" t="s">
        <v>52</v>
      </c>
      <c r="P21" s="19">
        <v>0.85</v>
      </c>
      <c r="Q21" s="44">
        <f>21/33</f>
        <v>0.63636363636363635</v>
      </c>
      <c r="R21" s="17">
        <f>15/33</f>
        <v>0.45454545454545453</v>
      </c>
      <c r="S21" s="17">
        <f>1-0.12</f>
        <v>0.88</v>
      </c>
      <c r="T21" s="11" t="s">
        <v>92</v>
      </c>
      <c r="U21" s="12" t="s">
        <v>123</v>
      </c>
      <c r="V21" s="11" t="s">
        <v>71</v>
      </c>
      <c r="W21" s="11" t="s">
        <v>56</v>
      </c>
      <c r="X21" s="11" t="s">
        <v>57</v>
      </c>
      <c r="Y21" s="45" t="s">
        <v>72</v>
      </c>
      <c r="Z21" s="11">
        <f>35*15</f>
        <v>525</v>
      </c>
      <c r="AA21" s="11">
        <v>15</v>
      </c>
      <c r="AB21" s="11">
        <v>35</v>
      </c>
      <c r="AC21" s="43" t="s">
        <v>59</v>
      </c>
      <c r="AD21" s="11" t="s">
        <v>124</v>
      </c>
      <c r="AE21" s="43" t="s">
        <v>95</v>
      </c>
      <c r="AH21" s="11">
        <v>7.8</v>
      </c>
      <c r="AI21" s="11">
        <v>1.9</v>
      </c>
      <c r="AJ21" s="11">
        <v>11</v>
      </c>
      <c r="AK21" s="11">
        <v>11.5</v>
      </c>
      <c r="AL21" s="11">
        <v>3.4</v>
      </c>
      <c r="AM21" s="11">
        <v>11</v>
      </c>
      <c r="AU21" s="11">
        <v>0</v>
      </c>
    </row>
    <row r="22" spans="1:48" s="31" customFormat="1" ht="17" customHeight="1" x14ac:dyDescent="0.2">
      <c r="A22" s="30"/>
      <c r="B22" s="30"/>
      <c r="C22" s="30"/>
      <c r="D22" s="89"/>
      <c r="E22" s="30"/>
      <c r="F22" s="30"/>
      <c r="G22" s="30"/>
      <c r="H22" s="274"/>
      <c r="I22" s="274"/>
      <c r="J22" s="31">
        <v>3053</v>
      </c>
      <c r="K22" s="31" t="s">
        <v>126</v>
      </c>
      <c r="L22" s="41" t="s">
        <v>68</v>
      </c>
      <c r="M22" s="22">
        <v>11.2</v>
      </c>
      <c r="N22" s="22">
        <v>1</v>
      </c>
      <c r="O22" s="22" t="s">
        <v>52</v>
      </c>
      <c r="P22" s="22">
        <v>0.85</v>
      </c>
      <c r="Q22" s="47">
        <f>21/33</f>
        <v>0.63636363636363635</v>
      </c>
      <c r="R22" s="32">
        <f>15/33</f>
        <v>0.45454545454545453</v>
      </c>
      <c r="S22" s="32">
        <f>1-0.12</f>
        <v>0.88</v>
      </c>
      <c r="T22" s="31" t="s">
        <v>92</v>
      </c>
      <c r="U22" s="33" t="s">
        <v>123</v>
      </c>
      <c r="V22" s="31" t="s">
        <v>71</v>
      </c>
      <c r="W22" s="31" t="s">
        <v>56</v>
      </c>
      <c r="X22" s="31" t="s">
        <v>57</v>
      </c>
      <c r="Y22" s="50" t="s">
        <v>72</v>
      </c>
      <c r="Z22" s="31">
        <f>35*15</f>
        <v>525</v>
      </c>
      <c r="AA22" s="31">
        <v>15</v>
      </c>
      <c r="AB22" s="31">
        <v>35</v>
      </c>
      <c r="AC22" s="49" t="s">
        <v>59</v>
      </c>
      <c r="AD22" s="31" t="s">
        <v>124</v>
      </c>
      <c r="AE22" s="49" t="s">
        <v>95</v>
      </c>
      <c r="AF22" s="63"/>
      <c r="AG22" s="63"/>
      <c r="AH22" s="31">
        <v>7.6</v>
      </c>
      <c r="AI22" s="31">
        <v>2.9</v>
      </c>
      <c r="AJ22" s="31">
        <v>11</v>
      </c>
      <c r="AK22" s="31">
        <v>8.5</v>
      </c>
      <c r="AL22" s="31">
        <v>2.2000000000000002</v>
      </c>
      <c r="AM22" s="31">
        <v>11</v>
      </c>
      <c r="AU22" s="31">
        <v>0</v>
      </c>
      <c r="AV22" s="34"/>
    </row>
    <row r="23" spans="1:48" ht="17" customHeight="1" x14ac:dyDescent="0.2">
      <c r="A23" s="13" t="s">
        <v>145</v>
      </c>
      <c r="B23" s="13">
        <v>306</v>
      </c>
      <c r="C23" s="13" t="s">
        <v>47</v>
      </c>
      <c r="D23" s="88" t="s">
        <v>690</v>
      </c>
      <c r="E23" s="13" t="s">
        <v>66</v>
      </c>
      <c r="F23" s="13" t="s">
        <v>49</v>
      </c>
      <c r="G23" s="13" t="s">
        <v>50</v>
      </c>
      <c r="J23" s="11">
        <v>3061</v>
      </c>
      <c r="K23" s="11" t="s">
        <v>125</v>
      </c>
      <c r="L23" s="40" t="s">
        <v>146</v>
      </c>
      <c r="M23" s="17">
        <v>11.3</v>
      </c>
      <c r="N23" s="17">
        <v>1</v>
      </c>
      <c r="O23" s="17" t="s">
        <v>52</v>
      </c>
      <c r="P23" s="17">
        <v>0.85</v>
      </c>
      <c r="Q23" s="17">
        <v>0.53</v>
      </c>
      <c r="R23" s="17">
        <f>16/30</f>
        <v>0.53333333333333333</v>
      </c>
      <c r="S23" s="17">
        <f>1-0.18</f>
        <v>0.82000000000000006</v>
      </c>
      <c r="T23" s="11" t="s">
        <v>92</v>
      </c>
      <c r="U23" s="12" t="s">
        <v>183</v>
      </c>
      <c r="V23" s="11" t="s">
        <v>71</v>
      </c>
      <c r="W23" s="11" t="s">
        <v>56</v>
      </c>
      <c r="X23" s="45" t="s">
        <v>57</v>
      </c>
      <c r="Y23" s="11" t="s">
        <v>72</v>
      </c>
      <c r="Z23" s="11">
        <f>35*15</f>
        <v>525</v>
      </c>
      <c r="AA23" s="11">
        <v>15</v>
      </c>
      <c r="AB23" s="11">
        <v>35</v>
      </c>
      <c r="AC23" s="11" t="s">
        <v>59</v>
      </c>
      <c r="AD23" s="11" t="s">
        <v>124</v>
      </c>
      <c r="AE23" s="43" t="s">
        <v>95</v>
      </c>
      <c r="AF23" s="60" t="s">
        <v>459</v>
      </c>
      <c r="AG23" s="126" t="s">
        <v>543</v>
      </c>
      <c r="AH23" s="11">
        <v>6.9</v>
      </c>
      <c r="AI23" s="11">
        <v>2.7</v>
      </c>
      <c r="AJ23" s="11">
        <v>10</v>
      </c>
      <c r="AK23" s="11">
        <v>8</v>
      </c>
      <c r="AL23" s="11">
        <v>2.7</v>
      </c>
      <c r="AM23" s="11">
        <v>10</v>
      </c>
      <c r="AU23" s="11">
        <v>0</v>
      </c>
      <c r="AV23" s="1" t="s">
        <v>97</v>
      </c>
    </row>
    <row r="24" spans="1:48" ht="17" customHeight="1" x14ac:dyDescent="0.2">
      <c r="A24" s="13"/>
      <c r="B24" s="13"/>
      <c r="C24" s="13"/>
      <c r="E24" s="13"/>
      <c r="F24" s="13"/>
      <c r="G24" s="13"/>
      <c r="J24" s="11">
        <v>3062</v>
      </c>
      <c r="K24" s="11" t="s">
        <v>122</v>
      </c>
      <c r="L24" s="40" t="s">
        <v>146</v>
      </c>
      <c r="M24" s="17">
        <v>11.3</v>
      </c>
      <c r="N24" s="17">
        <v>1</v>
      </c>
      <c r="O24" s="17" t="s">
        <v>52</v>
      </c>
      <c r="P24" s="17">
        <v>0.85</v>
      </c>
      <c r="Q24" s="17">
        <v>0.53</v>
      </c>
      <c r="R24" s="17">
        <f>16/30</f>
        <v>0.53333333333333333</v>
      </c>
      <c r="S24" s="17">
        <f t="shared" ref="S24:S25" si="0">1-0.18</f>
        <v>0.82000000000000006</v>
      </c>
      <c r="T24" s="11" t="s">
        <v>92</v>
      </c>
      <c r="U24" s="12" t="s">
        <v>184</v>
      </c>
      <c r="V24" s="11" t="s">
        <v>71</v>
      </c>
      <c r="W24" s="11" t="s">
        <v>56</v>
      </c>
      <c r="X24" s="45" t="s">
        <v>57</v>
      </c>
      <c r="Y24" s="11" t="s">
        <v>72</v>
      </c>
      <c r="Z24" s="11">
        <f t="shared" ref="Z24:Z25" si="1">35*15</f>
        <v>525</v>
      </c>
      <c r="AA24" s="11">
        <v>15</v>
      </c>
      <c r="AB24" s="11">
        <v>35</v>
      </c>
      <c r="AC24" s="11" t="s">
        <v>59</v>
      </c>
      <c r="AD24" s="11" t="s">
        <v>124</v>
      </c>
      <c r="AE24" s="43" t="s">
        <v>95</v>
      </c>
      <c r="AH24" s="11">
        <v>6.5</v>
      </c>
      <c r="AI24" s="11">
        <v>2.4</v>
      </c>
      <c r="AJ24" s="11">
        <v>10</v>
      </c>
      <c r="AK24" s="11">
        <v>8.6999999999999993</v>
      </c>
      <c r="AL24" s="11">
        <v>2.2000000000000002</v>
      </c>
      <c r="AM24" s="11">
        <v>10</v>
      </c>
      <c r="AU24" s="11">
        <v>0</v>
      </c>
    </row>
    <row r="25" spans="1:48" s="31" customFormat="1" ht="17.5" customHeight="1" x14ac:dyDescent="0.2">
      <c r="A25" s="30"/>
      <c r="B25" s="30"/>
      <c r="C25" s="30"/>
      <c r="D25" s="89"/>
      <c r="E25" s="30"/>
      <c r="F25" s="30"/>
      <c r="G25" s="30"/>
      <c r="H25" s="274"/>
      <c r="I25" s="274"/>
      <c r="J25" s="31">
        <v>3063</v>
      </c>
      <c r="K25" s="31" t="s">
        <v>185</v>
      </c>
      <c r="L25" s="41" t="s">
        <v>146</v>
      </c>
      <c r="M25" s="32">
        <v>11.3</v>
      </c>
      <c r="N25" s="32">
        <v>1</v>
      </c>
      <c r="O25" s="32" t="s">
        <v>52</v>
      </c>
      <c r="P25" s="32">
        <v>0.85</v>
      </c>
      <c r="Q25" s="32">
        <v>0.53</v>
      </c>
      <c r="R25" s="32">
        <f>16/30</f>
        <v>0.53333333333333333</v>
      </c>
      <c r="S25" s="32">
        <f t="shared" si="0"/>
        <v>0.82000000000000006</v>
      </c>
      <c r="T25" s="31" t="s">
        <v>92</v>
      </c>
      <c r="U25" s="33" t="s">
        <v>186</v>
      </c>
      <c r="V25" s="31" t="s">
        <v>71</v>
      </c>
      <c r="W25" s="31" t="s">
        <v>56</v>
      </c>
      <c r="X25" s="50" t="s">
        <v>57</v>
      </c>
      <c r="Y25" s="31" t="s">
        <v>72</v>
      </c>
      <c r="Z25" s="31">
        <f t="shared" si="1"/>
        <v>525</v>
      </c>
      <c r="AA25" s="31">
        <v>15</v>
      </c>
      <c r="AB25" s="31">
        <v>35</v>
      </c>
      <c r="AC25" s="31" t="s">
        <v>59</v>
      </c>
      <c r="AD25" s="31" t="s">
        <v>124</v>
      </c>
      <c r="AE25" s="49" t="s">
        <v>95</v>
      </c>
      <c r="AF25" s="60"/>
      <c r="AG25" s="60"/>
      <c r="AH25" s="31">
        <v>6.1</v>
      </c>
      <c r="AI25" s="31">
        <v>1.9</v>
      </c>
      <c r="AJ25" s="31">
        <v>10</v>
      </c>
      <c r="AK25" s="31">
        <v>11.6</v>
      </c>
      <c r="AL25" s="31">
        <v>2.7</v>
      </c>
      <c r="AM25" s="31">
        <v>10</v>
      </c>
      <c r="AU25" s="31">
        <v>0</v>
      </c>
      <c r="AV25" s="34"/>
    </row>
    <row r="26" spans="1:48" ht="17" customHeight="1" x14ac:dyDescent="0.2">
      <c r="A26" s="13" t="s">
        <v>150</v>
      </c>
      <c r="B26" s="13">
        <v>307</v>
      </c>
      <c r="C26" s="13" t="s">
        <v>47</v>
      </c>
      <c r="D26" s="88" t="s">
        <v>690</v>
      </c>
      <c r="E26" s="13" t="s">
        <v>66</v>
      </c>
      <c r="F26" s="13" t="s">
        <v>49</v>
      </c>
      <c r="G26" s="13" t="s">
        <v>50</v>
      </c>
      <c r="J26" s="11">
        <v>3071</v>
      </c>
      <c r="K26" s="11" t="s">
        <v>187</v>
      </c>
      <c r="L26" s="75" t="s">
        <v>68</v>
      </c>
      <c r="M26" s="17">
        <f>(10+14)/2</f>
        <v>12</v>
      </c>
      <c r="N26" s="17">
        <v>1</v>
      </c>
      <c r="O26" s="17">
        <v>1</v>
      </c>
      <c r="P26" s="17" t="s">
        <v>52</v>
      </c>
      <c r="Q26" s="17" t="s">
        <v>52</v>
      </c>
      <c r="R26" s="17">
        <f>49/75</f>
        <v>0.65333333333333332</v>
      </c>
      <c r="S26" s="17">
        <v>0.1</v>
      </c>
      <c r="T26" s="11" t="s">
        <v>92</v>
      </c>
      <c r="U26" s="12" t="s">
        <v>188</v>
      </c>
      <c r="V26" s="11" t="s">
        <v>71</v>
      </c>
      <c r="W26" s="11" t="s">
        <v>153</v>
      </c>
      <c r="X26" s="61" t="s">
        <v>57</v>
      </c>
      <c r="Y26" s="11" t="s">
        <v>72</v>
      </c>
      <c r="Z26" s="11" t="s">
        <v>52</v>
      </c>
      <c r="AA26" s="11" t="s">
        <v>52</v>
      </c>
      <c r="AB26" s="11" t="s">
        <v>52</v>
      </c>
      <c r="AC26" s="11" t="s">
        <v>148</v>
      </c>
      <c r="AD26" s="11" t="s">
        <v>189</v>
      </c>
      <c r="AE26" s="11" t="s">
        <v>95</v>
      </c>
      <c r="AF26" s="126" t="s">
        <v>459</v>
      </c>
      <c r="AG26" s="126" t="s">
        <v>52</v>
      </c>
      <c r="AH26" s="43">
        <v>5.67</v>
      </c>
      <c r="AI26" s="11">
        <v>3.9</v>
      </c>
      <c r="AJ26" s="11">
        <v>17</v>
      </c>
      <c r="AK26" s="11">
        <v>12.72</v>
      </c>
      <c r="AL26" s="11">
        <v>5.18</v>
      </c>
      <c r="AM26" s="11">
        <v>17</v>
      </c>
      <c r="AU26" s="11">
        <v>0</v>
      </c>
      <c r="AV26" s="1" t="s">
        <v>225</v>
      </c>
    </row>
    <row r="27" spans="1:48" ht="17" customHeight="1" x14ac:dyDescent="0.2">
      <c r="A27" s="13"/>
      <c r="B27" s="13"/>
      <c r="C27" s="13"/>
      <c r="E27" s="13"/>
      <c r="F27" s="13"/>
      <c r="G27" s="13"/>
      <c r="L27" s="40"/>
      <c r="AD27" s="11" t="s">
        <v>190</v>
      </c>
      <c r="AE27" s="11" t="s">
        <v>95</v>
      </c>
      <c r="AH27" s="11">
        <v>5.67</v>
      </c>
      <c r="AI27" s="11">
        <v>3.9</v>
      </c>
      <c r="AJ27" s="11">
        <v>17</v>
      </c>
      <c r="AK27" s="11">
        <v>13.44</v>
      </c>
      <c r="AL27" s="11">
        <v>4.91</v>
      </c>
      <c r="AM27" s="11">
        <v>17</v>
      </c>
      <c r="AU27" s="11">
        <v>0</v>
      </c>
    </row>
    <row r="28" spans="1:48" ht="17" customHeight="1" x14ac:dyDescent="0.2">
      <c r="A28" s="13"/>
      <c r="B28" s="13"/>
      <c r="C28" s="13"/>
      <c r="E28" s="13"/>
      <c r="F28" s="13"/>
      <c r="G28" s="13"/>
      <c r="J28" s="11">
        <v>3072</v>
      </c>
      <c r="K28" s="11" t="s">
        <v>191</v>
      </c>
      <c r="L28" s="75" t="s">
        <v>68</v>
      </c>
      <c r="M28" s="17">
        <f t="shared" ref="M28:M32" si="2">(10+14)/2</f>
        <v>12</v>
      </c>
      <c r="N28" s="17">
        <v>1</v>
      </c>
      <c r="O28" s="17">
        <v>1</v>
      </c>
      <c r="P28" s="17" t="s">
        <v>52</v>
      </c>
      <c r="Q28" s="17" t="s">
        <v>52</v>
      </c>
      <c r="R28" s="17">
        <f t="shared" ref="R28:R32" si="3">49/75</f>
        <v>0.65333333333333332</v>
      </c>
      <c r="S28" s="17">
        <v>0.1</v>
      </c>
      <c r="T28" s="11" t="s">
        <v>92</v>
      </c>
      <c r="U28" s="12" t="s">
        <v>192</v>
      </c>
      <c r="V28" s="11" t="s">
        <v>71</v>
      </c>
      <c r="W28" s="11" t="s">
        <v>153</v>
      </c>
      <c r="X28" s="61" t="s">
        <v>57</v>
      </c>
      <c r="Y28" s="11" t="s">
        <v>72</v>
      </c>
      <c r="Z28" s="11" t="s">
        <v>52</v>
      </c>
      <c r="AA28" s="11" t="s">
        <v>52</v>
      </c>
      <c r="AB28" s="11" t="s">
        <v>52</v>
      </c>
      <c r="AC28" s="11" t="s">
        <v>148</v>
      </c>
      <c r="AD28" s="11" t="s">
        <v>189</v>
      </c>
      <c r="AE28" s="11" t="s">
        <v>95</v>
      </c>
      <c r="AH28" s="11">
        <v>6.81</v>
      </c>
      <c r="AI28" s="11">
        <v>4.8099999999999996</v>
      </c>
      <c r="AJ28" s="11">
        <v>16</v>
      </c>
      <c r="AK28" s="11">
        <v>11.41</v>
      </c>
      <c r="AL28" s="11">
        <v>6.61</v>
      </c>
      <c r="AM28" s="11">
        <v>16</v>
      </c>
      <c r="AU28" s="11">
        <v>0</v>
      </c>
    </row>
    <row r="29" spans="1:48" ht="17" customHeight="1" x14ac:dyDescent="0.2">
      <c r="A29" s="13"/>
      <c r="B29" s="13"/>
      <c r="C29" s="13"/>
      <c r="E29" s="13"/>
      <c r="F29" s="13"/>
      <c r="G29" s="13"/>
      <c r="L29" s="40"/>
      <c r="AD29" s="11" t="s">
        <v>190</v>
      </c>
      <c r="AE29" s="11" t="s">
        <v>95</v>
      </c>
      <c r="AH29" s="11">
        <v>6.81</v>
      </c>
      <c r="AI29" s="11">
        <v>4.8099999999999996</v>
      </c>
      <c r="AJ29" s="11">
        <v>16</v>
      </c>
      <c r="AK29" s="11">
        <v>11.56</v>
      </c>
      <c r="AL29" s="11">
        <v>6.55</v>
      </c>
      <c r="AM29" s="11">
        <v>16</v>
      </c>
      <c r="AU29" s="11">
        <v>0</v>
      </c>
    </row>
    <row r="30" spans="1:48" ht="17" customHeight="1" x14ac:dyDescent="0.2">
      <c r="A30" s="13"/>
      <c r="B30" s="13"/>
      <c r="C30" s="13"/>
      <c r="E30" s="13"/>
      <c r="F30" s="13"/>
      <c r="G30" s="13"/>
      <c r="J30" s="11">
        <v>3073</v>
      </c>
      <c r="K30" s="11" t="s">
        <v>193</v>
      </c>
      <c r="L30" s="75" t="s">
        <v>68</v>
      </c>
      <c r="M30" s="17">
        <f t="shared" si="2"/>
        <v>12</v>
      </c>
      <c r="N30" s="17">
        <v>1</v>
      </c>
      <c r="O30" s="17">
        <v>1</v>
      </c>
      <c r="P30" s="17" t="s">
        <v>52</v>
      </c>
      <c r="Q30" s="17" t="s">
        <v>52</v>
      </c>
      <c r="R30" s="17">
        <f t="shared" si="3"/>
        <v>0.65333333333333332</v>
      </c>
      <c r="S30" s="17">
        <v>0.1</v>
      </c>
      <c r="T30" s="11" t="s">
        <v>92</v>
      </c>
      <c r="U30" s="12" t="s">
        <v>194</v>
      </c>
      <c r="V30" s="11" t="s">
        <v>71</v>
      </c>
      <c r="W30" s="11" t="s">
        <v>153</v>
      </c>
      <c r="X30" s="61" t="s">
        <v>57</v>
      </c>
      <c r="Y30" s="11" t="s">
        <v>72</v>
      </c>
      <c r="Z30" s="11" t="s">
        <v>52</v>
      </c>
      <c r="AA30" s="11" t="s">
        <v>52</v>
      </c>
      <c r="AB30" s="11" t="s">
        <v>52</v>
      </c>
      <c r="AC30" s="11" t="s">
        <v>148</v>
      </c>
      <c r="AD30" s="11" t="s">
        <v>189</v>
      </c>
      <c r="AE30" s="11" t="s">
        <v>95</v>
      </c>
      <c r="AH30" s="11">
        <v>7</v>
      </c>
      <c r="AI30" s="11">
        <v>3.84</v>
      </c>
      <c r="AJ30" s="11">
        <v>19</v>
      </c>
      <c r="AK30" s="11">
        <v>9.73</v>
      </c>
      <c r="AL30" s="11">
        <v>4.49</v>
      </c>
      <c r="AM30" s="11">
        <v>19</v>
      </c>
      <c r="AU30" s="11">
        <v>0</v>
      </c>
    </row>
    <row r="31" spans="1:48" ht="17" customHeight="1" x14ac:dyDescent="0.2">
      <c r="A31" s="13"/>
      <c r="B31" s="13"/>
      <c r="C31" s="13"/>
      <c r="E31" s="13"/>
      <c r="F31" s="13"/>
      <c r="G31" s="13"/>
      <c r="L31" s="40"/>
      <c r="AD31" s="11" t="s">
        <v>190</v>
      </c>
      <c r="AE31" s="11" t="s">
        <v>95</v>
      </c>
      <c r="AH31" s="11">
        <v>7</v>
      </c>
      <c r="AI31" s="11">
        <v>3.84</v>
      </c>
      <c r="AJ31" s="11">
        <v>19</v>
      </c>
      <c r="AK31" s="11">
        <v>9.36</v>
      </c>
      <c r="AL31" s="11">
        <v>5.62</v>
      </c>
      <c r="AM31" s="11">
        <v>19</v>
      </c>
      <c r="AU31" s="11">
        <v>0</v>
      </c>
    </row>
    <row r="32" spans="1:48" ht="17" customHeight="1" x14ac:dyDescent="0.2">
      <c r="A32" s="13"/>
      <c r="B32" s="13"/>
      <c r="C32" s="13"/>
      <c r="E32" s="13"/>
      <c r="F32" s="13"/>
      <c r="G32" s="13"/>
      <c r="J32" s="11">
        <v>3074</v>
      </c>
      <c r="K32" s="11" t="s">
        <v>195</v>
      </c>
      <c r="L32" s="75" t="s">
        <v>68</v>
      </c>
      <c r="M32" s="17">
        <f t="shared" si="2"/>
        <v>12</v>
      </c>
      <c r="N32" s="17">
        <v>1</v>
      </c>
      <c r="O32" s="17">
        <v>1</v>
      </c>
      <c r="P32" s="17" t="s">
        <v>52</v>
      </c>
      <c r="Q32" s="17" t="s">
        <v>52</v>
      </c>
      <c r="R32" s="17">
        <f t="shared" si="3"/>
        <v>0.65333333333333332</v>
      </c>
      <c r="S32" s="17">
        <v>0.1</v>
      </c>
      <c r="T32" s="11" t="s">
        <v>92</v>
      </c>
      <c r="U32" s="12" t="s">
        <v>196</v>
      </c>
      <c r="V32" s="11" t="s">
        <v>71</v>
      </c>
      <c r="W32" s="11" t="s">
        <v>153</v>
      </c>
      <c r="X32" s="61" t="s">
        <v>57</v>
      </c>
      <c r="Y32" s="11" t="s">
        <v>72</v>
      </c>
      <c r="Z32" s="11" t="s">
        <v>52</v>
      </c>
      <c r="AA32" s="11" t="s">
        <v>52</v>
      </c>
      <c r="AB32" s="11" t="s">
        <v>52</v>
      </c>
      <c r="AC32" s="11" t="s">
        <v>148</v>
      </c>
      <c r="AD32" s="11" t="s">
        <v>189</v>
      </c>
      <c r="AE32" s="11" t="s">
        <v>95</v>
      </c>
      <c r="AH32" s="11">
        <v>7.9</v>
      </c>
      <c r="AI32" s="11">
        <v>3.99</v>
      </c>
      <c r="AJ32" s="11">
        <v>21</v>
      </c>
      <c r="AK32" s="11">
        <v>9.81</v>
      </c>
      <c r="AL32" s="11">
        <v>5.34</v>
      </c>
      <c r="AM32" s="11">
        <v>21</v>
      </c>
      <c r="AU32" s="11">
        <v>0</v>
      </c>
    </row>
    <row r="33" spans="1:48" s="31" customFormat="1" ht="17" customHeight="1" x14ac:dyDescent="0.2">
      <c r="A33" s="30"/>
      <c r="B33" s="30"/>
      <c r="C33" s="30"/>
      <c r="D33" s="89"/>
      <c r="E33" s="30"/>
      <c r="F33" s="30"/>
      <c r="G33" s="30"/>
      <c r="H33" s="274"/>
      <c r="I33" s="274"/>
      <c r="L33" s="41"/>
      <c r="M33" s="32"/>
      <c r="N33" s="32"/>
      <c r="O33" s="32"/>
      <c r="P33" s="32"/>
      <c r="Q33" s="32"/>
      <c r="R33" s="32"/>
      <c r="S33" s="32"/>
      <c r="U33" s="33"/>
      <c r="AD33" s="31" t="s">
        <v>190</v>
      </c>
      <c r="AE33" s="31" t="s">
        <v>95</v>
      </c>
      <c r="AF33" s="63"/>
      <c r="AG33" s="63"/>
      <c r="AH33" s="31">
        <v>7.9</v>
      </c>
      <c r="AI33" s="31">
        <v>3.99</v>
      </c>
      <c r="AJ33" s="31">
        <v>21</v>
      </c>
      <c r="AK33" s="31">
        <v>8.66</v>
      </c>
      <c r="AL33" s="31">
        <v>3.95</v>
      </c>
      <c r="AM33" s="31">
        <v>21</v>
      </c>
      <c r="AU33" s="31">
        <v>0</v>
      </c>
      <c r="AV33" s="34"/>
    </row>
    <row r="34" spans="1:48" ht="17" customHeight="1" x14ac:dyDescent="0.2">
      <c r="A34" s="13" t="s">
        <v>160</v>
      </c>
      <c r="B34" s="13">
        <v>308</v>
      </c>
      <c r="C34" s="13" t="s">
        <v>47</v>
      </c>
      <c r="D34" s="88" t="s">
        <v>690</v>
      </c>
      <c r="E34" s="13" t="s">
        <v>66</v>
      </c>
      <c r="F34" s="13" t="s">
        <v>49</v>
      </c>
      <c r="G34" s="13" t="s">
        <v>50</v>
      </c>
      <c r="J34" s="11">
        <v>3081</v>
      </c>
      <c r="K34" s="11" t="s">
        <v>197</v>
      </c>
      <c r="L34" s="11">
        <v>6</v>
      </c>
      <c r="M34" s="17">
        <v>11.5</v>
      </c>
      <c r="N34" s="17">
        <v>1</v>
      </c>
      <c r="O34" s="17">
        <f>153/462</f>
        <v>0.33116883116883117</v>
      </c>
      <c r="P34" s="17">
        <f>314/462</f>
        <v>0.67965367965367962</v>
      </c>
      <c r="Q34" s="17" t="s">
        <v>52</v>
      </c>
      <c r="R34" s="17">
        <f>269/462</f>
        <v>0.58225108225108224</v>
      </c>
      <c r="S34" s="17">
        <f>58/462</f>
        <v>0.12554112554112554</v>
      </c>
      <c r="T34" s="43" t="s">
        <v>53</v>
      </c>
      <c r="U34" s="12" t="s">
        <v>198</v>
      </c>
      <c r="V34" s="11" t="s">
        <v>71</v>
      </c>
      <c r="W34" s="11" t="s">
        <v>153</v>
      </c>
      <c r="X34" s="11" t="s">
        <v>162</v>
      </c>
      <c r="Y34" s="11" t="s">
        <v>58</v>
      </c>
      <c r="Z34" s="45">
        <f>5*36*AB34</f>
        <v>7448.1</v>
      </c>
      <c r="AA34" s="102">
        <f>3*5*36</f>
        <v>540</v>
      </c>
      <c r="AB34" s="59">
        <f>55*AVERAGE(0.585, 0.8, 0.872)</f>
        <v>41.378333333333337</v>
      </c>
      <c r="AC34" s="11" t="s">
        <v>59</v>
      </c>
      <c r="AD34" s="11" t="s">
        <v>199</v>
      </c>
      <c r="AE34" s="11" t="s">
        <v>61</v>
      </c>
      <c r="AF34" s="60" t="s">
        <v>536</v>
      </c>
      <c r="AG34" s="60" t="s">
        <v>694</v>
      </c>
      <c r="AH34" s="11" t="s">
        <v>52</v>
      </c>
      <c r="AI34" s="11" t="s">
        <v>52</v>
      </c>
      <c r="AJ34" s="11" t="s">
        <v>52</v>
      </c>
      <c r="AK34" s="11">
        <v>32.1</v>
      </c>
      <c r="AL34" s="11">
        <v>14.33</v>
      </c>
      <c r="AM34" s="11">
        <v>462</v>
      </c>
      <c r="AU34" s="11">
        <v>0</v>
      </c>
      <c r="AV34" s="1" t="s">
        <v>86</v>
      </c>
    </row>
    <row r="35" spans="1:48" s="31" customFormat="1" ht="17" customHeight="1" x14ac:dyDescent="0.2">
      <c r="A35" s="30"/>
      <c r="B35" s="30"/>
      <c r="C35" s="30"/>
      <c r="D35" s="89"/>
      <c r="E35" s="30"/>
      <c r="F35" s="30"/>
      <c r="G35" s="30"/>
      <c r="H35" s="274"/>
      <c r="I35" s="274"/>
      <c r="J35" s="31">
        <v>3082</v>
      </c>
      <c r="K35" s="31" t="s">
        <v>126</v>
      </c>
      <c r="L35" s="31">
        <v>6</v>
      </c>
      <c r="M35" s="32">
        <v>11.5</v>
      </c>
      <c r="N35" s="32">
        <v>1</v>
      </c>
      <c r="O35" s="32">
        <f>102/389</f>
        <v>0.26221079691516708</v>
      </c>
      <c r="P35" s="32">
        <f>255/389</f>
        <v>0.65552699228791778</v>
      </c>
      <c r="Q35" s="32" t="s">
        <v>52</v>
      </c>
      <c r="R35" s="32">
        <f>225/389</f>
        <v>0.57840616966580982</v>
      </c>
      <c r="S35" s="32">
        <f>56/389</f>
        <v>0.14395886889460155</v>
      </c>
      <c r="T35" s="31" t="s">
        <v>78</v>
      </c>
      <c r="U35" s="33" t="s">
        <v>200</v>
      </c>
      <c r="V35" s="31" t="s">
        <v>71</v>
      </c>
      <c r="W35" s="31" t="s">
        <v>78</v>
      </c>
      <c r="X35" s="31" t="s">
        <v>78</v>
      </c>
      <c r="Y35" s="31" t="s">
        <v>78</v>
      </c>
      <c r="Z35" s="31" t="s">
        <v>78</v>
      </c>
      <c r="AB35" s="31" t="s">
        <v>78</v>
      </c>
      <c r="AC35" s="31" t="s">
        <v>78</v>
      </c>
      <c r="AD35" s="31" t="s">
        <v>199</v>
      </c>
      <c r="AE35" s="31" t="s">
        <v>61</v>
      </c>
      <c r="AF35" s="63"/>
      <c r="AG35" s="60"/>
      <c r="AH35" s="31" t="s">
        <v>52</v>
      </c>
      <c r="AI35" s="31" t="s">
        <v>52</v>
      </c>
      <c r="AJ35" s="31" t="s">
        <v>52</v>
      </c>
      <c r="AK35" s="31">
        <v>31.6</v>
      </c>
      <c r="AL35" s="31">
        <v>14.11</v>
      </c>
      <c r="AM35" s="31">
        <v>389</v>
      </c>
      <c r="AU35" s="31">
        <v>0</v>
      </c>
      <c r="AV35" s="34"/>
    </row>
    <row r="36" spans="1:48" ht="17" customHeight="1" x14ac:dyDescent="0.2">
      <c r="A36" s="13" t="s">
        <v>165</v>
      </c>
      <c r="B36" s="13">
        <v>309</v>
      </c>
      <c r="C36" s="13" t="s">
        <v>47</v>
      </c>
      <c r="D36" s="88" t="s">
        <v>690</v>
      </c>
      <c r="E36" s="13" t="s">
        <v>66</v>
      </c>
      <c r="F36" s="13" t="s">
        <v>49</v>
      </c>
      <c r="G36" s="13" t="s">
        <v>50</v>
      </c>
      <c r="J36" s="11" t="s">
        <v>166</v>
      </c>
      <c r="K36" s="11" t="s">
        <v>201</v>
      </c>
      <c r="L36" s="11">
        <v>6</v>
      </c>
      <c r="M36" s="17">
        <v>11.5</v>
      </c>
      <c r="N36" s="17">
        <v>1</v>
      </c>
      <c r="O36" s="17">
        <f>201/605</f>
        <v>0.3322314049586777</v>
      </c>
      <c r="P36" s="17">
        <f>418/605</f>
        <v>0.69090909090909092</v>
      </c>
      <c r="Q36" s="17" t="s">
        <v>52</v>
      </c>
      <c r="R36" s="17">
        <f>360/605</f>
        <v>0.5950413223140496</v>
      </c>
      <c r="S36" s="17">
        <f>79/605</f>
        <v>0.13057851239669421</v>
      </c>
      <c r="T36" s="43" t="s">
        <v>53</v>
      </c>
      <c r="U36" s="12" t="s">
        <v>202</v>
      </c>
      <c r="V36" s="11" t="s">
        <v>71</v>
      </c>
      <c r="W36" s="11" t="s">
        <v>153</v>
      </c>
      <c r="X36" s="11" t="s">
        <v>162</v>
      </c>
      <c r="Y36" s="11" t="s">
        <v>58</v>
      </c>
      <c r="Z36" s="45">
        <f>5*36*AB36</f>
        <v>9519.5250000000015</v>
      </c>
      <c r="AA36" s="102">
        <f>4*5*36</f>
        <v>720</v>
      </c>
      <c r="AB36" s="11">
        <f>AVERAGE(45, 90)*AVERAGE(0.585, 0.8, 0.872, 0.877)</f>
        <v>52.886250000000004</v>
      </c>
      <c r="AC36" s="11" t="s">
        <v>59</v>
      </c>
      <c r="AD36" s="11" t="s">
        <v>199</v>
      </c>
      <c r="AE36" s="11" t="s">
        <v>61</v>
      </c>
      <c r="AF36" s="60" t="s">
        <v>536</v>
      </c>
      <c r="AG36" s="126" t="s">
        <v>695</v>
      </c>
      <c r="AH36" s="11">
        <v>21.11</v>
      </c>
      <c r="AI36" s="11">
        <v>9.49</v>
      </c>
      <c r="AJ36" s="11">
        <v>605</v>
      </c>
      <c r="AK36" s="11">
        <v>32.299999999999997</v>
      </c>
      <c r="AL36" s="11">
        <v>13.92</v>
      </c>
      <c r="AM36" s="11">
        <v>605</v>
      </c>
      <c r="AU36" s="58">
        <v>0</v>
      </c>
      <c r="AV36" s="1" t="s">
        <v>86</v>
      </c>
    </row>
    <row r="37" spans="1:48" ht="17" customHeight="1" x14ac:dyDescent="0.2">
      <c r="A37" s="13"/>
      <c r="B37" s="13"/>
      <c r="C37" s="13"/>
      <c r="E37" s="13"/>
      <c r="F37" s="13"/>
      <c r="G37" s="13"/>
      <c r="J37" s="11" t="s">
        <v>169</v>
      </c>
      <c r="K37" s="11" t="s">
        <v>203</v>
      </c>
      <c r="L37" s="11">
        <v>6</v>
      </c>
      <c r="M37" s="17">
        <v>11.5</v>
      </c>
      <c r="N37" s="17">
        <v>1</v>
      </c>
      <c r="O37" s="17">
        <f>1-379/530</f>
        <v>0.28490566037735854</v>
      </c>
      <c r="P37" s="17">
        <f>358/530</f>
        <v>0.67547169811320751</v>
      </c>
      <c r="Q37" s="17" t="s">
        <v>52</v>
      </c>
      <c r="R37" s="17">
        <f>309/530</f>
        <v>0.58301886792452828</v>
      </c>
      <c r="S37" s="17">
        <f>74/530</f>
        <v>0.13962264150943396</v>
      </c>
      <c r="T37" s="11" t="s">
        <v>78</v>
      </c>
      <c r="U37" s="12" t="s">
        <v>204</v>
      </c>
      <c r="V37" s="11" t="s">
        <v>80</v>
      </c>
      <c r="W37" s="11" t="s">
        <v>78</v>
      </c>
      <c r="X37" s="11" t="s">
        <v>78</v>
      </c>
      <c r="Y37" s="11" t="s">
        <v>78</v>
      </c>
      <c r="Z37" s="11" t="s">
        <v>78</v>
      </c>
      <c r="AB37" s="11" t="s">
        <v>78</v>
      </c>
      <c r="AC37" s="11" t="s">
        <v>78</v>
      </c>
      <c r="AD37" s="11" t="s">
        <v>199</v>
      </c>
      <c r="AE37" s="11" t="s">
        <v>61</v>
      </c>
      <c r="AH37" s="11">
        <v>21.66</v>
      </c>
      <c r="AI37" s="11">
        <v>9.32</v>
      </c>
      <c r="AJ37" s="11">
        <v>530</v>
      </c>
      <c r="AK37" s="11">
        <v>30.7</v>
      </c>
      <c r="AL37" s="11">
        <v>13.86</v>
      </c>
      <c r="AM37" s="11">
        <v>530</v>
      </c>
      <c r="AU37" s="58">
        <v>0</v>
      </c>
    </row>
    <row r="38" spans="1:48" ht="17" customHeight="1" x14ac:dyDescent="0.2">
      <c r="A38" s="13"/>
      <c r="B38" s="13"/>
      <c r="C38" s="13"/>
      <c r="E38" s="13"/>
      <c r="F38" s="13"/>
      <c r="G38" s="13"/>
      <c r="J38" s="11" t="s">
        <v>171</v>
      </c>
      <c r="K38" s="11" t="s">
        <v>205</v>
      </c>
      <c r="L38" s="11">
        <v>9</v>
      </c>
      <c r="M38" s="17">
        <v>14.5</v>
      </c>
      <c r="N38" s="17">
        <v>1</v>
      </c>
      <c r="O38" s="17">
        <f>176/593</f>
        <v>0.29679595278246207</v>
      </c>
      <c r="P38" s="17">
        <f>371/593</f>
        <v>0.62563237774030356</v>
      </c>
      <c r="Q38" s="17" t="s">
        <v>52</v>
      </c>
      <c r="R38" s="17">
        <f>348/593</f>
        <v>0.58684654300168637</v>
      </c>
      <c r="S38" s="17">
        <f>69/593</f>
        <v>0.1163575042158516</v>
      </c>
      <c r="T38" s="43" t="s">
        <v>53</v>
      </c>
      <c r="U38" s="12" t="s">
        <v>202</v>
      </c>
      <c r="V38" s="11" t="s">
        <v>71</v>
      </c>
      <c r="W38" s="11" t="s">
        <v>153</v>
      </c>
      <c r="X38" s="11" t="s">
        <v>162</v>
      </c>
      <c r="Y38" s="11" t="s">
        <v>58</v>
      </c>
      <c r="Z38" s="45">
        <f>5*36*AB38</f>
        <v>9519.5250000000015</v>
      </c>
      <c r="AA38" s="102">
        <f>4*5*36</f>
        <v>720</v>
      </c>
      <c r="AB38" s="11">
        <f>AVERAGE(45, 90)*AVERAGE(0.585, 0.8, 0.872, 0.877)</f>
        <v>52.886250000000004</v>
      </c>
      <c r="AC38" s="11" t="s">
        <v>59</v>
      </c>
      <c r="AD38" s="11" t="s">
        <v>199</v>
      </c>
      <c r="AE38" s="11" t="s">
        <v>61</v>
      </c>
      <c r="AH38" s="11">
        <v>23.59</v>
      </c>
      <c r="AI38" s="11">
        <v>8.0500000000000007</v>
      </c>
      <c r="AJ38" s="11">
        <v>593</v>
      </c>
      <c r="AK38" s="11">
        <v>33.700000000000003</v>
      </c>
      <c r="AL38" s="11">
        <v>14.87</v>
      </c>
      <c r="AM38" s="11">
        <v>593</v>
      </c>
      <c r="AU38" s="11">
        <v>0</v>
      </c>
    </row>
    <row r="39" spans="1:48" s="31" customFormat="1" ht="17" customHeight="1" x14ac:dyDescent="0.2">
      <c r="A39" s="30"/>
      <c r="B39" s="30"/>
      <c r="C39" s="30"/>
      <c r="D39" s="89"/>
      <c r="E39" s="30"/>
      <c r="F39" s="30"/>
      <c r="G39" s="30"/>
      <c r="H39" s="274"/>
      <c r="I39" s="274"/>
      <c r="J39" s="31" t="s">
        <v>173</v>
      </c>
      <c r="K39" s="31" t="s">
        <v>206</v>
      </c>
      <c r="L39" s="31">
        <v>9</v>
      </c>
      <c r="M39" s="32">
        <v>14.5</v>
      </c>
      <c r="N39" s="32">
        <v>1</v>
      </c>
      <c r="O39" s="32">
        <f>124/535</f>
        <v>0.23177570093457944</v>
      </c>
      <c r="P39" s="32">
        <f>327/535</f>
        <v>0.61121495327102804</v>
      </c>
      <c r="Q39" s="32" t="s">
        <v>52</v>
      </c>
      <c r="R39" s="32">
        <f>295/535</f>
        <v>0.55140186915887845</v>
      </c>
      <c r="S39" s="32">
        <f>71/535</f>
        <v>0.13271028037383178</v>
      </c>
      <c r="T39" s="31" t="s">
        <v>78</v>
      </c>
      <c r="U39" s="33" t="s">
        <v>204</v>
      </c>
      <c r="V39" s="31" t="s">
        <v>80</v>
      </c>
      <c r="W39" s="31" t="s">
        <v>78</v>
      </c>
      <c r="X39" s="31" t="s">
        <v>78</v>
      </c>
      <c r="Y39" s="31" t="s">
        <v>78</v>
      </c>
      <c r="Z39" s="31" t="s">
        <v>78</v>
      </c>
      <c r="AB39" s="31" t="s">
        <v>78</v>
      </c>
      <c r="AC39" s="31" t="s">
        <v>78</v>
      </c>
      <c r="AD39" s="31" t="s">
        <v>199</v>
      </c>
      <c r="AE39" s="31" t="s">
        <v>61</v>
      </c>
      <c r="AF39" s="63"/>
      <c r="AG39" s="63"/>
      <c r="AH39" s="31">
        <v>23.56</v>
      </c>
      <c r="AI39" s="31">
        <v>8.34</v>
      </c>
      <c r="AJ39" s="31">
        <v>535</v>
      </c>
      <c r="AK39" s="31">
        <v>32.299999999999997</v>
      </c>
      <c r="AL39" s="31">
        <v>13.83</v>
      </c>
      <c r="AM39" s="31">
        <v>535</v>
      </c>
      <c r="AU39" s="31">
        <v>0</v>
      </c>
      <c r="AV39" s="34"/>
    </row>
    <row r="40" spans="1:48" ht="17" customHeight="1" x14ac:dyDescent="0.2">
      <c r="A40" s="13" t="s">
        <v>175</v>
      </c>
      <c r="B40" s="13">
        <v>310</v>
      </c>
      <c r="C40" s="13" t="s">
        <v>176</v>
      </c>
      <c r="D40" s="88" t="s">
        <v>690</v>
      </c>
      <c r="E40" s="13" t="s">
        <v>66</v>
      </c>
      <c r="F40" s="13" t="s">
        <v>49</v>
      </c>
      <c r="G40" s="13" t="s">
        <v>50</v>
      </c>
      <c r="J40" s="11">
        <v>3101</v>
      </c>
      <c r="K40" s="11" t="s">
        <v>207</v>
      </c>
      <c r="L40" s="11">
        <v>5</v>
      </c>
      <c r="M40" s="17">
        <v>9.57</v>
      </c>
      <c r="N40" s="17">
        <v>1</v>
      </c>
      <c r="O40" s="17" t="s">
        <v>52</v>
      </c>
      <c r="P40" s="17">
        <v>1</v>
      </c>
      <c r="Q40" s="17" t="s">
        <v>52</v>
      </c>
      <c r="R40" s="17">
        <f>40/76</f>
        <v>0.52631578947368418</v>
      </c>
      <c r="S40" s="17" t="s">
        <v>52</v>
      </c>
      <c r="T40" s="11" t="s">
        <v>92</v>
      </c>
      <c r="U40" s="12" t="s">
        <v>208</v>
      </c>
      <c r="V40" s="11" t="s">
        <v>71</v>
      </c>
      <c r="W40" s="45" t="s">
        <v>153</v>
      </c>
      <c r="X40" s="11" t="s">
        <v>162</v>
      </c>
      <c r="Y40" s="11" t="s">
        <v>58</v>
      </c>
      <c r="Z40" s="45">
        <f>6*60*5+60</f>
        <v>1860</v>
      </c>
      <c r="AA40" s="11">
        <v>6</v>
      </c>
      <c r="AB40" s="11">
        <v>60</v>
      </c>
      <c r="AC40" s="11" t="s">
        <v>148</v>
      </c>
      <c r="AD40" s="11" t="s">
        <v>211</v>
      </c>
      <c r="AE40" s="11" t="s">
        <v>61</v>
      </c>
      <c r="AF40" s="60" t="s">
        <v>536</v>
      </c>
      <c r="AG40" s="60" t="s">
        <v>52</v>
      </c>
      <c r="AH40" s="11">
        <v>21</v>
      </c>
      <c r="AI40" s="11">
        <v>3.35</v>
      </c>
      <c r="AJ40" s="73">
        <v>27</v>
      </c>
      <c r="AK40" s="11">
        <v>24.54</v>
      </c>
      <c r="AL40" s="11">
        <v>2.98</v>
      </c>
      <c r="AM40" s="73">
        <v>27</v>
      </c>
      <c r="AN40" s="58"/>
      <c r="AO40" s="58"/>
      <c r="AP40" s="58"/>
      <c r="AQ40" s="58"/>
      <c r="AR40" s="58"/>
      <c r="AS40" s="58"/>
      <c r="AU40" s="11">
        <v>0</v>
      </c>
      <c r="AV40" s="60" t="s">
        <v>210</v>
      </c>
    </row>
    <row r="41" spans="1:48" ht="17" customHeight="1" x14ac:dyDescent="0.2">
      <c r="A41" s="13"/>
      <c r="B41" s="13"/>
      <c r="C41" s="13"/>
      <c r="E41" s="13"/>
      <c r="F41" s="13"/>
      <c r="G41" s="13"/>
      <c r="L41" s="40"/>
      <c r="AD41" s="11" t="s">
        <v>209</v>
      </c>
      <c r="AE41" s="11" t="s">
        <v>95</v>
      </c>
      <c r="AF41" s="60" t="s">
        <v>459</v>
      </c>
      <c r="AG41" s="60" t="s">
        <v>579</v>
      </c>
      <c r="AH41" s="11">
        <v>34.67</v>
      </c>
      <c r="AI41" s="11">
        <v>24.15</v>
      </c>
      <c r="AJ41" s="58">
        <v>27</v>
      </c>
      <c r="AK41" s="11">
        <v>66.63</v>
      </c>
      <c r="AL41" s="11">
        <v>30.28</v>
      </c>
      <c r="AM41" s="58">
        <v>27</v>
      </c>
      <c r="AN41" s="58"/>
      <c r="AO41" s="58"/>
      <c r="AP41" s="58"/>
      <c r="AQ41" s="58"/>
      <c r="AR41" s="58"/>
      <c r="AS41" s="58"/>
      <c r="AU41" s="11">
        <v>0</v>
      </c>
      <c r="AV41" s="60" t="s">
        <v>212</v>
      </c>
    </row>
    <row r="42" spans="1:48" ht="17" customHeight="1" x14ac:dyDescent="0.2">
      <c r="A42" s="13"/>
      <c r="B42" s="13"/>
      <c r="C42" s="13"/>
      <c r="E42" s="13"/>
      <c r="F42" s="13"/>
      <c r="G42" s="13"/>
      <c r="J42" s="11">
        <v>3102</v>
      </c>
      <c r="K42" s="11" t="s">
        <v>181</v>
      </c>
      <c r="L42" s="11">
        <v>5</v>
      </c>
      <c r="M42" s="17">
        <v>9.57</v>
      </c>
      <c r="N42" s="17">
        <v>1</v>
      </c>
      <c r="O42" s="17" t="s">
        <v>52</v>
      </c>
      <c r="P42" s="17">
        <v>1</v>
      </c>
      <c r="Q42" s="17" t="s">
        <v>52</v>
      </c>
      <c r="R42" s="17">
        <f>40/76</f>
        <v>0.52631578947368418</v>
      </c>
      <c r="S42" s="17" t="s">
        <v>52</v>
      </c>
      <c r="T42" s="11" t="s">
        <v>92</v>
      </c>
      <c r="U42" s="12" t="s">
        <v>213</v>
      </c>
      <c r="V42" s="11" t="s">
        <v>71</v>
      </c>
      <c r="W42" s="45" t="s">
        <v>153</v>
      </c>
      <c r="X42" s="11" t="s">
        <v>162</v>
      </c>
      <c r="Y42" s="11" t="s">
        <v>58</v>
      </c>
      <c r="Z42" s="45">
        <f>6*60*5</f>
        <v>1800</v>
      </c>
      <c r="AA42" s="11">
        <v>6</v>
      </c>
      <c r="AB42" s="11">
        <v>60</v>
      </c>
      <c r="AC42" s="11" t="s">
        <v>148</v>
      </c>
      <c r="AD42" s="11" t="s">
        <v>211</v>
      </c>
      <c r="AE42" s="11" t="s">
        <v>61</v>
      </c>
      <c r="AH42" s="11">
        <v>17.13</v>
      </c>
      <c r="AI42" s="11">
        <v>7.93</v>
      </c>
      <c r="AJ42" s="58">
        <f>(76-27)/2</f>
        <v>24.5</v>
      </c>
      <c r="AK42" s="11">
        <v>21.65</v>
      </c>
      <c r="AL42" s="11">
        <v>6.14</v>
      </c>
      <c r="AM42" s="58">
        <f>(76-27)/2</f>
        <v>24.5</v>
      </c>
      <c r="AN42" s="58"/>
      <c r="AO42" s="58"/>
      <c r="AP42" s="58"/>
      <c r="AQ42" s="58"/>
      <c r="AR42" s="58"/>
      <c r="AS42" s="58"/>
      <c r="AU42" s="11">
        <v>0</v>
      </c>
      <c r="AV42" s="60" t="s">
        <v>214</v>
      </c>
    </row>
    <row r="43" spans="1:48" ht="17" customHeight="1" x14ac:dyDescent="0.2">
      <c r="A43" s="13"/>
      <c r="B43" s="13"/>
      <c r="C43" s="13"/>
      <c r="E43" s="13"/>
      <c r="F43" s="13"/>
      <c r="G43" s="13"/>
      <c r="L43" s="40"/>
      <c r="AD43" s="11" t="s">
        <v>209</v>
      </c>
      <c r="AE43" s="11" t="s">
        <v>95</v>
      </c>
      <c r="AH43" s="11">
        <v>13.84</v>
      </c>
      <c r="AI43" s="11">
        <v>13.17</v>
      </c>
      <c r="AJ43" s="58">
        <f t="shared" ref="AJ43:AJ45" si="4">(76-27)/2</f>
        <v>24.5</v>
      </c>
      <c r="AK43" s="11">
        <v>30.32</v>
      </c>
      <c r="AL43" s="11">
        <v>22.26</v>
      </c>
      <c r="AM43" s="58">
        <f t="shared" ref="AM43:AM45" si="5">(76-27)/2</f>
        <v>24.5</v>
      </c>
      <c r="AN43" s="58"/>
      <c r="AO43" s="58"/>
      <c r="AP43" s="58"/>
      <c r="AQ43" s="58"/>
      <c r="AR43" s="58"/>
      <c r="AS43" s="58"/>
      <c r="AU43" s="11">
        <v>0</v>
      </c>
      <c r="AV43" s="60" t="s">
        <v>215</v>
      </c>
    </row>
    <row r="44" spans="1:48" ht="17" customHeight="1" x14ac:dyDescent="0.2">
      <c r="A44" s="13"/>
      <c r="B44" s="13"/>
      <c r="C44" s="13"/>
      <c r="E44" s="13"/>
      <c r="F44" s="13"/>
      <c r="G44" s="13"/>
      <c r="J44" s="11">
        <v>3103</v>
      </c>
      <c r="K44" s="11" t="s">
        <v>126</v>
      </c>
      <c r="L44" s="11">
        <v>5</v>
      </c>
      <c r="M44" s="17">
        <v>9.57</v>
      </c>
      <c r="N44" s="17">
        <v>1</v>
      </c>
      <c r="O44" s="17" t="s">
        <v>52</v>
      </c>
      <c r="P44" s="17">
        <v>1</v>
      </c>
      <c r="Q44" s="17" t="s">
        <v>52</v>
      </c>
      <c r="R44" s="17">
        <f t="shared" ref="R44" si="6">40/76</f>
        <v>0.52631578947368418</v>
      </c>
      <c r="S44" s="17" t="s">
        <v>52</v>
      </c>
      <c r="T44" s="11" t="s">
        <v>78</v>
      </c>
      <c r="U44" s="12" t="s">
        <v>182</v>
      </c>
      <c r="V44" s="11" t="s">
        <v>80</v>
      </c>
      <c r="W44" s="11" t="s">
        <v>78</v>
      </c>
      <c r="X44" s="11" t="s">
        <v>78</v>
      </c>
      <c r="Y44" s="11" t="s">
        <v>78</v>
      </c>
      <c r="Z44" s="11" t="s">
        <v>78</v>
      </c>
      <c r="AA44" s="11" t="s">
        <v>78</v>
      </c>
      <c r="AB44" s="11" t="s">
        <v>78</v>
      </c>
      <c r="AC44" s="11" t="s">
        <v>78</v>
      </c>
      <c r="AD44" s="11" t="s">
        <v>211</v>
      </c>
      <c r="AE44" s="11" t="s">
        <v>61</v>
      </c>
      <c r="AH44" s="11">
        <v>18.05</v>
      </c>
      <c r="AI44" s="11">
        <v>4.9400000000000004</v>
      </c>
      <c r="AJ44" s="58">
        <f t="shared" si="4"/>
        <v>24.5</v>
      </c>
      <c r="AK44" s="11">
        <v>17.8</v>
      </c>
      <c r="AL44" s="11">
        <v>4.93</v>
      </c>
      <c r="AM44" s="58">
        <f t="shared" si="5"/>
        <v>24.5</v>
      </c>
      <c r="AN44" s="58"/>
      <c r="AO44" s="58"/>
      <c r="AP44" s="58"/>
      <c r="AQ44" s="58"/>
      <c r="AR44" s="58"/>
      <c r="AS44" s="58"/>
      <c r="AU44" s="11">
        <v>0</v>
      </c>
      <c r="AV44" s="60" t="s">
        <v>216</v>
      </c>
    </row>
    <row r="45" spans="1:48" s="31" customFormat="1" ht="17" customHeight="1" x14ac:dyDescent="0.2">
      <c r="A45" s="30"/>
      <c r="B45" s="30"/>
      <c r="C45" s="30"/>
      <c r="D45" s="89"/>
      <c r="E45" s="30"/>
      <c r="F45" s="30"/>
      <c r="G45" s="30"/>
      <c r="H45" s="274"/>
      <c r="I45" s="274"/>
      <c r="L45" s="41"/>
      <c r="M45" s="32"/>
      <c r="N45" s="32"/>
      <c r="O45" s="32"/>
      <c r="P45" s="32"/>
      <c r="Q45" s="32"/>
      <c r="R45" s="32"/>
      <c r="S45" s="32"/>
      <c r="U45" s="33"/>
      <c r="AD45" s="31" t="s">
        <v>209</v>
      </c>
      <c r="AE45" s="31" t="s">
        <v>95</v>
      </c>
      <c r="AF45" s="63"/>
      <c r="AG45" s="63"/>
      <c r="AH45" s="31">
        <v>30.81</v>
      </c>
      <c r="AI45" s="31">
        <v>28.05</v>
      </c>
      <c r="AJ45" s="74">
        <f t="shared" si="4"/>
        <v>24.5</v>
      </c>
      <c r="AK45" s="31">
        <v>45.08</v>
      </c>
      <c r="AL45" s="31">
        <v>35.479999999999997</v>
      </c>
      <c r="AM45" s="74">
        <f t="shared" si="5"/>
        <v>24.5</v>
      </c>
      <c r="AN45" s="74"/>
      <c r="AO45" s="74"/>
      <c r="AP45" s="74"/>
      <c r="AQ45" s="74"/>
      <c r="AR45" s="74"/>
      <c r="AS45" s="74"/>
      <c r="AU45" s="31">
        <v>0</v>
      </c>
      <c r="AV45" s="63" t="s">
        <v>216</v>
      </c>
    </row>
    <row r="46" spans="1:48" ht="17" customHeight="1" x14ac:dyDescent="0.2">
      <c r="A46" s="13" t="s">
        <v>236</v>
      </c>
      <c r="B46" s="13">
        <v>311</v>
      </c>
      <c r="C46" s="13" t="s">
        <v>237</v>
      </c>
      <c r="D46" s="88" t="s">
        <v>52</v>
      </c>
      <c r="E46" s="13" t="s">
        <v>66</v>
      </c>
      <c r="F46" s="13" t="s">
        <v>49</v>
      </c>
      <c r="G46" s="13" t="s">
        <v>238</v>
      </c>
      <c r="J46" s="11">
        <v>3111</v>
      </c>
      <c r="K46" s="11" t="s">
        <v>197</v>
      </c>
      <c r="L46" s="11">
        <v>5</v>
      </c>
      <c r="M46" s="17">
        <v>11</v>
      </c>
      <c r="N46" s="17" t="s">
        <v>52</v>
      </c>
      <c r="O46" s="17" t="s">
        <v>52</v>
      </c>
      <c r="P46" s="17">
        <v>1</v>
      </c>
      <c r="Q46" s="17">
        <v>1</v>
      </c>
      <c r="R46" s="17">
        <v>0</v>
      </c>
      <c r="S46" s="17" t="s">
        <v>52</v>
      </c>
      <c r="T46" s="11" t="s">
        <v>92</v>
      </c>
      <c r="U46" s="12" t="s">
        <v>269</v>
      </c>
      <c r="V46" s="11" t="s">
        <v>55</v>
      </c>
      <c r="W46" s="11" t="s">
        <v>153</v>
      </c>
      <c r="X46" s="11" t="s">
        <v>162</v>
      </c>
      <c r="Y46" s="11" t="s">
        <v>58</v>
      </c>
      <c r="Z46" s="43">
        <f>50*5*16</f>
        <v>4000</v>
      </c>
      <c r="AA46" s="11">
        <f>5*16</f>
        <v>80</v>
      </c>
      <c r="AB46" s="11">
        <v>50</v>
      </c>
      <c r="AC46" s="11" t="s">
        <v>148</v>
      </c>
      <c r="AD46" s="11" t="s">
        <v>270</v>
      </c>
      <c r="AE46" s="11" t="s">
        <v>95</v>
      </c>
      <c r="AF46" s="60" t="s">
        <v>459</v>
      </c>
      <c r="AG46" s="60" t="s">
        <v>52</v>
      </c>
      <c r="AH46" s="11" t="s">
        <v>52</v>
      </c>
      <c r="AI46" s="11" t="s">
        <v>52</v>
      </c>
      <c r="AJ46" s="11" t="s">
        <v>52</v>
      </c>
      <c r="AK46" s="11">
        <v>82.22</v>
      </c>
      <c r="AL46" s="11">
        <v>18.12</v>
      </c>
      <c r="AM46" s="11">
        <v>32</v>
      </c>
      <c r="AU46" s="11">
        <v>0</v>
      </c>
      <c r="AV46" s="1" t="s">
        <v>271</v>
      </c>
    </row>
    <row r="47" spans="1:48" s="31" customFormat="1" ht="17" customHeight="1" x14ac:dyDescent="0.2">
      <c r="A47" s="30"/>
      <c r="B47" s="30"/>
      <c r="C47" s="30"/>
      <c r="D47" s="88"/>
      <c r="E47" s="30"/>
      <c r="F47" s="30"/>
      <c r="G47" s="30"/>
      <c r="H47" s="274"/>
      <c r="I47" s="274"/>
      <c r="J47" s="31">
        <v>3112</v>
      </c>
      <c r="K47" s="31" t="s">
        <v>126</v>
      </c>
      <c r="L47" s="31">
        <v>5</v>
      </c>
      <c r="M47" s="32">
        <v>11</v>
      </c>
      <c r="N47" s="32" t="s">
        <v>52</v>
      </c>
      <c r="O47" s="32" t="s">
        <v>52</v>
      </c>
      <c r="P47" s="32">
        <v>1</v>
      </c>
      <c r="Q47" s="32">
        <v>1</v>
      </c>
      <c r="R47" s="32">
        <v>0</v>
      </c>
      <c r="S47" s="32" t="s">
        <v>52</v>
      </c>
      <c r="T47" s="31" t="s">
        <v>78</v>
      </c>
      <c r="U47" s="33" t="s">
        <v>272</v>
      </c>
      <c r="V47" s="31" t="s">
        <v>80</v>
      </c>
      <c r="W47" s="31" t="s">
        <v>78</v>
      </c>
      <c r="X47" s="31" t="s">
        <v>78</v>
      </c>
      <c r="Y47" s="31" t="s">
        <v>78</v>
      </c>
      <c r="Z47" s="31" t="s">
        <v>78</v>
      </c>
      <c r="AA47" s="31" t="s">
        <v>78</v>
      </c>
      <c r="AB47" s="31" t="s">
        <v>78</v>
      </c>
      <c r="AC47" s="31" t="s">
        <v>78</v>
      </c>
      <c r="AD47" s="31" t="s">
        <v>270</v>
      </c>
      <c r="AE47" s="31" t="s">
        <v>95</v>
      </c>
      <c r="AF47" s="63"/>
      <c r="AG47" s="60"/>
      <c r="AH47" s="31" t="s">
        <v>52</v>
      </c>
      <c r="AI47" s="31" t="s">
        <v>52</v>
      </c>
      <c r="AJ47" s="31" t="s">
        <v>52</v>
      </c>
      <c r="AK47" s="31">
        <v>47.18</v>
      </c>
      <c r="AL47" s="31">
        <v>23.85</v>
      </c>
      <c r="AM47" s="31">
        <v>34</v>
      </c>
      <c r="AU47" s="31">
        <v>0</v>
      </c>
      <c r="AV47" s="34"/>
    </row>
    <row r="48" spans="1:48" ht="17" customHeight="1" x14ac:dyDescent="0.2">
      <c r="A48" s="13" t="s">
        <v>273</v>
      </c>
      <c r="B48" s="13">
        <v>312</v>
      </c>
      <c r="C48" s="13" t="s">
        <v>244</v>
      </c>
      <c r="D48" s="144" t="s">
        <v>533</v>
      </c>
      <c r="E48" s="13" t="s">
        <v>66</v>
      </c>
      <c r="F48" s="13" t="s">
        <v>49</v>
      </c>
      <c r="G48" s="13" t="s">
        <v>238</v>
      </c>
      <c r="J48" s="11">
        <v>3121</v>
      </c>
      <c r="K48" s="11" t="s">
        <v>197</v>
      </c>
      <c r="L48" s="11">
        <v>3</v>
      </c>
      <c r="M48" s="17">
        <v>8.5</v>
      </c>
      <c r="N48" s="17" t="s">
        <v>52</v>
      </c>
      <c r="O48" s="17" t="s">
        <v>52</v>
      </c>
      <c r="P48" s="17" t="s">
        <v>52</v>
      </c>
      <c r="Q48" s="17" t="s">
        <v>52</v>
      </c>
      <c r="R48" s="17" t="s">
        <v>52</v>
      </c>
      <c r="S48" s="17">
        <v>0.1</v>
      </c>
      <c r="T48" s="11" t="s">
        <v>92</v>
      </c>
      <c r="U48" s="12" t="s">
        <v>274</v>
      </c>
      <c r="V48" s="11" t="s">
        <v>71</v>
      </c>
      <c r="W48" s="11" t="s">
        <v>56</v>
      </c>
      <c r="X48" s="11" t="s">
        <v>162</v>
      </c>
      <c r="Y48" s="11" t="s">
        <v>58</v>
      </c>
      <c r="Z48" s="11" t="s">
        <v>289</v>
      </c>
      <c r="AA48" s="11">
        <v>40</v>
      </c>
      <c r="AB48" s="11" t="s">
        <v>247</v>
      </c>
      <c r="AC48" s="11" t="s">
        <v>59</v>
      </c>
      <c r="AD48" s="11" t="s">
        <v>248</v>
      </c>
      <c r="AE48" s="11" t="s">
        <v>61</v>
      </c>
      <c r="AF48" s="60" t="s">
        <v>536</v>
      </c>
      <c r="AG48" s="126" t="s">
        <v>580</v>
      </c>
      <c r="AH48" s="11">
        <v>17.8</v>
      </c>
      <c r="AI48" s="11">
        <v>5.58</v>
      </c>
      <c r="AJ48" s="11">
        <v>155</v>
      </c>
      <c r="AK48" s="11">
        <v>21.47</v>
      </c>
      <c r="AL48" s="11">
        <v>5.75</v>
      </c>
      <c r="AM48" s="11">
        <v>155</v>
      </c>
      <c r="AU48" s="11">
        <v>0</v>
      </c>
      <c r="AV48" s="1" t="s">
        <v>86</v>
      </c>
    </row>
    <row r="49" spans="1:48" s="31" customFormat="1" ht="17" customHeight="1" x14ac:dyDescent="0.2">
      <c r="A49" s="30"/>
      <c r="B49" s="30"/>
      <c r="C49" s="30"/>
      <c r="D49" s="89"/>
      <c r="E49" s="30"/>
      <c r="F49" s="30"/>
      <c r="G49" s="30"/>
      <c r="H49" s="274"/>
      <c r="I49" s="274"/>
      <c r="J49" s="31">
        <v>3122</v>
      </c>
      <c r="K49" s="31" t="s">
        <v>126</v>
      </c>
      <c r="L49" s="31">
        <v>3</v>
      </c>
      <c r="M49" s="32">
        <v>8.5</v>
      </c>
      <c r="N49" s="32" t="s">
        <v>52</v>
      </c>
      <c r="O49" s="32" t="s">
        <v>52</v>
      </c>
      <c r="P49" s="32" t="s">
        <v>52</v>
      </c>
      <c r="Q49" s="32" t="s">
        <v>52</v>
      </c>
      <c r="R49" s="32" t="s">
        <v>52</v>
      </c>
      <c r="S49" s="32">
        <v>0.1</v>
      </c>
      <c r="T49" s="31" t="s">
        <v>92</v>
      </c>
      <c r="U49" s="33" t="s">
        <v>274</v>
      </c>
      <c r="V49" s="31" t="s">
        <v>80</v>
      </c>
      <c r="W49" s="31" t="s">
        <v>78</v>
      </c>
      <c r="X49" s="31" t="s">
        <v>78</v>
      </c>
      <c r="Y49" s="31" t="s">
        <v>78</v>
      </c>
      <c r="Z49" s="31" t="s">
        <v>78</v>
      </c>
      <c r="AA49" s="31" t="s">
        <v>78</v>
      </c>
      <c r="AB49" s="31" t="s">
        <v>78</v>
      </c>
      <c r="AC49" s="31" t="s">
        <v>78</v>
      </c>
      <c r="AD49" s="31" t="s">
        <v>248</v>
      </c>
      <c r="AE49" s="31" t="s">
        <v>61</v>
      </c>
      <c r="AF49" s="63"/>
      <c r="AG49" s="63"/>
      <c r="AH49" s="31">
        <v>18.18</v>
      </c>
      <c r="AI49" s="31">
        <v>5.88</v>
      </c>
      <c r="AJ49" s="31">
        <v>172</v>
      </c>
      <c r="AK49" s="31">
        <v>21.66</v>
      </c>
      <c r="AL49" s="31">
        <v>6.02</v>
      </c>
      <c r="AM49" s="31">
        <v>172</v>
      </c>
      <c r="AU49" s="31">
        <v>0</v>
      </c>
      <c r="AV49" s="34"/>
    </row>
    <row r="50" spans="1:48" ht="17" customHeight="1" x14ac:dyDescent="0.2">
      <c r="A50" s="13" t="s">
        <v>251</v>
      </c>
      <c r="B50" s="13">
        <v>313</v>
      </c>
      <c r="C50" s="13" t="s">
        <v>47</v>
      </c>
      <c r="D50" s="88" t="s">
        <v>690</v>
      </c>
      <c r="E50" s="13" t="s">
        <v>66</v>
      </c>
      <c r="F50" s="13" t="s">
        <v>49</v>
      </c>
      <c r="G50" s="13" t="s">
        <v>238</v>
      </c>
      <c r="J50" s="11">
        <v>3131</v>
      </c>
      <c r="K50" s="11" t="s">
        <v>239</v>
      </c>
      <c r="L50" s="11">
        <v>4</v>
      </c>
      <c r="M50" s="17">
        <v>9.5</v>
      </c>
      <c r="N50" s="17" t="s">
        <v>52</v>
      </c>
      <c r="O50" s="17" t="s">
        <v>52</v>
      </c>
      <c r="P50" s="17" t="s">
        <v>52</v>
      </c>
      <c r="Q50" s="17" t="s">
        <v>52</v>
      </c>
      <c r="R50" s="17" t="s">
        <v>52</v>
      </c>
      <c r="S50" s="17">
        <f>1-0.68</f>
        <v>0.31999999999999995</v>
      </c>
      <c r="T50" s="11" t="s">
        <v>92</v>
      </c>
      <c r="U50" s="12" t="s">
        <v>275</v>
      </c>
      <c r="V50" s="11" t="s">
        <v>55</v>
      </c>
      <c r="W50" s="11" t="s">
        <v>153</v>
      </c>
      <c r="X50" s="11" t="s">
        <v>162</v>
      </c>
      <c r="Y50" s="11" t="s">
        <v>58</v>
      </c>
      <c r="Z50" s="11">
        <f>90*5*12</f>
        <v>5400</v>
      </c>
      <c r="AA50" s="11">
        <f>5*12</f>
        <v>60</v>
      </c>
      <c r="AB50" s="11">
        <v>90</v>
      </c>
      <c r="AC50" s="11" t="s">
        <v>59</v>
      </c>
      <c r="AD50" s="11" t="s">
        <v>276</v>
      </c>
      <c r="AE50" s="11" t="s">
        <v>61</v>
      </c>
      <c r="AF50" s="60" t="s">
        <v>536</v>
      </c>
      <c r="AG50" s="60" t="s">
        <v>52</v>
      </c>
      <c r="AH50" s="11" t="s">
        <v>52</v>
      </c>
      <c r="AI50" s="11" t="s">
        <v>52</v>
      </c>
      <c r="AJ50" s="11" t="s">
        <v>52</v>
      </c>
      <c r="AK50" s="11">
        <v>516.6</v>
      </c>
      <c r="AL50" s="11">
        <v>28.39</v>
      </c>
      <c r="AM50" s="112">
        <f>492*(5/(5+7+3))</f>
        <v>164</v>
      </c>
      <c r="AN50" s="112"/>
      <c r="AO50" s="112"/>
      <c r="AP50" s="112"/>
      <c r="AQ50" s="112"/>
      <c r="AR50" s="112"/>
      <c r="AS50" s="112"/>
      <c r="AU50" s="11">
        <v>0</v>
      </c>
      <c r="AV50" s="1" t="s">
        <v>86</v>
      </c>
    </row>
    <row r="51" spans="1:48" ht="17" customHeight="1" x14ac:dyDescent="0.2">
      <c r="A51" s="13"/>
      <c r="B51" s="13"/>
      <c r="C51" s="13"/>
      <c r="E51" s="13"/>
      <c r="F51" s="13"/>
      <c r="G51" s="13"/>
      <c r="AD51" s="11" t="s">
        <v>256</v>
      </c>
      <c r="AE51" s="11" t="s">
        <v>95</v>
      </c>
      <c r="AF51" s="60" t="s">
        <v>459</v>
      </c>
      <c r="AG51" s="60" t="s">
        <v>696</v>
      </c>
      <c r="AH51" s="11" t="s">
        <v>52</v>
      </c>
      <c r="AI51" s="11" t="s">
        <v>52</v>
      </c>
      <c r="AJ51" s="11" t="s">
        <v>52</v>
      </c>
      <c r="AK51" s="11">
        <v>4.3</v>
      </c>
      <c r="AL51" s="11">
        <v>0.67</v>
      </c>
      <c r="AM51" s="112">
        <f>492*(5/(5+7+3))</f>
        <v>164</v>
      </c>
      <c r="AN51" s="112"/>
      <c r="AO51" s="112"/>
      <c r="AP51" s="112"/>
      <c r="AQ51" s="112"/>
      <c r="AR51" s="112"/>
      <c r="AS51" s="112"/>
      <c r="AU51" s="11">
        <v>0</v>
      </c>
      <c r="AV51" s="1" t="s">
        <v>277</v>
      </c>
    </row>
    <row r="52" spans="1:48" ht="17" customHeight="1" x14ac:dyDescent="0.2">
      <c r="A52" s="13"/>
      <c r="B52" s="13"/>
      <c r="C52" s="13"/>
      <c r="E52" s="13"/>
      <c r="F52" s="13"/>
      <c r="G52" s="13"/>
      <c r="J52" s="11">
        <v>3132</v>
      </c>
      <c r="K52" s="11" t="s">
        <v>278</v>
      </c>
      <c r="L52" s="11">
        <v>4</v>
      </c>
      <c r="M52" s="17">
        <v>9.5</v>
      </c>
      <c r="N52" s="17" t="s">
        <v>52</v>
      </c>
      <c r="O52" s="17" t="s">
        <v>52</v>
      </c>
      <c r="P52" s="17" t="s">
        <v>52</v>
      </c>
      <c r="Q52" s="17" t="s">
        <v>52</v>
      </c>
      <c r="R52" s="17" t="s">
        <v>52</v>
      </c>
      <c r="S52" s="17">
        <f>1-0.68</f>
        <v>0.31999999999999995</v>
      </c>
      <c r="T52" s="11" t="s">
        <v>92</v>
      </c>
      <c r="U52" s="12" t="s">
        <v>279</v>
      </c>
      <c r="V52" s="11" t="s">
        <v>55</v>
      </c>
      <c r="W52" s="11" t="s">
        <v>153</v>
      </c>
      <c r="X52" s="11" t="s">
        <v>162</v>
      </c>
      <c r="Y52" s="11" t="s">
        <v>58</v>
      </c>
      <c r="Z52" s="11">
        <f>90*5*12</f>
        <v>5400</v>
      </c>
      <c r="AA52" s="11">
        <f>5*12</f>
        <v>60</v>
      </c>
      <c r="AB52" s="11">
        <v>90</v>
      </c>
      <c r="AC52" s="11" t="s">
        <v>59</v>
      </c>
      <c r="AD52" s="11" t="s">
        <v>276</v>
      </c>
      <c r="AE52" s="11" t="s">
        <v>61</v>
      </c>
      <c r="AH52" s="11" t="s">
        <v>52</v>
      </c>
      <c r="AI52" s="11" t="s">
        <v>52</v>
      </c>
      <c r="AJ52" s="11" t="s">
        <v>52</v>
      </c>
      <c r="AK52" s="11">
        <v>484.86</v>
      </c>
      <c r="AL52" s="11">
        <v>16.78</v>
      </c>
      <c r="AM52" s="112">
        <f>492*(7/(5+7+3))</f>
        <v>229.6</v>
      </c>
      <c r="AN52" s="112"/>
      <c r="AO52" s="112"/>
      <c r="AP52" s="112"/>
      <c r="AQ52" s="112"/>
      <c r="AR52" s="112"/>
      <c r="AS52" s="112"/>
      <c r="AU52" s="11">
        <v>0</v>
      </c>
    </row>
    <row r="53" spans="1:48" ht="17" customHeight="1" x14ac:dyDescent="0.2">
      <c r="A53" s="13"/>
      <c r="B53" s="13"/>
      <c r="C53" s="13"/>
      <c r="E53" s="13"/>
      <c r="F53" s="13"/>
      <c r="G53" s="13"/>
      <c r="AD53" s="11" t="s">
        <v>256</v>
      </c>
      <c r="AE53" s="11" t="s">
        <v>95</v>
      </c>
      <c r="AH53" s="11" t="s">
        <v>52</v>
      </c>
      <c r="AI53" s="11" t="s">
        <v>52</v>
      </c>
      <c r="AJ53" s="11" t="s">
        <v>52</v>
      </c>
      <c r="AK53" s="11">
        <v>3</v>
      </c>
      <c r="AL53" s="11">
        <v>0</v>
      </c>
      <c r="AM53" s="112">
        <f>492*(7/(5+7+3))</f>
        <v>229.6</v>
      </c>
      <c r="AN53" s="112"/>
      <c r="AO53" s="112"/>
      <c r="AP53" s="112"/>
      <c r="AQ53" s="112"/>
      <c r="AR53" s="112"/>
      <c r="AS53" s="112"/>
      <c r="AU53" s="11">
        <v>0</v>
      </c>
    </row>
    <row r="54" spans="1:48" ht="16.75" customHeight="1" x14ac:dyDescent="0.2">
      <c r="A54" s="13"/>
      <c r="B54" s="13"/>
      <c r="C54" s="13"/>
      <c r="E54" s="13"/>
      <c r="F54" s="13"/>
      <c r="G54" s="13"/>
      <c r="J54" s="11">
        <v>3133</v>
      </c>
      <c r="K54" s="11" t="s">
        <v>280</v>
      </c>
      <c r="L54" s="11">
        <v>4</v>
      </c>
      <c r="M54" s="17">
        <v>9.5</v>
      </c>
      <c r="N54" s="17" t="s">
        <v>52</v>
      </c>
      <c r="O54" s="17" t="s">
        <v>52</v>
      </c>
      <c r="P54" s="17" t="s">
        <v>52</v>
      </c>
      <c r="Q54" s="17" t="s">
        <v>52</v>
      </c>
      <c r="R54" s="17" t="s">
        <v>52</v>
      </c>
      <c r="S54" s="17">
        <f>1-0.68</f>
        <v>0.31999999999999995</v>
      </c>
      <c r="T54" s="11" t="s">
        <v>78</v>
      </c>
      <c r="U54" s="12" t="s">
        <v>281</v>
      </c>
      <c r="V54" s="11" t="s">
        <v>80</v>
      </c>
      <c r="W54" s="11" t="s">
        <v>78</v>
      </c>
      <c r="X54" s="11" t="s">
        <v>78</v>
      </c>
      <c r="Y54" s="11" t="s">
        <v>78</v>
      </c>
      <c r="Z54" s="11" t="s">
        <v>78</v>
      </c>
      <c r="AA54" s="11" t="s">
        <v>78</v>
      </c>
      <c r="AB54" s="11" t="s">
        <v>78</v>
      </c>
      <c r="AC54" s="11" t="s">
        <v>78</v>
      </c>
      <c r="AD54" s="11" t="s">
        <v>276</v>
      </c>
      <c r="AE54" s="11" t="s">
        <v>61</v>
      </c>
      <c r="AH54" s="11" t="s">
        <v>52</v>
      </c>
      <c r="AI54" s="11" t="s">
        <v>52</v>
      </c>
      <c r="AJ54" s="11" t="s">
        <v>52</v>
      </c>
      <c r="AK54" s="11">
        <v>484</v>
      </c>
      <c r="AL54" s="11">
        <v>8.7200000000000006</v>
      </c>
      <c r="AM54" s="112">
        <f>492*(3/(5+7+3))</f>
        <v>98.4</v>
      </c>
      <c r="AN54" s="112"/>
      <c r="AO54" s="112"/>
      <c r="AP54" s="112"/>
      <c r="AQ54" s="112"/>
      <c r="AR54" s="112"/>
      <c r="AS54" s="112"/>
      <c r="AU54" s="11">
        <v>0</v>
      </c>
    </row>
    <row r="55" spans="1:48" s="31" customFormat="1" ht="17" customHeight="1" x14ac:dyDescent="0.2">
      <c r="A55" s="30"/>
      <c r="B55" s="30"/>
      <c r="C55" s="30"/>
      <c r="D55" s="88"/>
      <c r="E55" s="30"/>
      <c r="F55" s="30"/>
      <c r="G55" s="30"/>
      <c r="H55" s="274"/>
      <c r="I55" s="274"/>
      <c r="M55" s="32"/>
      <c r="N55" s="32"/>
      <c r="O55" s="32"/>
      <c r="P55" s="32"/>
      <c r="Q55" s="32"/>
      <c r="R55" s="32"/>
      <c r="S55" s="32"/>
      <c r="U55" s="33"/>
      <c r="AD55" s="31" t="s">
        <v>256</v>
      </c>
      <c r="AE55" s="31" t="s">
        <v>95</v>
      </c>
      <c r="AF55" s="60"/>
      <c r="AG55" s="60"/>
      <c r="AH55" s="31" t="s">
        <v>52</v>
      </c>
      <c r="AI55" s="31" t="s">
        <v>52</v>
      </c>
      <c r="AJ55" s="31" t="s">
        <v>52</v>
      </c>
      <c r="AK55" s="31">
        <v>2.67</v>
      </c>
      <c r="AL55" s="31">
        <v>0.57999999999999996</v>
      </c>
      <c r="AM55" s="113">
        <f>492*(3/(5+7+3))</f>
        <v>98.4</v>
      </c>
      <c r="AN55" s="113"/>
      <c r="AO55" s="113"/>
      <c r="AP55" s="113"/>
      <c r="AQ55" s="113"/>
      <c r="AR55" s="113"/>
      <c r="AS55" s="113"/>
      <c r="AU55" s="31">
        <v>0</v>
      </c>
      <c r="AV55" s="34"/>
    </row>
    <row r="56" spans="1:48" ht="17" customHeight="1" x14ac:dyDescent="0.2">
      <c r="A56" s="13" t="s">
        <v>287</v>
      </c>
      <c r="B56" s="13">
        <v>314</v>
      </c>
      <c r="C56" s="13" t="s">
        <v>262</v>
      </c>
      <c r="D56" s="144" t="s">
        <v>569</v>
      </c>
      <c r="E56" s="13" t="s">
        <v>66</v>
      </c>
      <c r="F56" s="13" t="s">
        <v>49</v>
      </c>
      <c r="G56" s="45" t="s">
        <v>238</v>
      </c>
      <c r="H56" s="275"/>
      <c r="I56" s="275"/>
      <c r="J56" s="11">
        <v>3141</v>
      </c>
      <c r="K56" s="11" t="s">
        <v>282</v>
      </c>
      <c r="L56" s="11">
        <v>1</v>
      </c>
      <c r="M56" s="46">
        <v>7.5</v>
      </c>
      <c r="N56" s="17">
        <v>0</v>
      </c>
      <c r="O56" s="17">
        <v>0</v>
      </c>
      <c r="P56" s="17">
        <v>0</v>
      </c>
      <c r="Q56" s="82" t="s">
        <v>52</v>
      </c>
      <c r="R56" s="17">
        <f>13/29</f>
        <v>0.44827586206896552</v>
      </c>
      <c r="S56" s="82" t="s">
        <v>52</v>
      </c>
      <c r="T56" s="84" t="s">
        <v>53</v>
      </c>
      <c r="U56" s="12" t="s">
        <v>283</v>
      </c>
      <c r="V56" s="84" t="s">
        <v>71</v>
      </c>
      <c r="W56" s="11" t="s">
        <v>153</v>
      </c>
      <c r="X56" s="11" t="s">
        <v>162</v>
      </c>
      <c r="Y56" s="11" t="s">
        <v>58</v>
      </c>
      <c r="Z56" s="11">
        <f>90*5*24</f>
        <v>10800</v>
      </c>
      <c r="AA56" s="11">
        <f>5*24</f>
        <v>120</v>
      </c>
      <c r="AB56" s="45">
        <v>45</v>
      </c>
      <c r="AC56" s="11" t="s">
        <v>148</v>
      </c>
      <c r="AD56" s="11" t="s">
        <v>284</v>
      </c>
      <c r="AE56" s="11" t="s">
        <v>61</v>
      </c>
      <c r="AF56" s="126" t="s">
        <v>536</v>
      </c>
      <c r="AG56" s="126" t="s">
        <v>697</v>
      </c>
      <c r="AH56" s="11" t="s">
        <v>52</v>
      </c>
      <c r="AI56" s="11" t="s">
        <v>52</v>
      </c>
      <c r="AJ56" s="11" t="s">
        <v>52</v>
      </c>
      <c r="AK56" s="11">
        <v>84.55</v>
      </c>
      <c r="AL56" s="11">
        <v>8.77</v>
      </c>
      <c r="AM56" s="11">
        <v>29</v>
      </c>
      <c r="AU56" s="11">
        <v>0</v>
      </c>
    </row>
    <row r="57" spans="1:48" s="31" customFormat="1" ht="17" customHeight="1" x14ac:dyDescent="0.2">
      <c r="A57" s="81"/>
      <c r="B57" s="30"/>
      <c r="C57" s="30"/>
      <c r="D57" s="89"/>
      <c r="E57" s="30"/>
      <c r="F57" s="30"/>
      <c r="G57" s="30"/>
      <c r="H57" s="274"/>
      <c r="I57" s="274"/>
      <c r="J57" s="31">
        <v>3142</v>
      </c>
      <c r="K57" s="31" t="s">
        <v>285</v>
      </c>
      <c r="L57" s="31">
        <v>1</v>
      </c>
      <c r="M57" s="48">
        <v>7.5</v>
      </c>
      <c r="N57" s="32">
        <v>0</v>
      </c>
      <c r="O57" s="32">
        <v>0</v>
      </c>
      <c r="P57" s="32">
        <v>0</v>
      </c>
      <c r="Q57" s="83" t="s">
        <v>52</v>
      </c>
      <c r="R57" s="32">
        <f>10/29</f>
        <v>0.34482758620689657</v>
      </c>
      <c r="S57" s="83" t="s">
        <v>52</v>
      </c>
      <c r="T57" s="31" t="s">
        <v>78</v>
      </c>
      <c r="U57" s="33" t="s">
        <v>286</v>
      </c>
      <c r="V57" s="31" t="s">
        <v>80</v>
      </c>
      <c r="W57" s="31" t="s">
        <v>78</v>
      </c>
      <c r="X57" s="31" t="s">
        <v>78</v>
      </c>
      <c r="Y57" s="31" t="s">
        <v>78</v>
      </c>
      <c r="Z57" s="31" t="s">
        <v>78</v>
      </c>
      <c r="AA57" s="31" t="s">
        <v>78</v>
      </c>
      <c r="AB57" s="31" t="s">
        <v>78</v>
      </c>
      <c r="AC57" s="31" t="s">
        <v>78</v>
      </c>
      <c r="AD57" s="31" t="s">
        <v>284</v>
      </c>
      <c r="AE57" s="31" t="s">
        <v>61</v>
      </c>
      <c r="AF57" s="63"/>
      <c r="AG57" s="63"/>
      <c r="AH57" s="31" t="s">
        <v>52</v>
      </c>
      <c r="AI57" s="31" t="s">
        <v>52</v>
      </c>
      <c r="AJ57" s="31" t="s">
        <v>52</v>
      </c>
      <c r="AK57" s="31">
        <v>60.67</v>
      </c>
      <c r="AL57" s="31">
        <v>22.73</v>
      </c>
      <c r="AM57" s="31">
        <v>29</v>
      </c>
      <c r="AU57" s="31">
        <v>0</v>
      </c>
      <c r="AV57" s="34"/>
    </row>
    <row r="58" spans="1:48" ht="14.5" customHeight="1" x14ac:dyDescent="0.2">
      <c r="A58" s="13" t="s">
        <v>342</v>
      </c>
      <c r="B58" s="13">
        <v>315</v>
      </c>
      <c r="C58" s="13" t="s">
        <v>293</v>
      </c>
      <c r="D58" s="88" t="s">
        <v>691</v>
      </c>
      <c r="E58" s="13" t="s">
        <v>66</v>
      </c>
      <c r="F58" s="13" t="s">
        <v>49</v>
      </c>
      <c r="G58" s="13" t="s">
        <v>238</v>
      </c>
      <c r="J58" s="11">
        <v>3151</v>
      </c>
      <c r="K58" s="11" t="s">
        <v>197</v>
      </c>
      <c r="L58" s="40" t="s">
        <v>146</v>
      </c>
      <c r="M58" s="17">
        <v>10.5</v>
      </c>
      <c r="N58" s="17" t="s">
        <v>314</v>
      </c>
      <c r="O58" s="17">
        <f>5/(55+48)</f>
        <v>4.8543689320388349E-2</v>
      </c>
      <c r="P58" s="17">
        <v>0</v>
      </c>
      <c r="Q58" s="17">
        <f>12/(55+48)</f>
        <v>0.11650485436893204</v>
      </c>
      <c r="R58" s="17">
        <f>48/(55+48)</f>
        <v>0.46601941747572817</v>
      </c>
      <c r="S58" s="46" t="s">
        <v>52</v>
      </c>
      <c r="T58" s="11" t="s">
        <v>92</v>
      </c>
      <c r="U58" s="12" t="s">
        <v>343</v>
      </c>
      <c r="V58" s="45" t="s">
        <v>71</v>
      </c>
      <c r="W58" s="11" t="s">
        <v>153</v>
      </c>
      <c r="X58" s="11" t="s">
        <v>162</v>
      </c>
      <c r="Y58" s="11" t="s">
        <v>58</v>
      </c>
      <c r="Z58" s="11">
        <f>45*90</f>
        <v>4050</v>
      </c>
      <c r="AA58" s="11">
        <f>5*18</f>
        <v>90</v>
      </c>
      <c r="AB58" s="11">
        <v>45</v>
      </c>
      <c r="AC58" s="11" t="s">
        <v>59</v>
      </c>
      <c r="AD58" s="11" t="s">
        <v>344</v>
      </c>
      <c r="AE58" s="11" t="s">
        <v>61</v>
      </c>
      <c r="AF58" s="60" t="s">
        <v>536</v>
      </c>
      <c r="AG58" s="60" t="s">
        <v>583</v>
      </c>
      <c r="AH58" s="86">
        <v>15.47</v>
      </c>
      <c r="AI58" s="86">
        <v>4.43</v>
      </c>
      <c r="AJ58" s="86">
        <v>103</v>
      </c>
      <c r="AK58" s="86" t="s">
        <v>52</v>
      </c>
      <c r="AL58" s="86" t="s">
        <v>52</v>
      </c>
      <c r="AM58" s="86" t="s">
        <v>52</v>
      </c>
      <c r="AN58" s="86"/>
      <c r="AO58" s="86"/>
      <c r="AP58" s="86"/>
      <c r="AQ58" s="86"/>
      <c r="AR58" s="86"/>
      <c r="AS58" s="86"/>
      <c r="AU58" s="11">
        <v>0</v>
      </c>
    </row>
    <row r="59" spans="1:48" ht="14.5" customHeight="1" x14ac:dyDescent="0.15">
      <c r="A59" s="13"/>
      <c r="B59" s="13"/>
      <c r="C59" s="13"/>
      <c r="E59" s="13"/>
      <c r="F59" s="13"/>
      <c r="G59" s="13"/>
      <c r="L59" s="40"/>
      <c r="N59" s="85"/>
      <c r="AD59" s="11" t="s">
        <v>345</v>
      </c>
      <c r="AE59" s="11" t="s">
        <v>95</v>
      </c>
      <c r="AF59" s="60" t="s">
        <v>459</v>
      </c>
      <c r="AG59" s="60" t="s">
        <v>698</v>
      </c>
      <c r="AH59" s="11" t="s">
        <v>52</v>
      </c>
      <c r="AI59" s="11" t="s">
        <v>52</v>
      </c>
      <c r="AJ59" s="11" t="s">
        <v>52</v>
      </c>
      <c r="AK59" s="11">
        <v>22.04</v>
      </c>
      <c r="AL59" s="11">
        <v>7.19</v>
      </c>
      <c r="AM59" s="11">
        <v>89</v>
      </c>
      <c r="AU59" s="11">
        <v>0</v>
      </c>
    </row>
    <row r="60" spans="1:48" ht="14.5" customHeight="1" x14ac:dyDescent="0.15">
      <c r="A60" s="13"/>
      <c r="B60" s="13"/>
      <c r="C60" s="13"/>
      <c r="E60" s="13"/>
      <c r="F60" s="13"/>
      <c r="G60" s="13"/>
      <c r="L60" s="40"/>
      <c r="N60" s="85"/>
      <c r="AD60" s="11" t="s">
        <v>346</v>
      </c>
      <c r="AE60" s="11" t="s">
        <v>61</v>
      </c>
      <c r="AF60" s="60" t="s">
        <v>536</v>
      </c>
      <c r="AG60" s="60" t="s">
        <v>585</v>
      </c>
      <c r="AH60" s="11" t="s">
        <v>52</v>
      </c>
      <c r="AI60" s="11" t="s">
        <v>52</v>
      </c>
      <c r="AJ60" s="11" t="s">
        <v>52</v>
      </c>
      <c r="AK60" s="11">
        <v>6.01</v>
      </c>
      <c r="AL60" s="11">
        <v>2.13</v>
      </c>
      <c r="AM60" s="11">
        <v>89</v>
      </c>
      <c r="AU60" s="11">
        <v>0</v>
      </c>
    </row>
    <row r="61" spans="1:48" ht="14.5" customHeight="1" x14ac:dyDescent="0.15">
      <c r="A61" s="13"/>
      <c r="B61" s="13"/>
      <c r="C61" s="13"/>
      <c r="E61" s="13"/>
      <c r="F61" s="13"/>
      <c r="G61" s="13"/>
      <c r="L61" s="40"/>
      <c r="N61" s="85"/>
      <c r="AD61" s="11" t="s">
        <v>347</v>
      </c>
      <c r="AE61" s="11" t="s">
        <v>95</v>
      </c>
      <c r="AF61" s="60" t="s">
        <v>459</v>
      </c>
      <c r="AG61" s="60" t="s">
        <v>698</v>
      </c>
      <c r="AH61" s="11" t="s">
        <v>52</v>
      </c>
      <c r="AI61" s="11" t="s">
        <v>52</v>
      </c>
      <c r="AJ61" s="11" t="s">
        <v>52</v>
      </c>
      <c r="AK61" s="11">
        <v>6.24</v>
      </c>
      <c r="AL61" s="11">
        <v>3.09</v>
      </c>
      <c r="AM61" s="11">
        <v>89</v>
      </c>
      <c r="AU61" s="11">
        <v>0</v>
      </c>
    </row>
    <row r="62" spans="1:48" ht="14.5" customHeight="1" x14ac:dyDescent="0.2">
      <c r="A62" s="13"/>
      <c r="B62" s="13"/>
      <c r="C62" s="13"/>
      <c r="E62" s="13"/>
      <c r="F62" s="13"/>
      <c r="G62" s="13"/>
      <c r="J62" s="11">
        <v>3152</v>
      </c>
      <c r="K62" s="11" t="s">
        <v>126</v>
      </c>
      <c r="L62" s="40" t="s">
        <v>146</v>
      </c>
      <c r="M62" s="17">
        <v>10.5</v>
      </c>
      <c r="N62" s="17" t="s">
        <v>314</v>
      </c>
      <c r="O62" s="17">
        <f>2/(64+49)</f>
        <v>1.7699115044247787E-2</v>
      </c>
      <c r="P62" s="17">
        <v>0</v>
      </c>
      <c r="Q62" s="17">
        <f>2/(64+49)</f>
        <v>1.7699115044247787E-2</v>
      </c>
      <c r="R62" s="17">
        <f>49/(64+49)</f>
        <v>0.4336283185840708</v>
      </c>
      <c r="S62" s="46" t="s">
        <v>52</v>
      </c>
      <c r="T62" s="11" t="s">
        <v>78</v>
      </c>
      <c r="U62" s="12" t="s">
        <v>348</v>
      </c>
      <c r="V62" s="11" t="s">
        <v>349</v>
      </c>
      <c r="W62" s="11" t="s">
        <v>78</v>
      </c>
      <c r="X62" s="11" t="s">
        <v>78</v>
      </c>
      <c r="Y62" s="11" t="s">
        <v>78</v>
      </c>
      <c r="Z62" s="11" t="s">
        <v>78</v>
      </c>
      <c r="AA62" s="11" t="s">
        <v>78</v>
      </c>
      <c r="AB62" s="11" t="s">
        <v>78</v>
      </c>
      <c r="AC62" s="11" t="s">
        <v>78</v>
      </c>
      <c r="AD62" s="11" t="s">
        <v>344</v>
      </c>
      <c r="AE62" s="11" t="s">
        <v>61</v>
      </c>
      <c r="AH62" s="86">
        <v>16.46</v>
      </c>
      <c r="AI62" s="86">
        <v>5.28</v>
      </c>
      <c r="AJ62" s="86">
        <v>113</v>
      </c>
      <c r="AK62" s="86" t="s">
        <v>52</v>
      </c>
      <c r="AL62" s="86" t="s">
        <v>52</v>
      </c>
      <c r="AM62" s="86" t="s">
        <v>52</v>
      </c>
      <c r="AN62" s="86"/>
      <c r="AO62" s="86"/>
      <c r="AP62" s="86"/>
      <c r="AQ62" s="86"/>
      <c r="AR62" s="86"/>
      <c r="AS62" s="86"/>
      <c r="AU62" s="11">
        <v>0</v>
      </c>
    </row>
    <row r="63" spans="1:48" ht="14.5" customHeight="1" x14ac:dyDescent="0.2">
      <c r="A63" s="13"/>
      <c r="B63" s="13"/>
      <c r="C63" s="13"/>
      <c r="E63" s="13"/>
      <c r="F63" s="13"/>
      <c r="G63" s="13"/>
      <c r="L63" s="40"/>
      <c r="AD63" s="11" t="s">
        <v>345</v>
      </c>
      <c r="AE63" s="11" t="s">
        <v>95</v>
      </c>
      <c r="AH63" s="11" t="s">
        <v>52</v>
      </c>
      <c r="AI63" s="11" t="s">
        <v>52</v>
      </c>
      <c r="AJ63" s="11" t="s">
        <v>52</v>
      </c>
      <c r="AK63" s="11">
        <v>23.21</v>
      </c>
      <c r="AL63" s="11">
        <v>7.33</v>
      </c>
      <c r="AM63" s="11">
        <v>90</v>
      </c>
      <c r="AU63" s="11">
        <v>0</v>
      </c>
    </row>
    <row r="64" spans="1:48" ht="14.5" customHeight="1" x14ac:dyDescent="0.2">
      <c r="A64" s="13"/>
      <c r="B64" s="13"/>
      <c r="C64" s="13"/>
      <c r="E64" s="13"/>
      <c r="F64" s="13"/>
      <c r="G64" s="13"/>
      <c r="L64" s="40"/>
      <c r="AD64" s="11" t="s">
        <v>346</v>
      </c>
      <c r="AE64" s="11" t="s">
        <v>61</v>
      </c>
      <c r="AH64" s="11" t="s">
        <v>52</v>
      </c>
      <c r="AI64" s="11" t="s">
        <v>52</v>
      </c>
      <c r="AJ64" s="11" t="s">
        <v>52</v>
      </c>
      <c r="AK64" s="11">
        <v>6.25</v>
      </c>
      <c r="AL64" s="11">
        <v>1.98</v>
      </c>
      <c r="AM64" s="11">
        <v>90</v>
      </c>
      <c r="AU64" s="11">
        <v>0</v>
      </c>
    </row>
    <row r="65" spans="1:48" s="31" customFormat="1" ht="14.5" customHeight="1" x14ac:dyDescent="0.2">
      <c r="A65" s="30"/>
      <c r="B65" s="30"/>
      <c r="C65" s="30"/>
      <c r="D65" s="89"/>
      <c r="E65" s="30"/>
      <c r="F65" s="30"/>
      <c r="G65" s="30"/>
      <c r="H65" s="274"/>
      <c r="I65" s="274"/>
      <c r="L65" s="41"/>
      <c r="M65" s="32"/>
      <c r="N65" s="32"/>
      <c r="O65" s="32"/>
      <c r="P65" s="32"/>
      <c r="Q65" s="32"/>
      <c r="R65" s="32"/>
      <c r="S65" s="32"/>
      <c r="U65" s="33"/>
      <c r="AD65" s="31" t="s">
        <v>347</v>
      </c>
      <c r="AE65" s="31" t="s">
        <v>95</v>
      </c>
      <c r="AF65" s="60"/>
      <c r="AG65" s="60"/>
      <c r="AH65" s="31" t="s">
        <v>52</v>
      </c>
      <c r="AI65" s="31" t="s">
        <v>52</v>
      </c>
      <c r="AJ65" s="31" t="s">
        <v>52</v>
      </c>
      <c r="AK65" s="31">
        <v>5.89</v>
      </c>
      <c r="AL65" s="31">
        <v>2.92</v>
      </c>
      <c r="AM65" s="31">
        <v>90</v>
      </c>
      <c r="AU65" s="31">
        <v>0</v>
      </c>
      <c r="AV65" s="34"/>
    </row>
    <row r="66" spans="1:48" ht="14.5" customHeight="1" x14ac:dyDescent="0.2">
      <c r="A66" s="13" t="s">
        <v>350</v>
      </c>
      <c r="B66" s="13">
        <v>316</v>
      </c>
      <c r="C66" s="13" t="s">
        <v>47</v>
      </c>
      <c r="D66" s="88" t="s">
        <v>690</v>
      </c>
      <c r="E66" s="13" t="s">
        <v>66</v>
      </c>
      <c r="F66" s="13" t="s">
        <v>49</v>
      </c>
      <c r="G66" s="13" t="s">
        <v>50</v>
      </c>
      <c r="J66" s="11">
        <v>3161</v>
      </c>
      <c r="K66" s="11" t="s">
        <v>351</v>
      </c>
      <c r="L66" s="40" t="s">
        <v>352</v>
      </c>
      <c r="M66" s="17">
        <f>(15+17)/2</f>
        <v>16</v>
      </c>
      <c r="N66" s="17">
        <v>0</v>
      </c>
      <c r="O66" s="17">
        <v>0</v>
      </c>
      <c r="P66" s="17">
        <v>0.6</v>
      </c>
      <c r="Q66" s="17">
        <v>0</v>
      </c>
      <c r="R66" s="17">
        <f>1-0.46</f>
        <v>0.54</v>
      </c>
      <c r="S66" s="17">
        <f>1-0.21</f>
        <v>0.79</v>
      </c>
      <c r="T66" s="11" t="s">
        <v>92</v>
      </c>
      <c r="U66" s="12" t="s">
        <v>353</v>
      </c>
      <c r="V66" s="11" t="s">
        <v>71</v>
      </c>
      <c r="W66" s="11" t="s">
        <v>153</v>
      </c>
      <c r="X66" s="11" t="s">
        <v>162</v>
      </c>
      <c r="Y66" s="11" t="s">
        <v>58</v>
      </c>
      <c r="Z66" s="11">
        <f>60*14</f>
        <v>840</v>
      </c>
      <c r="AA66" s="11">
        <v>14</v>
      </c>
      <c r="AB66" s="11">
        <v>60</v>
      </c>
      <c r="AC66" s="11" t="s">
        <v>148</v>
      </c>
      <c r="AD66" s="11" t="s">
        <v>354</v>
      </c>
      <c r="AE66" s="11" t="s">
        <v>61</v>
      </c>
      <c r="AF66" s="126" t="s">
        <v>536</v>
      </c>
      <c r="AG66" s="126" t="s">
        <v>52</v>
      </c>
      <c r="AH66" s="11" t="s">
        <v>52</v>
      </c>
      <c r="AI66" s="11" t="s">
        <v>52</v>
      </c>
      <c r="AJ66" s="11" t="s">
        <v>52</v>
      </c>
      <c r="AK66" s="11">
        <v>560.97</v>
      </c>
      <c r="AL66" s="11">
        <v>20.68</v>
      </c>
      <c r="AM66" s="11">
        <v>38</v>
      </c>
      <c r="AU66" s="11">
        <v>0</v>
      </c>
    </row>
    <row r="67" spans="1:48" ht="14.5" customHeight="1" x14ac:dyDescent="0.2">
      <c r="A67" s="13"/>
      <c r="B67" s="13"/>
      <c r="C67" s="13"/>
      <c r="E67" s="13"/>
      <c r="F67" s="13"/>
      <c r="G67" s="13"/>
      <c r="L67" s="40"/>
      <c r="AD67" s="11" t="s">
        <v>355</v>
      </c>
      <c r="AE67" s="11" t="s">
        <v>95</v>
      </c>
      <c r="AF67" s="60" t="s">
        <v>528</v>
      </c>
      <c r="AG67" s="60" t="s">
        <v>52</v>
      </c>
      <c r="AH67" s="11" t="s">
        <v>52</v>
      </c>
      <c r="AI67" s="11" t="s">
        <v>52</v>
      </c>
      <c r="AJ67" s="11" t="s">
        <v>52</v>
      </c>
      <c r="AK67" s="11">
        <v>68.39</v>
      </c>
      <c r="AL67" s="11">
        <v>13.56</v>
      </c>
      <c r="AM67" s="11">
        <v>31</v>
      </c>
      <c r="AU67" s="11">
        <v>0</v>
      </c>
    </row>
    <row r="68" spans="1:48" ht="14.5" customHeight="1" x14ac:dyDescent="0.2">
      <c r="A68" s="13"/>
      <c r="B68" s="13"/>
      <c r="C68" s="13"/>
      <c r="E68" s="13"/>
      <c r="F68" s="13"/>
      <c r="G68" s="13"/>
      <c r="L68" s="40"/>
      <c r="AD68" s="11" t="s">
        <v>356</v>
      </c>
      <c r="AE68" s="11" t="s">
        <v>95</v>
      </c>
      <c r="AF68" s="60" t="s">
        <v>528</v>
      </c>
      <c r="AG68" s="60" t="s">
        <v>52</v>
      </c>
      <c r="AH68" s="11" t="s">
        <v>52</v>
      </c>
      <c r="AI68" s="11" t="s">
        <v>52</v>
      </c>
      <c r="AJ68" s="11" t="s">
        <v>52</v>
      </c>
      <c r="AK68" s="11">
        <v>82.1</v>
      </c>
      <c r="AL68" s="11">
        <v>13.02</v>
      </c>
      <c r="AM68" s="11">
        <v>31</v>
      </c>
      <c r="AU68" s="11">
        <v>0</v>
      </c>
    </row>
    <row r="69" spans="1:48" ht="14.5" customHeight="1" x14ac:dyDescent="0.2">
      <c r="A69" s="13"/>
      <c r="B69" s="13"/>
      <c r="C69" s="13"/>
      <c r="E69" s="13"/>
      <c r="F69" s="13"/>
      <c r="G69" s="13"/>
      <c r="L69" s="40"/>
      <c r="AD69" s="11" t="s">
        <v>357</v>
      </c>
      <c r="AE69" s="11" t="s">
        <v>95</v>
      </c>
      <c r="AF69" s="60" t="s">
        <v>528</v>
      </c>
      <c r="AG69" s="60" t="s">
        <v>52</v>
      </c>
      <c r="AH69" s="11" t="s">
        <v>52</v>
      </c>
      <c r="AI69" s="11" t="s">
        <v>52</v>
      </c>
      <c r="AJ69" s="11" t="s">
        <v>52</v>
      </c>
      <c r="AK69" s="11">
        <v>81.94</v>
      </c>
      <c r="AL69" s="11">
        <v>13.58</v>
      </c>
      <c r="AM69" s="11">
        <v>31</v>
      </c>
      <c r="AU69" s="11">
        <v>0</v>
      </c>
    </row>
    <row r="70" spans="1:48" ht="14.5" customHeight="1" x14ac:dyDescent="0.2">
      <c r="A70" s="13"/>
      <c r="B70" s="13"/>
      <c r="C70" s="13"/>
      <c r="E70" s="13"/>
      <c r="F70" s="13"/>
      <c r="G70" s="13"/>
      <c r="L70" s="40"/>
      <c r="AD70" s="11" t="s">
        <v>358</v>
      </c>
      <c r="AE70" s="11" t="s">
        <v>95</v>
      </c>
      <c r="AF70" s="60" t="s">
        <v>528</v>
      </c>
      <c r="AG70" s="60" t="s">
        <v>52</v>
      </c>
      <c r="AH70" s="11" t="s">
        <v>52</v>
      </c>
      <c r="AI70" s="11" t="s">
        <v>52</v>
      </c>
      <c r="AJ70" s="11" t="s">
        <v>52</v>
      </c>
      <c r="AK70" s="11">
        <v>66.290000000000006</v>
      </c>
      <c r="AL70" s="11">
        <v>15.49</v>
      </c>
      <c r="AM70" s="11">
        <v>31</v>
      </c>
      <c r="AU70" s="11">
        <v>0</v>
      </c>
    </row>
    <row r="71" spans="1:48" ht="14.5" customHeight="1" x14ac:dyDescent="0.2">
      <c r="A71" s="13"/>
      <c r="B71" s="13"/>
      <c r="C71" s="13"/>
      <c r="E71" s="13"/>
      <c r="F71" s="13"/>
      <c r="G71" s="13"/>
      <c r="J71" s="11">
        <v>3162</v>
      </c>
      <c r="K71" s="11" t="s">
        <v>359</v>
      </c>
      <c r="L71" s="40" t="s">
        <v>352</v>
      </c>
      <c r="M71" s="17">
        <f>(15+17)/2</f>
        <v>16</v>
      </c>
      <c r="N71" s="17">
        <v>0</v>
      </c>
      <c r="O71" s="17">
        <v>0</v>
      </c>
      <c r="P71" s="17">
        <v>0.6</v>
      </c>
      <c r="Q71" s="17">
        <v>0</v>
      </c>
      <c r="R71" s="17">
        <f>1-0.46</f>
        <v>0.54</v>
      </c>
      <c r="S71" s="17">
        <f>1-0.21</f>
        <v>0.79</v>
      </c>
      <c r="T71" s="11" t="s">
        <v>92</v>
      </c>
      <c r="U71" s="12" t="s">
        <v>360</v>
      </c>
      <c r="V71" s="11" t="s">
        <v>71</v>
      </c>
      <c r="W71" s="11" t="s">
        <v>153</v>
      </c>
      <c r="X71" s="11" t="s">
        <v>162</v>
      </c>
      <c r="Y71" s="11" t="s">
        <v>58</v>
      </c>
      <c r="Z71" s="11">
        <f>60*14</f>
        <v>840</v>
      </c>
      <c r="AA71" s="11">
        <v>14</v>
      </c>
      <c r="AB71" s="11">
        <v>60</v>
      </c>
      <c r="AC71" s="11" t="s">
        <v>148</v>
      </c>
      <c r="AD71" s="11" t="s">
        <v>354</v>
      </c>
      <c r="AE71" s="11" t="s">
        <v>61</v>
      </c>
      <c r="AH71" s="11" t="s">
        <v>52</v>
      </c>
      <c r="AI71" s="11" t="s">
        <v>52</v>
      </c>
      <c r="AJ71" s="11" t="s">
        <v>52</v>
      </c>
      <c r="AK71" s="11">
        <v>561.75</v>
      </c>
      <c r="AL71" s="11">
        <v>19.93</v>
      </c>
      <c r="AM71" s="11">
        <v>24</v>
      </c>
      <c r="AU71" s="11">
        <v>0</v>
      </c>
    </row>
    <row r="72" spans="1:48" ht="14.5" customHeight="1" x14ac:dyDescent="0.2">
      <c r="A72" s="13"/>
      <c r="B72" s="13"/>
      <c r="C72" s="13"/>
      <c r="E72" s="13"/>
      <c r="F72" s="13"/>
      <c r="G72" s="13"/>
      <c r="L72" s="40"/>
      <c r="AD72" s="11" t="s">
        <v>355</v>
      </c>
      <c r="AE72" s="11" t="s">
        <v>95</v>
      </c>
      <c r="AH72" s="11" t="s">
        <v>52</v>
      </c>
      <c r="AI72" s="11" t="s">
        <v>52</v>
      </c>
      <c r="AJ72" s="11" t="s">
        <v>52</v>
      </c>
      <c r="AK72" s="11">
        <v>79.47</v>
      </c>
      <c r="AL72" s="11">
        <v>6.85</v>
      </c>
      <c r="AM72" s="11">
        <v>19</v>
      </c>
      <c r="AU72" s="11">
        <v>0</v>
      </c>
    </row>
    <row r="73" spans="1:48" ht="14.5" customHeight="1" x14ac:dyDescent="0.2">
      <c r="A73" s="13"/>
      <c r="B73" s="13"/>
      <c r="C73" s="13"/>
      <c r="E73" s="13"/>
      <c r="F73" s="13"/>
      <c r="G73" s="13"/>
      <c r="L73" s="40"/>
      <c r="AD73" s="11" t="s">
        <v>356</v>
      </c>
      <c r="AE73" s="11" t="s">
        <v>95</v>
      </c>
      <c r="AH73" s="11" t="s">
        <v>52</v>
      </c>
      <c r="AI73" s="11" t="s">
        <v>52</v>
      </c>
      <c r="AJ73" s="11" t="s">
        <v>52</v>
      </c>
      <c r="AK73" s="11">
        <v>82.63</v>
      </c>
      <c r="AL73" s="11">
        <v>12.18</v>
      </c>
      <c r="AM73" s="11">
        <v>19</v>
      </c>
      <c r="AU73" s="11">
        <v>0</v>
      </c>
    </row>
    <row r="74" spans="1:48" ht="14.5" customHeight="1" x14ac:dyDescent="0.2">
      <c r="A74" s="13"/>
      <c r="B74" s="13"/>
      <c r="C74" s="13"/>
      <c r="E74" s="13"/>
      <c r="F74" s="13"/>
      <c r="G74" s="13"/>
      <c r="L74" s="40"/>
      <c r="AD74" s="11" t="s">
        <v>357</v>
      </c>
      <c r="AE74" s="11" t="s">
        <v>95</v>
      </c>
      <c r="AH74" s="11" t="s">
        <v>52</v>
      </c>
      <c r="AI74" s="11" t="s">
        <v>52</v>
      </c>
      <c r="AJ74" s="11" t="s">
        <v>52</v>
      </c>
      <c r="AK74" s="11">
        <v>90.53</v>
      </c>
      <c r="AL74" s="11">
        <v>10.26</v>
      </c>
      <c r="AM74" s="11">
        <v>19</v>
      </c>
      <c r="AU74" s="11">
        <v>0</v>
      </c>
    </row>
    <row r="75" spans="1:48" ht="14.5" customHeight="1" x14ac:dyDescent="0.2">
      <c r="A75" s="13"/>
      <c r="B75" s="13"/>
      <c r="C75" s="13"/>
      <c r="E75" s="13"/>
      <c r="F75" s="13"/>
      <c r="G75" s="13"/>
      <c r="L75" s="40"/>
      <c r="AD75" s="11" t="s">
        <v>358</v>
      </c>
      <c r="AE75" s="11" t="s">
        <v>95</v>
      </c>
      <c r="AH75" s="11" t="s">
        <v>52</v>
      </c>
      <c r="AI75" s="11" t="s">
        <v>52</v>
      </c>
      <c r="AJ75" s="11" t="s">
        <v>52</v>
      </c>
      <c r="AK75" s="11">
        <v>68.42</v>
      </c>
      <c r="AL75" s="11">
        <v>14.63</v>
      </c>
      <c r="AM75" s="11">
        <v>19</v>
      </c>
      <c r="AU75" s="11">
        <v>0</v>
      </c>
    </row>
    <row r="76" spans="1:48" ht="14.5" customHeight="1" x14ac:dyDescent="0.2">
      <c r="A76" s="13"/>
      <c r="B76" s="13"/>
      <c r="C76" s="13"/>
      <c r="E76" s="13"/>
      <c r="F76" s="13"/>
      <c r="G76" s="13"/>
      <c r="J76" s="11">
        <v>3163</v>
      </c>
      <c r="K76" s="11" t="s">
        <v>126</v>
      </c>
      <c r="L76" s="40" t="s">
        <v>352</v>
      </c>
      <c r="M76" s="17">
        <f>(15+17)/2</f>
        <v>16</v>
      </c>
      <c r="N76" s="17">
        <v>0</v>
      </c>
      <c r="O76" s="17">
        <v>0</v>
      </c>
      <c r="P76" s="17">
        <v>0.6</v>
      </c>
      <c r="Q76" s="17">
        <v>0</v>
      </c>
      <c r="R76" s="17">
        <f>1-0.46</f>
        <v>0.54</v>
      </c>
      <c r="S76" s="17">
        <f>1-0.21</f>
        <v>0.79</v>
      </c>
      <c r="T76" s="11" t="s">
        <v>78</v>
      </c>
      <c r="U76" s="12" t="s">
        <v>361</v>
      </c>
      <c r="V76" s="42" t="s">
        <v>71</v>
      </c>
      <c r="W76" s="11" t="s">
        <v>78</v>
      </c>
      <c r="X76" s="11" t="s">
        <v>78</v>
      </c>
      <c r="Y76" s="11" t="s">
        <v>78</v>
      </c>
      <c r="Z76" s="11" t="s">
        <v>78</v>
      </c>
      <c r="AA76" s="11" t="s">
        <v>78</v>
      </c>
      <c r="AB76" s="11" t="s">
        <v>78</v>
      </c>
      <c r="AC76" s="11" t="s">
        <v>78</v>
      </c>
      <c r="AD76" s="11" t="s">
        <v>354</v>
      </c>
      <c r="AE76" s="11" t="s">
        <v>61</v>
      </c>
      <c r="AH76" s="11" t="s">
        <v>52</v>
      </c>
      <c r="AI76" s="11" t="s">
        <v>52</v>
      </c>
      <c r="AJ76" s="11" t="s">
        <v>52</v>
      </c>
      <c r="AK76" s="11">
        <v>549.12</v>
      </c>
      <c r="AL76" s="11">
        <v>22.19</v>
      </c>
      <c r="AM76" s="11">
        <v>43</v>
      </c>
      <c r="AU76" s="11">
        <v>0</v>
      </c>
    </row>
    <row r="77" spans="1:48" ht="14.5" customHeight="1" x14ac:dyDescent="0.2">
      <c r="A77" s="13"/>
      <c r="B77" s="13"/>
      <c r="C77" s="13"/>
      <c r="E77" s="13"/>
      <c r="F77" s="13"/>
      <c r="G77" s="13"/>
      <c r="L77" s="40"/>
      <c r="AD77" s="11" t="s">
        <v>355</v>
      </c>
      <c r="AE77" s="11" t="s">
        <v>95</v>
      </c>
      <c r="AH77" s="11" t="s">
        <v>52</v>
      </c>
      <c r="AI77" s="11" t="s">
        <v>52</v>
      </c>
      <c r="AJ77" s="11" t="s">
        <v>52</v>
      </c>
      <c r="AK77" s="11">
        <v>64.64</v>
      </c>
      <c r="AL77" s="11">
        <v>17.71</v>
      </c>
      <c r="AM77" s="11">
        <v>56</v>
      </c>
      <c r="AU77" s="11">
        <v>0</v>
      </c>
    </row>
    <row r="78" spans="1:48" ht="14.5" customHeight="1" x14ac:dyDescent="0.2">
      <c r="A78" s="13"/>
      <c r="B78" s="13"/>
      <c r="C78" s="13"/>
      <c r="E78" s="13"/>
      <c r="F78" s="13"/>
      <c r="G78" s="13"/>
      <c r="L78" s="40"/>
      <c r="AD78" s="11" t="s">
        <v>356</v>
      </c>
      <c r="AE78" s="11" t="s">
        <v>95</v>
      </c>
      <c r="AH78" s="11" t="s">
        <v>52</v>
      </c>
      <c r="AI78" s="11" t="s">
        <v>52</v>
      </c>
      <c r="AJ78" s="11" t="s">
        <v>52</v>
      </c>
      <c r="AK78" s="11">
        <v>78.13</v>
      </c>
      <c r="AL78" s="11">
        <v>18.43</v>
      </c>
      <c r="AM78" s="11">
        <v>56</v>
      </c>
      <c r="AU78" s="11">
        <v>0</v>
      </c>
    </row>
    <row r="79" spans="1:48" ht="14.5" customHeight="1" x14ac:dyDescent="0.2">
      <c r="A79" s="13"/>
      <c r="B79" s="13"/>
      <c r="C79" s="13"/>
      <c r="E79" s="13"/>
      <c r="F79" s="13"/>
      <c r="G79" s="13"/>
      <c r="L79" s="40"/>
      <c r="AD79" s="11" t="s">
        <v>357</v>
      </c>
      <c r="AE79" s="11" t="s">
        <v>95</v>
      </c>
      <c r="AH79" s="11" t="s">
        <v>52</v>
      </c>
      <c r="AI79" s="11" t="s">
        <v>52</v>
      </c>
      <c r="AJ79" s="11" t="s">
        <v>52</v>
      </c>
      <c r="AK79" s="11">
        <v>75.45</v>
      </c>
      <c r="AL79" s="11">
        <v>21.69</v>
      </c>
      <c r="AM79" s="11">
        <v>56</v>
      </c>
      <c r="AU79" s="11">
        <v>0</v>
      </c>
    </row>
    <row r="80" spans="1:48" s="31" customFormat="1" ht="14.5" customHeight="1" x14ac:dyDescent="0.2">
      <c r="A80" s="30"/>
      <c r="B80" s="30"/>
      <c r="C80" s="30"/>
      <c r="D80" s="89"/>
      <c r="E80" s="30"/>
      <c r="F80" s="30"/>
      <c r="G80" s="30"/>
      <c r="H80" s="274"/>
      <c r="I80" s="274"/>
      <c r="L80" s="41"/>
      <c r="M80" s="32"/>
      <c r="N80" s="32"/>
      <c r="O80" s="32"/>
      <c r="P80" s="32"/>
      <c r="Q80" s="32"/>
      <c r="R80" s="32"/>
      <c r="S80" s="32"/>
      <c r="U80" s="33"/>
      <c r="AD80" s="31" t="s">
        <v>358</v>
      </c>
      <c r="AE80" s="31" t="s">
        <v>95</v>
      </c>
      <c r="AF80" s="63"/>
      <c r="AG80" s="63"/>
      <c r="AH80" s="31" t="s">
        <v>52</v>
      </c>
      <c r="AI80" s="31" t="s">
        <v>52</v>
      </c>
      <c r="AJ80" s="31" t="s">
        <v>52</v>
      </c>
      <c r="AK80" s="31">
        <v>56.88</v>
      </c>
      <c r="AL80" s="31">
        <v>20.170000000000002</v>
      </c>
      <c r="AM80" s="31">
        <v>56</v>
      </c>
      <c r="AU80" s="31">
        <v>0</v>
      </c>
      <c r="AV80" s="34"/>
    </row>
    <row r="81" spans="1:48" ht="14.5" customHeight="1" x14ac:dyDescent="0.2">
      <c r="A81" s="13" t="s">
        <v>362</v>
      </c>
      <c r="B81" s="13">
        <v>317</v>
      </c>
      <c r="C81" s="13" t="s">
        <v>47</v>
      </c>
      <c r="D81" s="88" t="s">
        <v>690</v>
      </c>
      <c r="E81" s="13" t="s">
        <v>66</v>
      </c>
      <c r="F81" s="13" t="s">
        <v>49</v>
      </c>
      <c r="G81" s="13" t="s">
        <v>238</v>
      </c>
      <c r="J81" s="11">
        <v>3171</v>
      </c>
      <c r="K81" s="11" t="s">
        <v>239</v>
      </c>
      <c r="L81" s="40" t="s">
        <v>363</v>
      </c>
      <c r="M81" s="17">
        <v>8.5</v>
      </c>
      <c r="N81" s="17" t="s">
        <v>314</v>
      </c>
      <c r="O81" s="46" t="s">
        <v>52</v>
      </c>
      <c r="P81" s="17">
        <v>0.18</v>
      </c>
      <c r="Q81" s="17" t="s">
        <v>52</v>
      </c>
      <c r="R81" s="17">
        <v>0.48</v>
      </c>
      <c r="S81" s="46">
        <f>1-0.76</f>
        <v>0.24</v>
      </c>
      <c r="T81" s="11" t="s">
        <v>92</v>
      </c>
      <c r="U81" s="12" t="s">
        <v>364</v>
      </c>
      <c r="V81" s="11" t="s">
        <v>71</v>
      </c>
      <c r="W81" s="11" t="s">
        <v>153</v>
      </c>
      <c r="X81" s="11" t="s">
        <v>162</v>
      </c>
      <c r="Y81" s="11" t="s">
        <v>58</v>
      </c>
      <c r="Z81" s="11">
        <f>60*90</f>
        <v>5400</v>
      </c>
      <c r="AA81" s="11">
        <f>5*12</f>
        <v>60</v>
      </c>
      <c r="AB81" s="11">
        <v>90</v>
      </c>
      <c r="AC81" s="11" t="s">
        <v>59</v>
      </c>
      <c r="AD81" s="11" t="s">
        <v>365</v>
      </c>
      <c r="AE81" s="11" t="s">
        <v>95</v>
      </c>
      <c r="AF81" s="60" t="s">
        <v>459</v>
      </c>
      <c r="AG81" s="60" t="s">
        <v>699</v>
      </c>
      <c r="AH81" s="11">
        <v>3.13</v>
      </c>
      <c r="AI81" s="11">
        <v>1.1000000000000001</v>
      </c>
      <c r="AJ81" s="11">
        <v>148</v>
      </c>
      <c r="AK81" s="11">
        <v>3.65</v>
      </c>
      <c r="AL81" s="11">
        <v>1.04</v>
      </c>
      <c r="AM81" s="11">
        <v>148</v>
      </c>
      <c r="AU81" s="11">
        <v>0</v>
      </c>
      <c r="AV81" s="1" t="s">
        <v>86</v>
      </c>
    </row>
    <row r="82" spans="1:48" ht="14.5" customHeight="1" x14ac:dyDescent="0.2">
      <c r="A82" s="13"/>
      <c r="B82" s="13"/>
      <c r="C82" s="13"/>
      <c r="E82" s="13"/>
      <c r="F82" s="13"/>
      <c r="G82" s="13"/>
      <c r="L82" s="40"/>
      <c r="AD82" s="11" t="s">
        <v>366</v>
      </c>
      <c r="AE82" s="11" t="s">
        <v>95</v>
      </c>
      <c r="AF82" s="60" t="s">
        <v>459</v>
      </c>
      <c r="AG82" s="60" t="s">
        <v>700</v>
      </c>
      <c r="AH82" s="11">
        <v>0.31</v>
      </c>
      <c r="AI82" s="11">
        <v>0.18</v>
      </c>
      <c r="AJ82" s="11">
        <v>148</v>
      </c>
      <c r="AK82" s="11">
        <v>0.56000000000000005</v>
      </c>
      <c r="AL82" s="11">
        <v>0.14000000000000001</v>
      </c>
      <c r="AM82" s="11">
        <v>148</v>
      </c>
      <c r="AU82" s="11">
        <v>0</v>
      </c>
    </row>
    <row r="83" spans="1:48" ht="14.5" customHeight="1" x14ac:dyDescent="0.2">
      <c r="A83" s="13"/>
      <c r="B83" s="13"/>
      <c r="C83" s="13"/>
      <c r="E83" s="13"/>
      <c r="F83" s="13"/>
      <c r="G83" s="13"/>
      <c r="J83" s="11">
        <v>3172</v>
      </c>
      <c r="K83" s="11" t="s">
        <v>278</v>
      </c>
      <c r="L83" s="40" t="s">
        <v>363</v>
      </c>
      <c r="M83" s="17">
        <v>8.5</v>
      </c>
      <c r="N83" s="17" t="s">
        <v>314</v>
      </c>
      <c r="O83" s="46" t="s">
        <v>52</v>
      </c>
      <c r="P83" s="17">
        <v>0.22</v>
      </c>
      <c r="Q83" s="17" t="s">
        <v>52</v>
      </c>
      <c r="R83" s="17">
        <v>0.48</v>
      </c>
      <c r="S83" s="46">
        <f>1-0.73</f>
        <v>0.27</v>
      </c>
      <c r="T83" s="11" t="s">
        <v>92</v>
      </c>
      <c r="U83" s="12" t="s">
        <v>367</v>
      </c>
      <c r="V83" s="11" t="s">
        <v>80</v>
      </c>
      <c r="W83" s="11" t="s">
        <v>153</v>
      </c>
      <c r="X83" s="11" t="s">
        <v>162</v>
      </c>
      <c r="Y83" s="11" t="s">
        <v>58</v>
      </c>
      <c r="Z83" s="11">
        <f>60*90</f>
        <v>5400</v>
      </c>
      <c r="AA83" s="11">
        <f>5*12</f>
        <v>60</v>
      </c>
      <c r="AB83" s="11">
        <v>90</v>
      </c>
      <c r="AC83" s="11" t="s">
        <v>59</v>
      </c>
      <c r="AD83" s="11" t="s">
        <v>365</v>
      </c>
      <c r="AE83" s="11" t="s">
        <v>95</v>
      </c>
      <c r="AH83" s="11">
        <v>2.19</v>
      </c>
      <c r="AI83" s="11">
        <v>0.78</v>
      </c>
      <c r="AJ83" s="11">
        <v>213</v>
      </c>
      <c r="AK83" s="11">
        <v>2.87</v>
      </c>
      <c r="AL83" s="11">
        <v>0.51</v>
      </c>
      <c r="AM83" s="11">
        <v>213</v>
      </c>
      <c r="AU83" s="11">
        <v>0</v>
      </c>
      <c r="AV83" s="1" t="s">
        <v>86</v>
      </c>
    </row>
    <row r="84" spans="1:48" s="31" customFormat="1" ht="14.5" customHeight="1" x14ac:dyDescent="0.2">
      <c r="A84" s="30"/>
      <c r="B84" s="30"/>
      <c r="C84" s="30"/>
      <c r="D84" s="89"/>
      <c r="E84" s="30"/>
      <c r="F84" s="30"/>
      <c r="G84" s="30"/>
      <c r="H84" s="274"/>
      <c r="I84" s="274"/>
      <c r="L84" s="41"/>
      <c r="M84" s="32"/>
      <c r="N84" s="32"/>
      <c r="O84" s="32"/>
      <c r="P84" s="32"/>
      <c r="Q84" s="32"/>
      <c r="R84" s="32"/>
      <c r="S84" s="32"/>
      <c r="U84" s="33"/>
      <c r="AD84" s="31" t="s">
        <v>366</v>
      </c>
      <c r="AE84" s="31" t="s">
        <v>95</v>
      </c>
      <c r="AF84" s="60"/>
      <c r="AG84" s="63"/>
      <c r="AH84" s="31">
        <v>0.15</v>
      </c>
      <c r="AI84" s="31">
        <v>0.15</v>
      </c>
      <c r="AJ84" s="31">
        <v>213</v>
      </c>
      <c r="AK84" s="31">
        <v>0.31</v>
      </c>
      <c r="AL84" s="31">
        <v>0.16</v>
      </c>
      <c r="AM84" s="31">
        <v>213</v>
      </c>
      <c r="AU84" s="31">
        <v>0</v>
      </c>
      <c r="AV84" s="34"/>
    </row>
    <row r="85" spans="1:48" ht="14.5" customHeight="1" x14ac:dyDescent="0.2">
      <c r="A85" s="13" t="s">
        <v>368</v>
      </c>
      <c r="B85" s="13">
        <v>318</v>
      </c>
      <c r="C85" s="13" t="s">
        <v>47</v>
      </c>
      <c r="D85" s="88" t="s">
        <v>690</v>
      </c>
      <c r="E85" s="13" t="s">
        <v>66</v>
      </c>
      <c r="F85" s="13" t="s">
        <v>49</v>
      </c>
      <c r="G85" s="13" t="s">
        <v>238</v>
      </c>
      <c r="J85" s="11">
        <v>3181</v>
      </c>
      <c r="K85" s="11" t="s">
        <v>239</v>
      </c>
      <c r="L85" s="40" t="s">
        <v>363</v>
      </c>
      <c r="M85" s="17">
        <v>8.5</v>
      </c>
      <c r="N85" s="17" t="s">
        <v>314</v>
      </c>
      <c r="O85" s="17">
        <v>0.16</v>
      </c>
      <c r="P85" s="17" t="s">
        <v>52</v>
      </c>
      <c r="Q85" s="17">
        <v>0.02</v>
      </c>
      <c r="R85" s="17">
        <v>0.56999999999999995</v>
      </c>
      <c r="S85" s="46">
        <v>0.41</v>
      </c>
      <c r="T85" s="11" t="s">
        <v>92</v>
      </c>
      <c r="U85" s="12" t="s">
        <v>369</v>
      </c>
      <c r="V85" s="11" t="s">
        <v>71</v>
      </c>
      <c r="W85" s="11" t="s">
        <v>153</v>
      </c>
      <c r="X85" s="11" t="s">
        <v>162</v>
      </c>
      <c r="Y85" s="11" t="s">
        <v>58</v>
      </c>
      <c r="Z85" s="11">
        <f>60*90</f>
        <v>5400</v>
      </c>
      <c r="AA85" s="11">
        <f>5*12</f>
        <v>60</v>
      </c>
      <c r="AB85" s="11">
        <v>90</v>
      </c>
      <c r="AC85" s="11" t="s">
        <v>59</v>
      </c>
      <c r="AD85" s="11" t="s">
        <v>366</v>
      </c>
      <c r="AE85" s="11" t="s">
        <v>95</v>
      </c>
      <c r="AF85" s="126" t="s">
        <v>459</v>
      </c>
      <c r="AG85" s="60" t="s">
        <v>700</v>
      </c>
      <c r="AH85" s="11">
        <v>0.33</v>
      </c>
      <c r="AI85" s="11">
        <v>0.11</v>
      </c>
      <c r="AJ85" s="11">
        <v>191</v>
      </c>
      <c r="AK85" s="11">
        <v>0.46</v>
      </c>
      <c r="AL85" s="11">
        <v>9.8000000000000004E-2</v>
      </c>
      <c r="AM85" s="11">
        <v>191</v>
      </c>
      <c r="AU85" s="11">
        <v>0</v>
      </c>
      <c r="AV85" s="1" t="s">
        <v>86</v>
      </c>
    </row>
    <row r="86" spans="1:48" ht="14.5" customHeight="1" x14ac:dyDescent="0.2">
      <c r="A86" s="13"/>
      <c r="B86" s="13"/>
      <c r="C86" s="13"/>
      <c r="E86" s="13"/>
      <c r="F86" s="13"/>
      <c r="G86" s="13"/>
      <c r="L86" s="40"/>
      <c r="AD86" s="11" t="s">
        <v>370</v>
      </c>
      <c r="AE86" s="11" t="s">
        <v>61</v>
      </c>
      <c r="AF86" s="60" t="s">
        <v>536</v>
      </c>
      <c r="AH86" s="11" t="s">
        <v>52</v>
      </c>
      <c r="AI86" s="11" t="s">
        <v>52</v>
      </c>
      <c r="AJ86" s="11" t="s">
        <v>52</v>
      </c>
      <c r="AK86" s="11">
        <v>498.6</v>
      </c>
      <c r="AL86" s="11">
        <v>22.57</v>
      </c>
      <c r="AM86" s="11">
        <v>191</v>
      </c>
      <c r="AU86" s="11">
        <v>0</v>
      </c>
    </row>
    <row r="87" spans="1:48" ht="14.5" customHeight="1" x14ac:dyDescent="0.2">
      <c r="A87" s="13"/>
      <c r="B87" s="13"/>
      <c r="C87" s="13"/>
      <c r="E87" s="13"/>
      <c r="F87" s="13"/>
      <c r="G87" s="13"/>
      <c r="J87" s="11">
        <v>3182</v>
      </c>
      <c r="K87" s="11" t="s">
        <v>278</v>
      </c>
      <c r="L87" s="40" t="s">
        <v>363</v>
      </c>
      <c r="M87" s="17">
        <v>8.5</v>
      </c>
      <c r="N87" s="17" t="s">
        <v>314</v>
      </c>
      <c r="O87" s="17">
        <v>0.11</v>
      </c>
      <c r="P87" s="17" t="s">
        <v>52</v>
      </c>
      <c r="Q87" s="17">
        <v>0.03</v>
      </c>
      <c r="R87" s="17">
        <v>0.5</v>
      </c>
      <c r="S87" s="17">
        <v>0.44</v>
      </c>
      <c r="T87" s="11" t="s">
        <v>92</v>
      </c>
      <c r="U87" s="12" t="s">
        <v>369</v>
      </c>
      <c r="V87" s="11" t="s">
        <v>71</v>
      </c>
      <c r="W87" s="11" t="s">
        <v>153</v>
      </c>
      <c r="X87" s="11" t="s">
        <v>162</v>
      </c>
      <c r="Y87" s="11" t="s">
        <v>58</v>
      </c>
      <c r="Z87" s="11">
        <f>60*90</f>
        <v>5400</v>
      </c>
      <c r="AA87" s="11">
        <f>5*12</f>
        <v>60</v>
      </c>
      <c r="AB87" s="11">
        <v>90</v>
      </c>
      <c r="AC87" s="11" t="s">
        <v>59</v>
      </c>
      <c r="AD87" s="11" t="s">
        <v>366</v>
      </c>
      <c r="AE87" s="11" t="s">
        <v>95</v>
      </c>
      <c r="AH87" s="11">
        <v>0.32</v>
      </c>
      <c r="AI87" s="11">
        <v>7.3999999999999996E-2</v>
      </c>
      <c r="AJ87" s="11">
        <v>257</v>
      </c>
      <c r="AK87" s="11">
        <v>0.38</v>
      </c>
      <c r="AL87" s="11">
        <v>5.3999999999999999E-2</v>
      </c>
      <c r="AM87" s="11">
        <v>257</v>
      </c>
      <c r="AU87" s="11">
        <v>0</v>
      </c>
      <c r="AV87" s="1" t="s">
        <v>86</v>
      </c>
    </row>
    <row r="88" spans="1:48" ht="14.5" customHeight="1" x14ac:dyDescent="0.2">
      <c r="A88" s="13"/>
      <c r="B88" s="13"/>
      <c r="C88" s="13"/>
      <c r="E88" s="13"/>
      <c r="F88" s="13"/>
      <c r="G88" s="13"/>
      <c r="L88" s="40"/>
      <c r="AD88" s="11" t="s">
        <v>370</v>
      </c>
      <c r="AE88" s="11" t="s">
        <v>61</v>
      </c>
      <c r="AH88" s="11" t="s">
        <v>52</v>
      </c>
      <c r="AI88" s="11" t="s">
        <v>52</v>
      </c>
      <c r="AJ88" s="11" t="s">
        <v>52</v>
      </c>
      <c r="AK88" s="11">
        <v>468.57</v>
      </c>
      <c r="AL88" s="11">
        <v>15.85</v>
      </c>
      <c r="AM88" s="11">
        <v>257</v>
      </c>
      <c r="AU88" s="11">
        <v>0</v>
      </c>
      <c r="AV88" s="11"/>
    </row>
    <row r="89" spans="1:48" ht="14.5" customHeight="1" x14ac:dyDescent="0.2">
      <c r="A89" s="13"/>
      <c r="B89" s="13"/>
      <c r="C89" s="13"/>
      <c r="E89" s="13"/>
      <c r="F89" s="13"/>
      <c r="G89" s="13"/>
      <c r="J89" s="11">
        <v>3183</v>
      </c>
      <c r="K89" s="11" t="s">
        <v>280</v>
      </c>
      <c r="L89" s="40" t="s">
        <v>363</v>
      </c>
      <c r="M89" s="17">
        <v>8.5</v>
      </c>
      <c r="N89" s="17" t="s">
        <v>314</v>
      </c>
      <c r="O89" s="17">
        <v>0.2</v>
      </c>
      <c r="P89" s="17" t="s">
        <v>52</v>
      </c>
      <c r="Q89" s="17">
        <v>0</v>
      </c>
      <c r="R89" s="17">
        <v>0.55000000000000004</v>
      </c>
      <c r="S89" s="17">
        <v>0.1</v>
      </c>
      <c r="T89" s="11" t="s">
        <v>78</v>
      </c>
      <c r="U89" s="12" t="s">
        <v>371</v>
      </c>
      <c r="V89" s="11" t="s">
        <v>80</v>
      </c>
      <c r="W89" s="11" t="s">
        <v>153</v>
      </c>
      <c r="X89" s="11" t="s">
        <v>162</v>
      </c>
      <c r="Y89" s="11" t="s">
        <v>58</v>
      </c>
      <c r="Z89" s="11">
        <f>60*90</f>
        <v>5400</v>
      </c>
      <c r="AA89" s="11">
        <f>5*12</f>
        <v>60</v>
      </c>
      <c r="AB89" s="11">
        <v>90</v>
      </c>
      <c r="AC89" s="11" t="s">
        <v>59</v>
      </c>
      <c r="AD89" s="11" t="s">
        <v>366</v>
      </c>
      <c r="AE89" s="11" t="s">
        <v>95</v>
      </c>
      <c r="AH89" s="11">
        <v>0.32</v>
      </c>
      <c r="AI89" s="11">
        <v>4.9000000000000002E-2</v>
      </c>
      <c r="AJ89" s="11">
        <v>76</v>
      </c>
      <c r="AK89" s="11">
        <v>0.35</v>
      </c>
      <c r="AL89" s="11">
        <v>0.04</v>
      </c>
      <c r="AM89" s="11">
        <v>76</v>
      </c>
      <c r="AU89" s="11">
        <v>0</v>
      </c>
      <c r="AV89" s="1" t="s">
        <v>86</v>
      </c>
    </row>
    <row r="90" spans="1:48" s="31" customFormat="1" ht="14.5" customHeight="1" x14ac:dyDescent="0.2">
      <c r="A90" s="30"/>
      <c r="B90" s="30"/>
      <c r="C90" s="30"/>
      <c r="D90" s="89"/>
      <c r="E90" s="30"/>
      <c r="F90" s="30"/>
      <c r="G90" s="30"/>
      <c r="H90" s="274"/>
      <c r="I90" s="274"/>
      <c r="L90" s="41"/>
      <c r="M90" s="32"/>
      <c r="N90" s="32"/>
      <c r="O90" s="32"/>
      <c r="P90" s="32"/>
      <c r="Q90" s="32"/>
      <c r="R90" s="32"/>
      <c r="S90" s="32"/>
      <c r="U90" s="33"/>
      <c r="AD90" s="31" t="s">
        <v>370</v>
      </c>
      <c r="AE90" s="31" t="s">
        <v>61</v>
      </c>
      <c r="AF90" s="63"/>
      <c r="AG90" s="63"/>
      <c r="AH90" s="31" t="s">
        <v>52</v>
      </c>
      <c r="AI90" s="31" t="s">
        <v>52</v>
      </c>
      <c r="AJ90" s="31" t="s">
        <v>52</v>
      </c>
      <c r="AK90" s="31">
        <v>483.33</v>
      </c>
      <c r="AL90" s="31">
        <v>11.93</v>
      </c>
      <c r="AM90" s="31">
        <v>76</v>
      </c>
      <c r="AU90" s="31">
        <v>0</v>
      </c>
      <c r="AV90" s="34"/>
    </row>
    <row r="91" spans="1:48" ht="14.5" customHeight="1" x14ac:dyDescent="0.2">
      <c r="A91" s="13" t="s">
        <v>372</v>
      </c>
      <c r="B91" s="13">
        <v>319</v>
      </c>
      <c r="C91" s="13" t="s">
        <v>329</v>
      </c>
      <c r="D91" s="88" t="s">
        <v>571</v>
      </c>
      <c r="E91" s="13" t="s">
        <v>66</v>
      </c>
      <c r="F91" s="13" t="s">
        <v>49</v>
      </c>
      <c r="G91" s="13" t="s">
        <v>50</v>
      </c>
      <c r="J91" s="11">
        <v>3191</v>
      </c>
      <c r="K91" s="11" t="s">
        <v>330</v>
      </c>
      <c r="L91" s="40" t="s">
        <v>83</v>
      </c>
      <c r="M91" s="17">
        <v>10.02</v>
      </c>
      <c r="N91" s="17">
        <v>1</v>
      </c>
      <c r="O91" s="17" t="s">
        <v>52</v>
      </c>
      <c r="P91" s="17" t="s">
        <v>52</v>
      </c>
      <c r="Q91" s="17" t="s">
        <v>52</v>
      </c>
      <c r="R91" s="17">
        <f>22/50</f>
        <v>0.44</v>
      </c>
      <c r="S91" s="17" t="s">
        <v>52</v>
      </c>
      <c r="T91" s="45" t="s">
        <v>53</v>
      </c>
      <c r="U91" s="12" t="s">
        <v>331</v>
      </c>
      <c r="V91" s="11" t="s">
        <v>71</v>
      </c>
      <c r="W91" s="11" t="s">
        <v>153</v>
      </c>
      <c r="X91" s="11" t="s">
        <v>57</v>
      </c>
      <c r="Y91" s="11" t="s">
        <v>58</v>
      </c>
      <c r="Z91" s="11">
        <f>AB91*AA91</f>
        <v>720</v>
      </c>
      <c r="AA91" s="11">
        <v>8</v>
      </c>
      <c r="AB91" s="11">
        <v>90</v>
      </c>
      <c r="AC91" s="11" t="s">
        <v>59</v>
      </c>
      <c r="AD91" s="11" t="s">
        <v>373</v>
      </c>
      <c r="AE91" s="11" t="s">
        <v>95</v>
      </c>
      <c r="AF91" s="60" t="s">
        <v>459</v>
      </c>
      <c r="AG91" s="60" t="s">
        <v>588</v>
      </c>
      <c r="AH91" s="11">
        <v>0.53</v>
      </c>
      <c r="AI91" s="11">
        <f>0.02*SQRT(50)</f>
        <v>0.1414213562373095</v>
      </c>
      <c r="AJ91" s="11">
        <v>50</v>
      </c>
      <c r="AK91" s="11">
        <v>0.56000000000000005</v>
      </c>
      <c r="AL91" s="11">
        <f>0.02*SQRT(43)</f>
        <v>0.13114877048604001</v>
      </c>
      <c r="AM91" s="11">
        <v>43</v>
      </c>
      <c r="AU91" s="11">
        <v>1</v>
      </c>
      <c r="AV91" s="1" t="s">
        <v>374</v>
      </c>
    </row>
    <row r="92" spans="1:48" ht="14.5" customHeight="1" x14ac:dyDescent="0.2">
      <c r="A92" s="13"/>
      <c r="B92" s="13" t="s">
        <v>375</v>
      </c>
      <c r="C92" s="13"/>
      <c r="E92" s="13"/>
      <c r="F92" s="13"/>
      <c r="G92" s="13"/>
      <c r="J92" s="11">
        <v>3192</v>
      </c>
      <c r="K92" s="11" t="s">
        <v>334</v>
      </c>
      <c r="L92" s="40" t="s">
        <v>83</v>
      </c>
      <c r="M92" s="17">
        <v>9.89</v>
      </c>
      <c r="N92" s="17">
        <v>1</v>
      </c>
      <c r="O92" s="17" t="s">
        <v>52</v>
      </c>
      <c r="P92" s="17" t="s">
        <v>52</v>
      </c>
      <c r="Q92" s="17" t="s">
        <v>52</v>
      </c>
      <c r="R92" s="17">
        <f>18/49</f>
        <v>0.36734693877551022</v>
      </c>
      <c r="S92" s="17" t="s">
        <v>52</v>
      </c>
      <c r="T92" s="45" t="s">
        <v>53</v>
      </c>
      <c r="U92" s="12" t="s">
        <v>331</v>
      </c>
      <c r="V92" s="11" t="s">
        <v>71</v>
      </c>
      <c r="W92" s="11" t="s">
        <v>153</v>
      </c>
      <c r="X92" s="11" t="s">
        <v>57</v>
      </c>
      <c r="Y92" s="11" t="s">
        <v>58</v>
      </c>
      <c r="Z92" s="11">
        <f>AB92*AA92</f>
        <v>720</v>
      </c>
      <c r="AA92" s="11">
        <v>8</v>
      </c>
      <c r="AB92" s="11">
        <v>90</v>
      </c>
      <c r="AC92" s="11" t="s">
        <v>59</v>
      </c>
      <c r="AD92" s="11" t="s">
        <v>373</v>
      </c>
      <c r="AE92" s="11" t="s">
        <v>95</v>
      </c>
      <c r="AH92" s="11">
        <v>0.51</v>
      </c>
      <c r="AI92" s="11">
        <f>0.02*SQRT(48)</f>
        <v>0.13856406460551018</v>
      </c>
      <c r="AJ92" s="11">
        <v>48</v>
      </c>
      <c r="AK92" s="11">
        <v>0.56999999999999995</v>
      </c>
      <c r="AL92" s="11">
        <f>0.02*SQRT(38)</f>
        <v>0.12328828005937953</v>
      </c>
      <c r="AM92" s="11">
        <v>38</v>
      </c>
      <c r="AU92" s="11">
        <v>1</v>
      </c>
      <c r="AV92" s="1" t="s">
        <v>374</v>
      </c>
    </row>
    <row r="93" spans="1:48" s="31" customFormat="1" ht="14.5" customHeight="1" x14ac:dyDescent="0.2">
      <c r="A93" s="30"/>
      <c r="B93" s="30"/>
      <c r="C93" s="30"/>
      <c r="D93" s="89"/>
      <c r="E93" s="30"/>
      <c r="F93" s="30"/>
      <c r="G93" s="30"/>
      <c r="H93" s="274"/>
      <c r="I93" s="274"/>
      <c r="J93" s="31">
        <v>3193</v>
      </c>
      <c r="K93" s="31" t="s">
        <v>126</v>
      </c>
      <c r="L93" s="41" t="s">
        <v>83</v>
      </c>
      <c r="M93" s="32">
        <v>9.98</v>
      </c>
      <c r="N93" s="32">
        <v>1</v>
      </c>
      <c r="O93" s="32" t="s">
        <v>52</v>
      </c>
      <c r="P93" s="32" t="s">
        <v>52</v>
      </c>
      <c r="Q93" s="32" t="s">
        <v>52</v>
      </c>
      <c r="R93" s="32">
        <f>27/59</f>
        <v>0.4576271186440678</v>
      </c>
      <c r="S93" s="32" t="s">
        <v>52</v>
      </c>
      <c r="T93" s="31" t="s">
        <v>78</v>
      </c>
      <c r="U93" s="33" t="s">
        <v>376</v>
      </c>
      <c r="V93" s="31" t="s">
        <v>80</v>
      </c>
      <c r="W93" s="31" t="s">
        <v>78</v>
      </c>
      <c r="X93" s="31" t="s">
        <v>78</v>
      </c>
      <c r="Y93" s="31" t="s">
        <v>78</v>
      </c>
      <c r="Z93" s="31" t="s">
        <v>78</v>
      </c>
      <c r="AA93" s="31" t="s">
        <v>78</v>
      </c>
      <c r="AB93" s="31" t="s">
        <v>78</v>
      </c>
      <c r="AC93" s="31" t="s">
        <v>78</v>
      </c>
      <c r="AD93" s="31" t="s">
        <v>373</v>
      </c>
      <c r="AE93" s="31" t="s">
        <v>95</v>
      </c>
      <c r="AF93" s="60"/>
      <c r="AG93" s="60"/>
      <c r="AH93" s="31">
        <v>0.47</v>
      </c>
      <c r="AI93" s="31">
        <f>0.02*SQRT(57)</f>
        <v>0.15099668870541499</v>
      </c>
      <c r="AJ93" s="31">
        <v>57</v>
      </c>
      <c r="AK93" s="31">
        <v>0.53</v>
      </c>
      <c r="AL93" s="31">
        <f>0.02*SQRT(48)</f>
        <v>0.13856406460551018</v>
      </c>
      <c r="AM93" s="31">
        <v>48</v>
      </c>
      <c r="AU93" s="31">
        <v>1</v>
      </c>
      <c r="AV93" s="34" t="s">
        <v>374</v>
      </c>
    </row>
    <row r="94" spans="1:48" ht="14.5" customHeight="1" x14ac:dyDescent="0.2">
      <c r="A94" s="13" t="s">
        <v>377</v>
      </c>
      <c r="B94" s="13">
        <v>320</v>
      </c>
      <c r="C94" s="13" t="s">
        <v>47</v>
      </c>
      <c r="D94" s="88" t="s">
        <v>690</v>
      </c>
      <c r="E94" s="13" t="s">
        <v>66</v>
      </c>
      <c r="F94" s="13" t="s">
        <v>49</v>
      </c>
      <c r="G94" s="13" t="s">
        <v>50</v>
      </c>
      <c r="J94" s="11">
        <v>3201</v>
      </c>
      <c r="K94" s="11" t="s">
        <v>378</v>
      </c>
      <c r="L94" s="40" t="s">
        <v>379</v>
      </c>
      <c r="M94" s="17">
        <v>6.5</v>
      </c>
      <c r="N94" s="17" t="s">
        <v>52</v>
      </c>
      <c r="O94" s="17">
        <f>(18+14)/(191+18+221+14)</f>
        <v>7.2072072072072071E-2</v>
      </c>
      <c r="P94" s="17" t="s">
        <v>52</v>
      </c>
      <c r="Q94" s="17">
        <f>(35+49)/(174+35+186+49)</f>
        <v>0.1891891891891892</v>
      </c>
      <c r="R94" s="17">
        <f>(110+113)/(99+110+122+113)</f>
        <v>0.50225225225225223</v>
      </c>
      <c r="S94" s="17">
        <f>1-((47+41)/(69+19+65+47+9+78+25+81+41+10))</f>
        <v>0.80180180180180183</v>
      </c>
      <c r="T94" s="11" t="s">
        <v>92</v>
      </c>
      <c r="U94" s="12" t="s">
        <v>380</v>
      </c>
      <c r="V94" s="11" t="s">
        <v>55</v>
      </c>
      <c r="W94" s="11" t="s">
        <v>153</v>
      </c>
      <c r="X94" s="11" t="s">
        <v>162</v>
      </c>
      <c r="Y94" s="11" t="s">
        <v>58</v>
      </c>
      <c r="Z94" s="11">
        <f>600</f>
        <v>600</v>
      </c>
      <c r="AA94" s="11">
        <v>10</v>
      </c>
      <c r="AB94" s="11">
        <v>60</v>
      </c>
      <c r="AC94" s="11" t="s">
        <v>59</v>
      </c>
      <c r="AD94" s="11" t="s">
        <v>381</v>
      </c>
      <c r="AE94" s="45" t="s">
        <v>95</v>
      </c>
      <c r="AF94" s="126" t="s">
        <v>459</v>
      </c>
      <c r="AG94" s="126" t="s">
        <v>701</v>
      </c>
      <c r="AH94" s="11">
        <v>171.92</v>
      </c>
      <c r="AI94" s="11">
        <v>15.81</v>
      </c>
      <c r="AJ94" s="11">
        <v>319</v>
      </c>
      <c r="AK94" s="11">
        <v>176.59</v>
      </c>
      <c r="AL94" s="11">
        <v>15.58</v>
      </c>
      <c r="AM94" s="11">
        <v>403</v>
      </c>
      <c r="AU94" s="11">
        <v>0</v>
      </c>
      <c r="AV94" s="1" t="s">
        <v>86</v>
      </c>
    </row>
    <row r="95" spans="1:48" ht="14.5" customHeight="1" x14ac:dyDescent="0.2">
      <c r="A95" s="13"/>
      <c r="B95" s="13"/>
      <c r="C95" s="13"/>
      <c r="E95" s="13"/>
      <c r="F95" s="13"/>
      <c r="G95" s="13"/>
      <c r="L95" s="40"/>
      <c r="AD95" s="11" t="s">
        <v>382</v>
      </c>
      <c r="AE95" s="11" t="s">
        <v>61</v>
      </c>
      <c r="AF95" s="60" t="s">
        <v>536</v>
      </c>
      <c r="AH95" s="11">
        <v>189.37</v>
      </c>
      <c r="AI95" s="11">
        <v>101.26</v>
      </c>
      <c r="AJ95" s="11">
        <v>425</v>
      </c>
      <c r="AK95" s="11">
        <v>188.05</v>
      </c>
      <c r="AL95" s="11">
        <v>85.78</v>
      </c>
      <c r="AM95" s="11">
        <v>431</v>
      </c>
      <c r="AU95" s="11">
        <v>0</v>
      </c>
    </row>
    <row r="96" spans="1:48" ht="14.5" customHeight="1" x14ac:dyDescent="0.2">
      <c r="A96" s="13"/>
      <c r="B96" s="13"/>
      <c r="C96" s="13"/>
      <c r="E96" s="13"/>
      <c r="F96" s="13"/>
      <c r="G96" s="13"/>
      <c r="J96" s="11">
        <v>3202</v>
      </c>
      <c r="K96" s="11" t="s">
        <v>280</v>
      </c>
      <c r="L96" s="40" t="s">
        <v>379</v>
      </c>
      <c r="M96" s="17">
        <v>6.5</v>
      </c>
      <c r="N96" s="17" t="s">
        <v>52</v>
      </c>
      <c r="O96" s="17">
        <f>13/(13+205)</f>
        <v>5.9633027522935783E-2</v>
      </c>
      <c r="P96" s="17" t="s">
        <v>52</v>
      </c>
      <c r="Q96" s="17">
        <f>52/(52+166)</f>
        <v>0.23853211009174313</v>
      </c>
      <c r="R96" s="17">
        <f>100/(118+100)</f>
        <v>0.45871559633027525</v>
      </c>
      <c r="S96" s="17">
        <f>1-(53/(70+16+75+53+4))</f>
        <v>0.75688073394495414</v>
      </c>
      <c r="T96" s="11" t="s">
        <v>78</v>
      </c>
      <c r="U96" s="12" t="s">
        <v>383</v>
      </c>
      <c r="V96" s="11" t="s">
        <v>55</v>
      </c>
      <c r="W96" s="11" t="s">
        <v>78</v>
      </c>
      <c r="X96" s="11" t="s">
        <v>78</v>
      </c>
      <c r="Y96" s="11" t="s">
        <v>78</v>
      </c>
      <c r="Z96" s="11" t="s">
        <v>78</v>
      </c>
      <c r="AA96" s="11" t="s">
        <v>78</v>
      </c>
      <c r="AB96" s="11" t="s">
        <v>78</v>
      </c>
      <c r="AC96" s="11" t="s">
        <v>78</v>
      </c>
      <c r="AD96" s="11" t="s">
        <v>381</v>
      </c>
      <c r="AE96" s="45" t="s">
        <v>95</v>
      </c>
      <c r="AH96" s="11">
        <v>173.76</v>
      </c>
      <c r="AI96" s="11">
        <v>15.97</v>
      </c>
      <c r="AJ96" s="11">
        <v>165</v>
      </c>
      <c r="AK96" s="11">
        <v>175.88</v>
      </c>
      <c r="AL96" s="11">
        <v>17.13</v>
      </c>
      <c r="AM96" s="11">
        <v>204</v>
      </c>
      <c r="AU96" s="11">
        <v>0</v>
      </c>
      <c r="AV96" s="1" t="s">
        <v>86</v>
      </c>
    </row>
    <row r="97" spans="1:48" s="31" customFormat="1" ht="14.5" customHeight="1" x14ac:dyDescent="0.2">
      <c r="A97" s="30"/>
      <c r="B97" s="30"/>
      <c r="C97" s="30"/>
      <c r="D97" s="89"/>
      <c r="E97" s="30"/>
      <c r="F97" s="30"/>
      <c r="G97" s="30"/>
      <c r="H97" s="274"/>
      <c r="I97" s="274"/>
      <c r="L97" s="41"/>
      <c r="M97" s="32"/>
      <c r="N97" s="32"/>
      <c r="O97" s="32"/>
      <c r="P97" s="32"/>
      <c r="Q97" s="32"/>
      <c r="R97" s="32"/>
      <c r="S97" s="32"/>
      <c r="U97" s="33"/>
      <c r="AD97" s="31" t="s">
        <v>382</v>
      </c>
      <c r="AE97" s="31" t="s">
        <v>61</v>
      </c>
      <c r="AF97" s="63"/>
      <c r="AG97" s="63"/>
      <c r="AH97" s="31">
        <v>191.19</v>
      </c>
      <c r="AI97" s="50">
        <v>122.27</v>
      </c>
      <c r="AJ97" s="31">
        <v>212</v>
      </c>
      <c r="AK97" s="31">
        <v>186.26</v>
      </c>
      <c r="AL97" s="31">
        <v>93.54</v>
      </c>
      <c r="AM97" s="31">
        <v>214</v>
      </c>
      <c r="AU97" s="31">
        <v>0</v>
      </c>
      <c r="AV97" s="34"/>
    </row>
    <row r="98" spans="1:48" ht="14.5" customHeight="1" x14ac:dyDescent="0.2">
      <c r="A98" s="13" t="s">
        <v>384</v>
      </c>
      <c r="B98" s="13">
        <v>321</v>
      </c>
      <c r="C98" s="13" t="s">
        <v>385</v>
      </c>
      <c r="D98" s="88" t="s">
        <v>572</v>
      </c>
      <c r="E98" s="13" t="s">
        <v>66</v>
      </c>
      <c r="F98" s="13" t="s">
        <v>49</v>
      </c>
      <c r="G98" s="13" t="s">
        <v>238</v>
      </c>
      <c r="J98" s="11">
        <v>3211</v>
      </c>
      <c r="K98" s="11" t="s">
        <v>386</v>
      </c>
      <c r="L98" s="40" t="s">
        <v>146</v>
      </c>
      <c r="M98" s="46">
        <v>10.73</v>
      </c>
      <c r="N98" s="17" t="s">
        <v>314</v>
      </c>
      <c r="O98" s="17" t="s">
        <v>52</v>
      </c>
      <c r="P98" s="17">
        <v>0.75</v>
      </c>
      <c r="Q98" s="17">
        <v>0</v>
      </c>
      <c r="R98" s="17">
        <f>44/(44+50)</f>
        <v>0.46808510638297873</v>
      </c>
      <c r="S98" s="17">
        <v>0</v>
      </c>
      <c r="T98" s="11" t="s">
        <v>92</v>
      </c>
      <c r="U98" s="12" t="s">
        <v>387</v>
      </c>
      <c r="V98" s="11" t="s">
        <v>71</v>
      </c>
      <c r="W98" s="11" t="s">
        <v>153</v>
      </c>
      <c r="X98" s="11" t="s">
        <v>57</v>
      </c>
      <c r="Y98" s="11" t="s">
        <v>58</v>
      </c>
      <c r="Z98" s="11">
        <f>300</f>
        <v>300</v>
      </c>
      <c r="AA98" s="11">
        <v>5</v>
      </c>
      <c r="AB98" s="11">
        <v>60</v>
      </c>
      <c r="AC98" s="11" t="s">
        <v>148</v>
      </c>
      <c r="AD98" s="11" t="s">
        <v>388</v>
      </c>
      <c r="AE98" s="11" t="s">
        <v>95</v>
      </c>
      <c r="AF98" s="60" t="s">
        <v>528</v>
      </c>
      <c r="AG98" s="60" t="s">
        <v>702</v>
      </c>
      <c r="AH98" s="11" t="s">
        <v>52</v>
      </c>
      <c r="AI98" s="11" t="s">
        <v>52</v>
      </c>
      <c r="AJ98" s="11" t="s">
        <v>52</v>
      </c>
      <c r="AK98" s="11">
        <v>20.43</v>
      </c>
      <c r="AL98" s="11">
        <v>3.04</v>
      </c>
      <c r="AM98" s="11">
        <v>94</v>
      </c>
      <c r="AU98" s="11">
        <v>0</v>
      </c>
      <c r="AV98" s="1" t="s">
        <v>97</v>
      </c>
    </row>
    <row r="99" spans="1:48" ht="14.5" customHeight="1" x14ac:dyDescent="0.2">
      <c r="A99" s="13"/>
      <c r="B99" s="13"/>
      <c r="C99" s="13"/>
      <c r="E99" s="13"/>
      <c r="F99" s="13"/>
      <c r="G99" s="13"/>
      <c r="J99" s="11">
        <v>3212</v>
      </c>
      <c r="K99" s="11" t="s">
        <v>389</v>
      </c>
      <c r="L99" s="40" t="s">
        <v>146</v>
      </c>
      <c r="M99" s="17">
        <v>10.69</v>
      </c>
      <c r="N99" s="17" t="s">
        <v>314</v>
      </c>
      <c r="O99" s="17" t="s">
        <v>52</v>
      </c>
      <c r="P99" s="17">
        <v>0.75</v>
      </c>
      <c r="Q99" s="17">
        <v>0</v>
      </c>
      <c r="R99" s="17">
        <f>54/(54+45)</f>
        <v>0.54545454545454541</v>
      </c>
      <c r="S99" s="17">
        <v>0</v>
      </c>
      <c r="T99" s="11" t="s">
        <v>92</v>
      </c>
      <c r="U99" s="12" t="s">
        <v>390</v>
      </c>
      <c r="V99" s="11" t="s">
        <v>71</v>
      </c>
      <c r="W99" s="11" t="s">
        <v>153</v>
      </c>
      <c r="X99" s="11" t="s">
        <v>57</v>
      </c>
      <c r="Y99" s="11" t="s">
        <v>58</v>
      </c>
      <c r="Z99" s="11">
        <v>300</v>
      </c>
      <c r="AA99" s="11">
        <v>5</v>
      </c>
      <c r="AB99" s="11">
        <v>60</v>
      </c>
      <c r="AC99" s="11" t="s">
        <v>148</v>
      </c>
      <c r="AD99" s="11" t="s">
        <v>388</v>
      </c>
      <c r="AE99" s="11" t="s">
        <v>95</v>
      </c>
      <c r="AH99" s="11" t="s">
        <v>52</v>
      </c>
      <c r="AI99" s="11" t="s">
        <v>52</v>
      </c>
      <c r="AJ99" s="11" t="s">
        <v>52</v>
      </c>
      <c r="AK99" s="11">
        <v>19.38</v>
      </c>
      <c r="AL99" s="11">
        <v>2.8</v>
      </c>
      <c r="AM99" s="11">
        <v>99</v>
      </c>
      <c r="AU99" s="11">
        <v>0</v>
      </c>
      <c r="AV99" s="1" t="s">
        <v>97</v>
      </c>
    </row>
    <row r="100" spans="1:48" s="31" customFormat="1" ht="14.5" customHeight="1" x14ac:dyDescent="0.2">
      <c r="A100" s="30"/>
      <c r="B100" s="30"/>
      <c r="C100" s="30"/>
      <c r="D100" s="88"/>
      <c r="E100" s="30"/>
      <c r="F100" s="30"/>
      <c r="G100" s="30"/>
      <c r="H100" s="274"/>
      <c r="I100" s="274"/>
      <c r="J100" s="31">
        <v>3213</v>
      </c>
      <c r="K100" s="31" t="s">
        <v>63</v>
      </c>
      <c r="L100" s="41" t="s">
        <v>146</v>
      </c>
      <c r="M100" s="32">
        <v>10.69</v>
      </c>
      <c r="N100" s="32" t="s">
        <v>314</v>
      </c>
      <c r="O100" s="32" t="s">
        <v>52</v>
      </c>
      <c r="P100" s="32">
        <v>0.75</v>
      </c>
      <c r="Q100" s="32">
        <v>0</v>
      </c>
      <c r="R100" s="32">
        <f>43/(43+43)</f>
        <v>0.5</v>
      </c>
      <c r="S100" s="32">
        <v>0</v>
      </c>
      <c r="T100" s="31" t="s">
        <v>78</v>
      </c>
      <c r="U100" s="33" t="s">
        <v>391</v>
      </c>
      <c r="V100" s="31" t="s">
        <v>349</v>
      </c>
      <c r="W100" s="31" t="s">
        <v>78</v>
      </c>
      <c r="X100" s="31" t="s">
        <v>78</v>
      </c>
      <c r="Y100" s="31" t="s">
        <v>78</v>
      </c>
      <c r="Z100" s="31" t="s">
        <v>78</v>
      </c>
      <c r="AA100" s="31" t="s">
        <v>78</v>
      </c>
      <c r="AB100" s="31" t="s">
        <v>78</v>
      </c>
      <c r="AC100" s="31" t="s">
        <v>78</v>
      </c>
      <c r="AD100" s="31" t="s">
        <v>388</v>
      </c>
      <c r="AE100" s="31" t="s">
        <v>95</v>
      </c>
      <c r="AF100" s="60"/>
      <c r="AG100" s="60"/>
      <c r="AH100" s="31" t="s">
        <v>52</v>
      </c>
      <c r="AI100" s="31" t="s">
        <v>52</v>
      </c>
      <c r="AJ100" s="31" t="s">
        <v>52</v>
      </c>
      <c r="AK100" s="31">
        <v>18.940000000000001</v>
      </c>
      <c r="AL100" s="31">
        <v>3.62</v>
      </c>
      <c r="AM100" s="31">
        <v>86</v>
      </c>
      <c r="AU100" s="31">
        <v>0</v>
      </c>
      <c r="AV100" s="34" t="s">
        <v>97</v>
      </c>
    </row>
    <row r="101" spans="1:48" ht="14.5" customHeight="1" x14ac:dyDescent="0.2">
      <c r="A101" s="13" t="s">
        <v>392</v>
      </c>
      <c r="B101" s="13">
        <v>322</v>
      </c>
      <c r="C101" s="13" t="s">
        <v>393</v>
      </c>
      <c r="D101" s="144" t="s">
        <v>573</v>
      </c>
      <c r="E101" s="13" t="s">
        <v>66</v>
      </c>
      <c r="F101" s="13" t="s">
        <v>49</v>
      </c>
      <c r="G101" s="13" t="s">
        <v>50</v>
      </c>
      <c r="J101" s="11">
        <v>3221</v>
      </c>
      <c r="K101" s="11" t="s">
        <v>394</v>
      </c>
      <c r="L101" s="40" t="s">
        <v>363</v>
      </c>
      <c r="M101" s="17">
        <v>9.1999999999999993</v>
      </c>
      <c r="N101" s="17" t="s">
        <v>52</v>
      </c>
      <c r="O101" s="17" t="s">
        <v>52</v>
      </c>
      <c r="P101" s="17" t="s">
        <v>52</v>
      </c>
      <c r="Q101" s="17">
        <v>0</v>
      </c>
      <c r="R101" s="17">
        <v>0.45</v>
      </c>
      <c r="S101" s="17">
        <v>0</v>
      </c>
      <c r="T101" s="11" t="s">
        <v>53</v>
      </c>
      <c r="U101" s="12" t="s">
        <v>395</v>
      </c>
      <c r="V101" s="43" t="s">
        <v>55</v>
      </c>
      <c r="W101" s="11" t="s">
        <v>153</v>
      </c>
      <c r="X101" s="11" t="s">
        <v>396</v>
      </c>
      <c r="Y101" s="11" t="s">
        <v>58</v>
      </c>
      <c r="Z101" s="11">
        <v>640</v>
      </c>
      <c r="AA101" s="11">
        <v>32</v>
      </c>
      <c r="AB101" s="11">
        <v>20</v>
      </c>
      <c r="AC101" s="11" t="s">
        <v>59</v>
      </c>
      <c r="AD101" s="11" t="s">
        <v>397</v>
      </c>
      <c r="AE101" s="11" t="s">
        <v>61</v>
      </c>
      <c r="AF101" s="126" t="s">
        <v>536</v>
      </c>
      <c r="AG101" s="126" t="s">
        <v>592</v>
      </c>
      <c r="AH101" s="11">
        <v>64.22</v>
      </c>
      <c r="AI101" s="11">
        <v>15.87</v>
      </c>
      <c r="AJ101" s="11">
        <v>53</v>
      </c>
      <c r="AK101" s="11">
        <v>71.209999999999994</v>
      </c>
      <c r="AL101" s="11">
        <v>15.24</v>
      </c>
      <c r="AM101" s="11">
        <v>53</v>
      </c>
      <c r="AU101" s="11">
        <v>0</v>
      </c>
    </row>
    <row r="102" spans="1:48" s="31" customFormat="1" ht="14.5" customHeight="1" x14ac:dyDescent="0.2">
      <c r="A102" s="30"/>
      <c r="B102" s="30"/>
      <c r="C102" s="30"/>
      <c r="D102" s="89"/>
      <c r="E102" s="30"/>
      <c r="F102" s="30"/>
      <c r="G102" s="30"/>
      <c r="H102" s="274"/>
      <c r="I102" s="274"/>
      <c r="J102" s="31">
        <v>3222</v>
      </c>
      <c r="K102" s="31" t="s">
        <v>398</v>
      </c>
      <c r="L102" s="41" t="s">
        <v>363</v>
      </c>
      <c r="M102" s="32">
        <v>9.1999999999999993</v>
      </c>
      <c r="N102" s="32" t="s">
        <v>52</v>
      </c>
      <c r="O102" s="32" t="s">
        <v>52</v>
      </c>
      <c r="P102" s="32" t="s">
        <v>52</v>
      </c>
      <c r="Q102" s="32">
        <v>0</v>
      </c>
      <c r="R102" s="32">
        <v>0.45</v>
      </c>
      <c r="S102" s="32">
        <v>0</v>
      </c>
      <c r="T102" s="31" t="s">
        <v>78</v>
      </c>
      <c r="U102" s="33" t="s">
        <v>399</v>
      </c>
      <c r="V102" s="49" t="s">
        <v>55</v>
      </c>
      <c r="W102" s="31" t="s">
        <v>78</v>
      </c>
      <c r="X102" s="31" t="s">
        <v>78</v>
      </c>
      <c r="Y102" s="31" t="s">
        <v>78</v>
      </c>
      <c r="Z102" s="31" t="s">
        <v>78</v>
      </c>
      <c r="AA102" s="31" t="s">
        <v>78</v>
      </c>
      <c r="AB102" s="31" t="s">
        <v>78</v>
      </c>
      <c r="AC102" s="31" t="s">
        <v>78</v>
      </c>
      <c r="AD102" s="31" t="s">
        <v>397</v>
      </c>
      <c r="AE102" s="31" t="s">
        <v>61</v>
      </c>
      <c r="AF102" s="63"/>
      <c r="AG102" s="63"/>
      <c r="AH102" s="31">
        <v>64.989999999999995</v>
      </c>
      <c r="AI102" s="31">
        <v>20.05</v>
      </c>
      <c r="AJ102" s="31">
        <v>52</v>
      </c>
      <c r="AK102" s="50">
        <v>64.11</v>
      </c>
      <c r="AL102" s="31">
        <v>17.98</v>
      </c>
      <c r="AM102" s="31">
        <v>52</v>
      </c>
      <c r="AU102" s="31">
        <v>0</v>
      </c>
      <c r="AV102" s="34"/>
    </row>
    <row r="103" spans="1:48" ht="14.5" customHeight="1" x14ac:dyDescent="0.2">
      <c r="A103" s="13" t="s">
        <v>400</v>
      </c>
      <c r="B103" s="13">
        <v>323</v>
      </c>
      <c r="C103" s="13" t="s">
        <v>47</v>
      </c>
      <c r="D103" s="88" t="s">
        <v>452</v>
      </c>
      <c r="E103" s="13" t="s">
        <v>66</v>
      </c>
      <c r="F103" s="13" t="s">
        <v>49</v>
      </c>
      <c r="G103" s="13" t="s">
        <v>238</v>
      </c>
      <c r="J103" s="11">
        <v>3231</v>
      </c>
      <c r="K103" s="11" t="s">
        <v>401</v>
      </c>
      <c r="L103" s="40" t="s">
        <v>402</v>
      </c>
      <c r="M103" s="17">
        <f t="shared" ref="M103:M108" si="7">(11+12)/2</f>
        <v>11.5</v>
      </c>
      <c r="N103" s="17" t="s">
        <v>52</v>
      </c>
      <c r="O103" s="17" t="s">
        <v>52</v>
      </c>
      <c r="P103" s="17" t="s">
        <v>52</v>
      </c>
      <c r="Q103" s="17">
        <f>76/203</f>
        <v>0.37438423645320196</v>
      </c>
      <c r="R103" s="17">
        <v>0.6</v>
      </c>
      <c r="S103" s="17">
        <f t="shared" ref="S103:S108" si="8">1-0.25</f>
        <v>0.75</v>
      </c>
      <c r="T103" s="11" t="s">
        <v>92</v>
      </c>
      <c r="U103" s="12" t="s">
        <v>403</v>
      </c>
      <c r="V103" s="11" t="s">
        <v>71</v>
      </c>
      <c r="W103" s="11" t="s">
        <v>153</v>
      </c>
      <c r="X103" s="60" t="s">
        <v>162</v>
      </c>
      <c r="Y103" s="11" t="s">
        <v>58</v>
      </c>
      <c r="Z103" s="11">
        <f>AA103*AB103</f>
        <v>1187.5</v>
      </c>
      <c r="AA103" s="11">
        <v>25</v>
      </c>
      <c r="AB103" s="11">
        <f>(45+50)/2</f>
        <v>47.5</v>
      </c>
      <c r="AC103" s="11" t="s">
        <v>59</v>
      </c>
      <c r="AD103" s="11" t="s">
        <v>404</v>
      </c>
      <c r="AE103" s="11" t="s">
        <v>95</v>
      </c>
      <c r="AF103" s="60" t="s">
        <v>513</v>
      </c>
      <c r="AG103" s="60" t="s">
        <v>593</v>
      </c>
      <c r="AH103" s="11">
        <v>12.48</v>
      </c>
      <c r="AI103" s="11">
        <v>6.1</v>
      </c>
      <c r="AJ103" s="11">
        <v>103</v>
      </c>
      <c r="AK103" s="11">
        <v>15.63</v>
      </c>
      <c r="AL103" s="11">
        <v>5.35</v>
      </c>
      <c r="AM103" s="11">
        <v>103</v>
      </c>
      <c r="AU103" s="11">
        <v>0</v>
      </c>
      <c r="AV103" s="1" t="s">
        <v>405</v>
      </c>
    </row>
    <row r="104" spans="1:48" ht="14.5" customHeight="1" x14ac:dyDescent="0.2">
      <c r="A104" s="87"/>
      <c r="B104" s="13"/>
      <c r="C104" s="13"/>
      <c r="E104" s="13"/>
      <c r="F104" s="13"/>
      <c r="G104" s="13"/>
      <c r="J104" s="11">
        <v>3232</v>
      </c>
      <c r="K104" s="11" t="s">
        <v>406</v>
      </c>
      <c r="L104" s="40" t="s">
        <v>402</v>
      </c>
      <c r="M104" s="17">
        <f t="shared" si="7"/>
        <v>11.5</v>
      </c>
      <c r="N104" s="17" t="s">
        <v>52</v>
      </c>
      <c r="O104" s="17" t="s">
        <v>52</v>
      </c>
      <c r="P104" s="17" t="s">
        <v>52</v>
      </c>
      <c r="Q104" s="17">
        <f>76/203</f>
        <v>0.37438423645320196</v>
      </c>
      <c r="R104" s="17">
        <v>0.6</v>
      </c>
      <c r="S104" s="17">
        <f t="shared" si="8"/>
        <v>0.75</v>
      </c>
      <c r="T104" s="11" t="s">
        <v>78</v>
      </c>
      <c r="U104" s="12" t="s">
        <v>407</v>
      </c>
      <c r="V104" s="11" t="s">
        <v>80</v>
      </c>
      <c r="W104" s="11" t="s">
        <v>78</v>
      </c>
      <c r="X104" s="11" t="s">
        <v>78</v>
      </c>
      <c r="Y104" s="11" t="s">
        <v>78</v>
      </c>
      <c r="Z104" s="11" t="s">
        <v>78</v>
      </c>
      <c r="AA104" s="11" t="s">
        <v>78</v>
      </c>
      <c r="AB104" s="11" t="s">
        <v>78</v>
      </c>
      <c r="AC104" s="11" t="s">
        <v>78</v>
      </c>
      <c r="AD104" s="11" t="s">
        <v>404</v>
      </c>
      <c r="AE104" s="11" t="s">
        <v>95</v>
      </c>
      <c r="AH104" s="11">
        <v>12.14</v>
      </c>
      <c r="AI104" s="11">
        <v>6.1</v>
      </c>
      <c r="AJ104" s="11">
        <v>100</v>
      </c>
      <c r="AK104" s="11">
        <v>14.27</v>
      </c>
      <c r="AL104" s="11">
        <v>5.58</v>
      </c>
      <c r="AM104" s="11">
        <v>100</v>
      </c>
      <c r="AU104" s="11">
        <v>0</v>
      </c>
      <c r="AV104" s="1" t="s">
        <v>405</v>
      </c>
    </row>
    <row r="105" spans="1:48" ht="14.5" customHeight="1" x14ac:dyDescent="0.2">
      <c r="A105" s="13"/>
      <c r="B105" s="13"/>
      <c r="C105" s="13"/>
      <c r="E105" s="13"/>
      <c r="F105" s="13"/>
      <c r="G105" s="13"/>
      <c r="J105" s="11" t="s">
        <v>408</v>
      </c>
      <c r="K105" s="11" t="s">
        <v>409</v>
      </c>
      <c r="L105" s="40" t="s">
        <v>402</v>
      </c>
      <c r="M105" s="17">
        <f t="shared" si="7"/>
        <v>11.5</v>
      </c>
      <c r="N105" s="17" t="s">
        <v>52</v>
      </c>
      <c r="O105" s="17" t="s">
        <v>52</v>
      </c>
      <c r="P105" s="17" t="s">
        <v>52</v>
      </c>
      <c r="Q105" s="17">
        <v>1</v>
      </c>
      <c r="R105" s="17">
        <v>0.6</v>
      </c>
      <c r="S105" s="17">
        <f t="shared" si="8"/>
        <v>0.75</v>
      </c>
      <c r="T105" s="11" t="s">
        <v>92</v>
      </c>
      <c r="U105" s="12" t="s">
        <v>403</v>
      </c>
      <c r="V105" s="11" t="s">
        <v>71</v>
      </c>
      <c r="W105" s="11" t="s">
        <v>153</v>
      </c>
      <c r="X105" s="60" t="s">
        <v>162</v>
      </c>
      <c r="Y105" s="11" t="s">
        <v>58</v>
      </c>
      <c r="Z105" s="11">
        <f>AA105*AB105</f>
        <v>1187.5</v>
      </c>
      <c r="AA105" s="11">
        <v>25</v>
      </c>
      <c r="AB105" s="11">
        <f>(45+50)/2</f>
        <v>47.5</v>
      </c>
      <c r="AC105" s="11" t="s">
        <v>59</v>
      </c>
      <c r="AD105" s="11" t="s">
        <v>404</v>
      </c>
      <c r="AE105" s="11" t="s">
        <v>95</v>
      </c>
      <c r="AH105" s="11">
        <v>10.9</v>
      </c>
      <c r="AI105" s="11">
        <v>5.61</v>
      </c>
      <c r="AJ105" s="103">
        <f>76/2</f>
        <v>38</v>
      </c>
      <c r="AK105" s="11">
        <v>15.04</v>
      </c>
      <c r="AL105" s="11">
        <v>5.36</v>
      </c>
      <c r="AM105" s="103">
        <f>76/2</f>
        <v>38</v>
      </c>
      <c r="AN105" s="103"/>
      <c r="AO105" s="103"/>
      <c r="AP105" s="103"/>
      <c r="AQ105" s="103"/>
      <c r="AR105" s="103"/>
      <c r="AS105" s="103"/>
      <c r="AT105" s="58"/>
      <c r="AU105" s="11">
        <v>0</v>
      </c>
      <c r="AV105" s="1" t="s">
        <v>405</v>
      </c>
    </row>
    <row r="106" spans="1:48" ht="14.5" customHeight="1" x14ac:dyDescent="0.2">
      <c r="A106" s="13"/>
      <c r="B106" s="13"/>
      <c r="C106" s="13"/>
      <c r="E106" s="13"/>
      <c r="F106" s="13"/>
      <c r="G106" s="13"/>
      <c r="J106" s="11" t="s">
        <v>410</v>
      </c>
      <c r="K106" s="11" t="s">
        <v>411</v>
      </c>
      <c r="L106" s="40" t="s">
        <v>402</v>
      </c>
      <c r="M106" s="17">
        <f t="shared" si="7"/>
        <v>11.5</v>
      </c>
      <c r="N106" s="17" t="s">
        <v>52</v>
      </c>
      <c r="O106" s="17" t="s">
        <v>52</v>
      </c>
      <c r="P106" s="17" t="s">
        <v>52</v>
      </c>
      <c r="Q106" s="17">
        <v>1</v>
      </c>
      <c r="R106" s="17">
        <v>0.6</v>
      </c>
      <c r="S106" s="17">
        <f t="shared" si="8"/>
        <v>0.75</v>
      </c>
      <c r="T106" s="11" t="s">
        <v>78</v>
      </c>
      <c r="U106" s="12" t="s">
        <v>407</v>
      </c>
      <c r="V106" s="11" t="s">
        <v>80</v>
      </c>
      <c r="W106" s="11" t="s">
        <v>78</v>
      </c>
      <c r="X106" s="11" t="s">
        <v>78</v>
      </c>
      <c r="Y106" s="11" t="s">
        <v>78</v>
      </c>
      <c r="Z106" s="11" t="s">
        <v>78</v>
      </c>
      <c r="AA106" s="11" t="s">
        <v>78</v>
      </c>
      <c r="AB106" s="11" t="s">
        <v>78</v>
      </c>
      <c r="AC106" s="11" t="s">
        <v>78</v>
      </c>
      <c r="AD106" s="11" t="s">
        <v>404</v>
      </c>
      <c r="AE106" s="11" t="s">
        <v>95</v>
      </c>
      <c r="AH106" s="11">
        <v>11.11</v>
      </c>
      <c r="AI106" s="11">
        <v>5.71</v>
      </c>
      <c r="AJ106" s="103">
        <f>76/2</f>
        <v>38</v>
      </c>
      <c r="AK106" s="11">
        <v>13.52</v>
      </c>
      <c r="AL106" s="45">
        <v>14.61</v>
      </c>
      <c r="AM106" s="103">
        <f>76/2</f>
        <v>38</v>
      </c>
      <c r="AN106" s="103"/>
      <c r="AO106" s="103"/>
      <c r="AP106" s="103"/>
      <c r="AQ106" s="103"/>
      <c r="AR106" s="103"/>
      <c r="AS106" s="103"/>
      <c r="AT106" s="58"/>
      <c r="AU106" s="11">
        <v>0</v>
      </c>
      <c r="AV106" s="1" t="s">
        <v>405</v>
      </c>
    </row>
    <row r="107" spans="1:48" ht="14.5" customHeight="1" x14ac:dyDescent="0.2">
      <c r="A107" s="13"/>
      <c r="B107" s="13"/>
      <c r="C107" s="13"/>
      <c r="E107" s="13"/>
      <c r="F107" s="13"/>
      <c r="G107" s="13"/>
      <c r="J107" s="11" t="s">
        <v>412</v>
      </c>
      <c r="K107" s="11" t="s">
        <v>413</v>
      </c>
      <c r="L107" s="40" t="s">
        <v>402</v>
      </c>
      <c r="M107" s="17">
        <f t="shared" si="7"/>
        <v>11.5</v>
      </c>
      <c r="N107" s="17" t="s">
        <v>52</v>
      </c>
      <c r="O107" s="17" t="s">
        <v>52</v>
      </c>
      <c r="P107" s="17" t="s">
        <v>52</v>
      </c>
      <c r="Q107" s="17">
        <v>0</v>
      </c>
      <c r="R107" s="17">
        <v>0.6</v>
      </c>
      <c r="S107" s="17">
        <f t="shared" si="8"/>
        <v>0.75</v>
      </c>
      <c r="T107" s="11" t="s">
        <v>92</v>
      </c>
      <c r="U107" s="12" t="s">
        <v>403</v>
      </c>
      <c r="V107" s="11" t="s">
        <v>71</v>
      </c>
      <c r="W107" s="11" t="s">
        <v>153</v>
      </c>
      <c r="X107" s="60" t="s">
        <v>162</v>
      </c>
      <c r="Y107" s="11" t="s">
        <v>58</v>
      </c>
      <c r="Z107" s="11">
        <f>AA107*AB107</f>
        <v>1187.5</v>
      </c>
      <c r="AA107" s="11">
        <v>25</v>
      </c>
      <c r="AB107" s="11">
        <f>(45+50)/2</f>
        <v>47.5</v>
      </c>
      <c r="AC107" s="11" t="s">
        <v>59</v>
      </c>
      <c r="AD107" s="11" t="s">
        <v>404</v>
      </c>
      <c r="AE107" s="11" t="s">
        <v>95</v>
      </c>
      <c r="AH107" s="11">
        <v>13.51</v>
      </c>
      <c r="AI107" s="11">
        <v>6.32</v>
      </c>
      <c r="AJ107" s="103">
        <f>125/2</f>
        <v>62.5</v>
      </c>
      <c r="AK107" s="11">
        <v>16.41</v>
      </c>
      <c r="AL107" s="11">
        <v>5.17</v>
      </c>
      <c r="AM107" s="103">
        <f>125/2</f>
        <v>62.5</v>
      </c>
      <c r="AN107" s="103"/>
      <c r="AO107" s="103"/>
      <c r="AP107" s="103"/>
      <c r="AQ107" s="103"/>
      <c r="AR107" s="103"/>
      <c r="AS107" s="103"/>
      <c r="AT107" s="58"/>
      <c r="AU107" s="11">
        <v>0</v>
      </c>
      <c r="AV107" s="1" t="s">
        <v>405</v>
      </c>
    </row>
    <row r="108" spans="1:48" s="31" customFormat="1" ht="14.5" customHeight="1" x14ac:dyDescent="0.2">
      <c r="A108" s="30"/>
      <c r="B108" s="30"/>
      <c r="C108" s="30"/>
      <c r="D108" s="89"/>
      <c r="E108" s="30"/>
      <c r="F108" s="30"/>
      <c r="G108" s="30"/>
      <c r="H108" s="274"/>
      <c r="I108" s="274"/>
      <c r="J108" s="31" t="s">
        <v>414</v>
      </c>
      <c r="K108" s="31" t="s">
        <v>415</v>
      </c>
      <c r="L108" s="41" t="s">
        <v>402</v>
      </c>
      <c r="M108" s="32">
        <f t="shared" si="7"/>
        <v>11.5</v>
      </c>
      <c r="N108" s="32" t="s">
        <v>52</v>
      </c>
      <c r="O108" s="32" t="s">
        <v>52</v>
      </c>
      <c r="P108" s="32" t="s">
        <v>52</v>
      </c>
      <c r="Q108" s="32">
        <v>0</v>
      </c>
      <c r="R108" s="32">
        <v>0.6</v>
      </c>
      <c r="S108" s="32">
        <f t="shared" si="8"/>
        <v>0.75</v>
      </c>
      <c r="T108" s="31" t="s">
        <v>78</v>
      </c>
      <c r="U108" s="33" t="s">
        <v>407</v>
      </c>
      <c r="V108" s="31" t="s">
        <v>80</v>
      </c>
      <c r="W108" s="31" t="s">
        <v>78</v>
      </c>
      <c r="X108" s="31" t="s">
        <v>78</v>
      </c>
      <c r="Y108" s="31" t="s">
        <v>78</v>
      </c>
      <c r="Z108" s="31" t="s">
        <v>78</v>
      </c>
      <c r="AA108" s="31" t="s">
        <v>78</v>
      </c>
      <c r="AB108" s="31" t="s">
        <v>78</v>
      </c>
      <c r="AC108" s="31" t="s">
        <v>78</v>
      </c>
      <c r="AD108" s="31" t="s">
        <v>404</v>
      </c>
      <c r="AE108" s="31" t="s">
        <v>95</v>
      </c>
      <c r="AF108" s="63"/>
      <c r="AG108" s="63"/>
      <c r="AH108" s="31">
        <v>12.53</v>
      </c>
      <c r="AI108" s="31">
        <v>6.02</v>
      </c>
      <c r="AJ108" s="160">
        <f>125/2</f>
        <v>62.5</v>
      </c>
      <c r="AK108" s="31">
        <v>14.61</v>
      </c>
      <c r="AL108" s="31">
        <v>5.6</v>
      </c>
      <c r="AM108" s="160">
        <f>125/2</f>
        <v>62.5</v>
      </c>
      <c r="AN108" s="160"/>
      <c r="AO108" s="160"/>
      <c r="AP108" s="160"/>
      <c r="AQ108" s="160"/>
      <c r="AR108" s="160"/>
      <c r="AS108" s="160"/>
      <c r="AT108" s="74"/>
      <c r="AU108" s="31">
        <v>0</v>
      </c>
      <c r="AV108" s="34" t="s">
        <v>405</v>
      </c>
    </row>
    <row r="109" spans="1:48" s="134" customFormat="1" x14ac:dyDescent="0.2">
      <c r="A109" s="133" t="s">
        <v>595</v>
      </c>
      <c r="B109" s="23">
        <v>324</v>
      </c>
      <c r="C109" s="133" t="s">
        <v>416</v>
      </c>
      <c r="D109" s="133" t="s">
        <v>416</v>
      </c>
      <c r="E109" s="116" t="s">
        <v>66</v>
      </c>
      <c r="F109" s="116" t="s">
        <v>49</v>
      </c>
      <c r="G109" s="116" t="s">
        <v>50</v>
      </c>
      <c r="H109" s="276"/>
      <c r="I109" s="276"/>
      <c r="J109" s="112">
        <v>3241</v>
      </c>
      <c r="K109" s="134" t="s">
        <v>197</v>
      </c>
      <c r="L109" s="134" t="s">
        <v>433</v>
      </c>
      <c r="M109" s="135">
        <f>AVERAGE(13, 15)</f>
        <v>14</v>
      </c>
      <c r="N109" s="135">
        <v>1</v>
      </c>
      <c r="O109" s="163" t="s">
        <v>52</v>
      </c>
      <c r="P109" s="135" t="s">
        <v>52</v>
      </c>
      <c r="Q109" s="135" t="s">
        <v>52</v>
      </c>
      <c r="R109" s="163">
        <f>88/168</f>
        <v>0.52380952380952384</v>
      </c>
      <c r="S109" s="135" t="s">
        <v>52</v>
      </c>
      <c r="T109" s="134" t="s">
        <v>92</v>
      </c>
      <c r="U109" s="136" t="s">
        <v>596</v>
      </c>
      <c r="V109" s="134" t="s">
        <v>456</v>
      </c>
      <c r="W109" s="134" t="s">
        <v>153</v>
      </c>
      <c r="X109" s="60" t="s">
        <v>457</v>
      </c>
      <c r="Y109" s="134" t="s">
        <v>58</v>
      </c>
      <c r="Z109" s="134">
        <f>40*16</f>
        <v>640</v>
      </c>
      <c r="AA109" s="134">
        <v>16</v>
      </c>
      <c r="AB109" s="134">
        <v>40</v>
      </c>
      <c r="AC109" s="134" t="s">
        <v>59</v>
      </c>
      <c r="AD109" s="134" t="s">
        <v>209</v>
      </c>
      <c r="AE109" s="134" t="s">
        <v>61</v>
      </c>
      <c r="AF109" s="134" t="s">
        <v>536</v>
      </c>
      <c r="AG109" s="134" t="s">
        <v>597</v>
      </c>
      <c r="AH109" s="134">
        <v>50.3</v>
      </c>
      <c r="AI109" s="134">
        <v>9.89</v>
      </c>
      <c r="AJ109" s="134">
        <v>168</v>
      </c>
      <c r="AK109" s="134">
        <v>55.62</v>
      </c>
      <c r="AL109" s="134">
        <v>8.2200000000000006</v>
      </c>
      <c r="AM109" s="134">
        <v>168</v>
      </c>
    </row>
    <row r="110" spans="1:48" s="138" customFormat="1" x14ac:dyDescent="0.2">
      <c r="A110" s="137"/>
      <c r="B110" s="26"/>
      <c r="C110" s="137"/>
      <c r="D110" s="137"/>
      <c r="E110" s="122"/>
      <c r="F110" s="122"/>
      <c r="G110" s="122"/>
      <c r="H110" s="277"/>
      <c r="I110" s="277"/>
      <c r="J110" s="113">
        <v>3242</v>
      </c>
      <c r="K110" s="138" t="s">
        <v>126</v>
      </c>
      <c r="L110" s="138" t="s">
        <v>433</v>
      </c>
      <c r="M110" s="139">
        <f>AVERAGE(13, 15)</f>
        <v>14</v>
      </c>
      <c r="N110" s="139">
        <v>1</v>
      </c>
      <c r="O110" s="164" t="s">
        <v>52</v>
      </c>
      <c r="P110" s="139" t="s">
        <v>52</v>
      </c>
      <c r="Q110" s="139" t="s">
        <v>52</v>
      </c>
      <c r="R110" s="164">
        <f>102/174</f>
        <v>0.58620689655172409</v>
      </c>
      <c r="S110" s="139" t="s">
        <v>52</v>
      </c>
      <c r="T110" s="138" t="s">
        <v>78</v>
      </c>
      <c r="U110" s="140" t="s">
        <v>598</v>
      </c>
      <c r="V110" s="138" t="s">
        <v>80</v>
      </c>
      <c r="W110" s="138" t="s">
        <v>78</v>
      </c>
      <c r="X110" s="63" t="s">
        <v>78</v>
      </c>
      <c r="Y110" s="138" t="s">
        <v>78</v>
      </c>
      <c r="Z110" s="138" t="s">
        <v>78</v>
      </c>
      <c r="AA110" s="138" t="s">
        <v>78</v>
      </c>
      <c r="AB110" s="138" t="s">
        <v>78</v>
      </c>
      <c r="AC110" s="138" t="s">
        <v>78</v>
      </c>
      <c r="AD110" s="138" t="s">
        <v>209</v>
      </c>
      <c r="AE110" s="138" t="s">
        <v>61</v>
      </c>
      <c r="AF110" s="138" t="s">
        <v>536</v>
      </c>
      <c r="AG110" s="138" t="s">
        <v>597</v>
      </c>
      <c r="AH110" s="138">
        <v>49.71</v>
      </c>
      <c r="AI110" s="138">
        <v>10.119999999999999</v>
      </c>
      <c r="AJ110" s="138">
        <v>174</v>
      </c>
      <c r="AK110" s="138">
        <v>44.57</v>
      </c>
      <c r="AL110" s="138">
        <v>8.4499999999999993</v>
      </c>
      <c r="AM110" s="138">
        <v>174</v>
      </c>
    </row>
    <row r="111" spans="1:48" s="134" customFormat="1" x14ac:dyDescent="0.2">
      <c r="A111" s="133" t="s">
        <v>599</v>
      </c>
      <c r="B111" s="117">
        <v>325</v>
      </c>
      <c r="C111" s="133" t="s">
        <v>47</v>
      </c>
      <c r="D111" s="133" t="s">
        <v>47</v>
      </c>
      <c r="E111" s="116" t="s">
        <v>66</v>
      </c>
      <c r="F111" s="116" t="s">
        <v>49</v>
      </c>
      <c r="G111" s="116" t="s">
        <v>238</v>
      </c>
      <c r="H111" s="276"/>
      <c r="I111" s="276"/>
      <c r="J111" s="112" t="s">
        <v>656</v>
      </c>
      <c r="K111" s="134" t="s">
        <v>600</v>
      </c>
      <c r="L111" s="134">
        <v>3</v>
      </c>
      <c r="M111" s="135">
        <v>8.5</v>
      </c>
      <c r="N111" s="171" t="s">
        <v>454</v>
      </c>
      <c r="O111" s="171" t="s">
        <v>454</v>
      </c>
      <c r="P111" s="135" t="s">
        <v>52</v>
      </c>
      <c r="Q111" s="135" t="s">
        <v>52</v>
      </c>
      <c r="R111" s="135">
        <f>36/67</f>
        <v>0.53731343283582089</v>
      </c>
      <c r="S111" s="135" t="s">
        <v>52</v>
      </c>
      <c r="T111" s="134" t="s">
        <v>92</v>
      </c>
      <c r="U111" s="136" t="s">
        <v>601</v>
      </c>
      <c r="V111" s="134" t="s">
        <v>456</v>
      </c>
      <c r="W111" s="134" t="s">
        <v>153</v>
      </c>
      <c r="X111" s="60" t="s">
        <v>457</v>
      </c>
      <c r="Y111" s="134" t="s">
        <v>58</v>
      </c>
      <c r="Z111" s="165" t="s">
        <v>52</v>
      </c>
      <c r="AA111" s="165" t="s">
        <v>706</v>
      </c>
      <c r="AB111" s="165" t="s">
        <v>52</v>
      </c>
      <c r="AC111" s="134" t="s">
        <v>59</v>
      </c>
      <c r="AD111" s="134" t="s">
        <v>602</v>
      </c>
      <c r="AE111" s="134" t="s">
        <v>95</v>
      </c>
      <c r="AF111" s="134" t="s">
        <v>459</v>
      </c>
      <c r="AG111" s="134" t="s">
        <v>603</v>
      </c>
      <c r="AH111" s="134" t="s">
        <v>52</v>
      </c>
      <c r="AI111" s="134" t="s">
        <v>52</v>
      </c>
      <c r="AJ111" s="134" t="s">
        <v>52</v>
      </c>
      <c r="AK111" s="134">
        <v>6.28</v>
      </c>
      <c r="AL111" s="134">
        <v>1.33</v>
      </c>
      <c r="AM111" s="134">
        <v>32</v>
      </c>
    </row>
    <row r="112" spans="1:48" s="134" customFormat="1" x14ac:dyDescent="0.2">
      <c r="A112" s="133"/>
      <c r="B112" s="117"/>
      <c r="C112" s="133"/>
      <c r="D112" s="133"/>
      <c r="E112" s="116"/>
      <c r="F112" s="116"/>
      <c r="G112" s="116"/>
      <c r="H112" s="276"/>
      <c r="I112" s="276"/>
      <c r="J112" s="112"/>
      <c r="M112" s="135"/>
      <c r="N112" s="171"/>
      <c r="O112" s="171"/>
      <c r="P112" s="135"/>
      <c r="Q112" s="135"/>
      <c r="R112" s="135"/>
      <c r="S112" s="135"/>
      <c r="U112" s="136"/>
      <c r="X112" s="60"/>
      <c r="Z112" s="118"/>
      <c r="AA112" s="118"/>
      <c r="AB112" s="118"/>
      <c r="AD112" s="134" t="s">
        <v>604</v>
      </c>
      <c r="AE112" s="134" t="s">
        <v>95</v>
      </c>
      <c r="AF112" s="134" t="s">
        <v>459</v>
      </c>
      <c r="AG112" s="134" t="s">
        <v>603</v>
      </c>
      <c r="AH112" s="134" t="s">
        <v>52</v>
      </c>
      <c r="AI112" s="134" t="s">
        <v>52</v>
      </c>
      <c r="AJ112" s="134" t="s">
        <v>52</v>
      </c>
      <c r="AK112" s="134">
        <v>6.03</v>
      </c>
      <c r="AL112" s="134">
        <v>1.73</v>
      </c>
      <c r="AM112" s="134">
        <v>32</v>
      </c>
    </row>
    <row r="113" spans="1:39" s="134" customFormat="1" x14ac:dyDescent="0.2">
      <c r="A113" s="133"/>
      <c r="B113" s="117"/>
      <c r="C113" s="133"/>
      <c r="D113" s="133"/>
      <c r="E113" s="116"/>
      <c r="F113" s="116"/>
      <c r="G113" s="116"/>
      <c r="H113" s="276"/>
      <c r="I113" s="276"/>
      <c r="J113" s="112"/>
      <c r="M113" s="135"/>
      <c r="N113" s="171"/>
      <c r="O113" s="171"/>
      <c r="P113" s="135"/>
      <c r="Q113" s="135"/>
      <c r="R113" s="135"/>
      <c r="S113" s="135"/>
      <c r="U113" s="136"/>
      <c r="X113" s="60"/>
      <c r="Z113" s="118"/>
      <c r="AA113" s="118"/>
      <c r="AB113" s="118"/>
      <c r="AD113" s="134" t="s">
        <v>605</v>
      </c>
      <c r="AE113" s="134" t="s">
        <v>61</v>
      </c>
      <c r="AF113" s="134" t="s">
        <v>536</v>
      </c>
      <c r="AG113" s="134" t="s">
        <v>603</v>
      </c>
      <c r="AH113" s="134">
        <v>47.79</v>
      </c>
      <c r="AI113" s="134">
        <v>25.35</v>
      </c>
      <c r="AJ113" s="134">
        <v>32</v>
      </c>
      <c r="AK113" s="134" t="s">
        <v>52</v>
      </c>
      <c r="AL113" s="134" t="s">
        <v>52</v>
      </c>
      <c r="AM113" s="134" t="s">
        <v>52</v>
      </c>
    </row>
    <row r="114" spans="1:39" s="134" customFormat="1" x14ac:dyDescent="0.2">
      <c r="A114" s="133"/>
      <c r="B114" s="117"/>
      <c r="C114" s="133"/>
      <c r="D114" s="133"/>
      <c r="E114" s="116"/>
      <c r="F114" s="116"/>
      <c r="G114" s="116"/>
      <c r="H114" s="276"/>
      <c r="I114" s="276"/>
      <c r="J114" s="112" t="s">
        <v>657</v>
      </c>
      <c r="K114" s="134" t="s">
        <v>606</v>
      </c>
      <c r="L114" s="134">
        <v>3</v>
      </c>
      <c r="M114" s="135">
        <v>8.5</v>
      </c>
      <c r="N114" s="171" t="s">
        <v>454</v>
      </c>
      <c r="O114" s="171" t="s">
        <v>454</v>
      </c>
      <c r="P114" s="135" t="s">
        <v>52</v>
      </c>
      <c r="Q114" s="135" t="s">
        <v>52</v>
      </c>
      <c r="R114" s="135">
        <f>38/66</f>
        <v>0.5757575757575758</v>
      </c>
      <c r="S114" s="135" t="s">
        <v>52</v>
      </c>
      <c r="T114" s="134" t="s">
        <v>92</v>
      </c>
      <c r="U114" s="136" t="s">
        <v>607</v>
      </c>
      <c r="V114" s="134" t="s">
        <v>464</v>
      </c>
      <c r="W114" s="134" t="s">
        <v>153</v>
      </c>
      <c r="X114" s="60" t="s">
        <v>457</v>
      </c>
      <c r="Y114" s="134" t="s">
        <v>58</v>
      </c>
      <c r="Z114" s="134" t="s">
        <v>78</v>
      </c>
      <c r="AA114" s="134" t="s">
        <v>78</v>
      </c>
      <c r="AB114" s="134" t="s">
        <v>78</v>
      </c>
      <c r="AC114" s="134" t="s">
        <v>78</v>
      </c>
      <c r="AD114" s="134" t="s">
        <v>602</v>
      </c>
      <c r="AE114" s="134" t="s">
        <v>95</v>
      </c>
      <c r="AF114" s="134" t="s">
        <v>459</v>
      </c>
      <c r="AG114" s="134" t="s">
        <v>603</v>
      </c>
      <c r="AH114" s="134" t="s">
        <v>52</v>
      </c>
      <c r="AI114" s="134" t="s">
        <v>52</v>
      </c>
      <c r="AJ114" s="134" t="s">
        <v>52</v>
      </c>
      <c r="AK114" s="134">
        <v>5.57</v>
      </c>
      <c r="AL114" s="134">
        <v>1.64</v>
      </c>
      <c r="AM114" s="134">
        <v>28</v>
      </c>
    </row>
    <row r="115" spans="1:39" s="134" customFormat="1" x14ac:dyDescent="0.2">
      <c r="A115" s="133"/>
      <c r="B115" s="117"/>
      <c r="C115" s="133"/>
      <c r="D115" s="133"/>
      <c r="E115" s="116"/>
      <c r="F115" s="116"/>
      <c r="G115" s="116"/>
      <c r="H115" s="276"/>
      <c r="I115" s="276"/>
      <c r="J115" s="112"/>
      <c r="M115" s="135"/>
      <c r="N115" s="171"/>
      <c r="O115" s="171"/>
      <c r="P115" s="135"/>
      <c r="Q115" s="135"/>
      <c r="R115" s="135"/>
      <c r="S115" s="135"/>
      <c r="U115" s="136"/>
      <c r="X115" s="60"/>
      <c r="AD115" s="134" t="s">
        <v>604</v>
      </c>
      <c r="AE115" s="134" t="s">
        <v>95</v>
      </c>
      <c r="AF115" s="134" t="s">
        <v>459</v>
      </c>
      <c r="AG115" s="134" t="s">
        <v>603</v>
      </c>
      <c r="AH115" s="134" t="s">
        <v>52</v>
      </c>
      <c r="AI115" s="134" t="s">
        <v>52</v>
      </c>
      <c r="AJ115" s="134" t="s">
        <v>52</v>
      </c>
      <c r="AK115" s="134">
        <v>5.59</v>
      </c>
      <c r="AL115" s="134">
        <v>1.64</v>
      </c>
      <c r="AM115" s="134">
        <v>28</v>
      </c>
    </row>
    <row r="116" spans="1:39" s="134" customFormat="1" x14ac:dyDescent="0.2">
      <c r="A116" s="133"/>
      <c r="B116" s="117"/>
      <c r="C116" s="133"/>
      <c r="D116" s="133"/>
      <c r="E116" s="116"/>
      <c r="F116" s="116"/>
      <c r="G116" s="116"/>
      <c r="H116" s="276"/>
      <c r="I116" s="276"/>
      <c r="J116" s="112"/>
      <c r="M116" s="135"/>
      <c r="N116" s="171"/>
      <c r="O116" s="171"/>
      <c r="P116" s="135"/>
      <c r="Q116" s="135"/>
      <c r="R116" s="135"/>
      <c r="S116" s="135"/>
      <c r="U116" s="136"/>
      <c r="X116" s="60"/>
      <c r="AD116" s="134" t="s">
        <v>605</v>
      </c>
      <c r="AE116" s="134" t="s">
        <v>61</v>
      </c>
      <c r="AF116" s="134" t="s">
        <v>536</v>
      </c>
      <c r="AG116" s="134" t="s">
        <v>603</v>
      </c>
      <c r="AH116" s="134">
        <v>43.32</v>
      </c>
      <c r="AI116" s="134">
        <v>34.25</v>
      </c>
      <c r="AJ116" s="134">
        <v>28</v>
      </c>
      <c r="AK116" s="134" t="s">
        <v>52</v>
      </c>
      <c r="AL116" s="134" t="s">
        <v>52</v>
      </c>
      <c r="AM116" s="134" t="s">
        <v>52</v>
      </c>
    </row>
    <row r="117" spans="1:39" s="134" customFormat="1" x14ac:dyDescent="0.2">
      <c r="A117" s="133"/>
      <c r="B117" s="117"/>
      <c r="C117" s="133"/>
      <c r="D117" s="133"/>
      <c r="E117" s="116"/>
      <c r="F117" s="116"/>
      <c r="G117" s="116"/>
      <c r="H117" s="276"/>
      <c r="I117" s="276"/>
      <c r="J117" s="112" t="s">
        <v>658</v>
      </c>
      <c r="K117" s="134" t="s">
        <v>608</v>
      </c>
      <c r="L117" s="134">
        <v>3</v>
      </c>
      <c r="M117" s="135">
        <v>8.5</v>
      </c>
      <c r="N117" s="171" t="s">
        <v>454</v>
      </c>
      <c r="O117" s="171" t="s">
        <v>454</v>
      </c>
      <c r="P117" s="135" t="s">
        <v>52</v>
      </c>
      <c r="Q117" s="135" t="s">
        <v>52</v>
      </c>
      <c r="R117" s="135">
        <f>36/67</f>
        <v>0.53731343283582089</v>
      </c>
      <c r="S117" s="135" t="s">
        <v>52</v>
      </c>
      <c r="T117" s="134" t="s">
        <v>92</v>
      </c>
      <c r="U117" s="136" t="s">
        <v>601</v>
      </c>
      <c r="V117" s="134" t="s">
        <v>456</v>
      </c>
      <c r="W117" s="134" t="s">
        <v>153</v>
      </c>
      <c r="X117" s="60" t="s">
        <v>457</v>
      </c>
      <c r="Y117" s="134" t="s">
        <v>58</v>
      </c>
      <c r="Z117" s="165" t="s">
        <v>52</v>
      </c>
      <c r="AA117" s="165" t="s">
        <v>706</v>
      </c>
      <c r="AB117" s="165" t="s">
        <v>52</v>
      </c>
      <c r="AC117" s="134" t="s">
        <v>59</v>
      </c>
      <c r="AD117" s="134" t="s">
        <v>602</v>
      </c>
      <c r="AE117" s="134" t="s">
        <v>95</v>
      </c>
      <c r="AF117" s="134" t="s">
        <v>459</v>
      </c>
      <c r="AG117" s="134" t="s">
        <v>603</v>
      </c>
      <c r="AH117" s="134" t="s">
        <v>52</v>
      </c>
      <c r="AI117" s="134" t="s">
        <v>52</v>
      </c>
      <c r="AJ117" s="134" t="s">
        <v>52</v>
      </c>
      <c r="AK117" s="134">
        <v>8.09</v>
      </c>
      <c r="AL117" s="134">
        <v>1.59</v>
      </c>
      <c r="AM117" s="134">
        <v>33</v>
      </c>
    </row>
    <row r="118" spans="1:39" s="134" customFormat="1" x14ac:dyDescent="0.2">
      <c r="A118" s="133"/>
      <c r="B118" s="117"/>
      <c r="C118" s="133"/>
      <c r="D118" s="133"/>
      <c r="E118" s="116"/>
      <c r="F118" s="116"/>
      <c r="G118" s="116"/>
      <c r="H118" s="276"/>
      <c r="I118" s="276"/>
      <c r="J118" s="112"/>
      <c r="M118" s="135"/>
      <c r="N118" s="171"/>
      <c r="O118" s="171"/>
      <c r="P118" s="135"/>
      <c r="Q118" s="135"/>
      <c r="R118" s="135"/>
      <c r="S118" s="135"/>
      <c r="U118" s="136"/>
      <c r="X118" s="60"/>
      <c r="Z118" s="118"/>
      <c r="AA118" s="118"/>
      <c r="AB118" s="118"/>
      <c r="AD118" s="134" t="s">
        <v>604</v>
      </c>
      <c r="AE118" s="134" t="s">
        <v>95</v>
      </c>
      <c r="AF118" s="134" t="s">
        <v>459</v>
      </c>
      <c r="AG118" s="134" t="s">
        <v>603</v>
      </c>
      <c r="AH118" s="134" t="s">
        <v>52</v>
      </c>
      <c r="AI118" s="134" t="s">
        <v>52</v>
      </c>
      <c r="AJ118" s="134" t="s">
        <v>52</v>
      </c>
      <c r="AK118" s="134">
        <v>4.76</v>
      </c>
      <c r="AL118" s="134">
        <v>1.2</v>
      </c>
      <c r="AM118" s="134">
        <v>33</v>
      </c>
    </row>
    <row r="119" spans="1:39" s="134" customFormat="1" x14ac:dyDescent="0.2">
      <c r="A119" s="133"/>
      <c r="B119" s="117"/>
      <c r="C119" s="133"/>
      <c r="D119" s="133"/>
      <c r="E119" s="116"/>
      <c r="F119" s="116"/>
      <c r="G119" s="116"/>
      <c r="H119" s="276"/>
      <c r="I119" s="276"/>
      <c r="J119" s="112"/>
      <c r="M119" s="135"/>
      <c r="N119" s="171"/>
      <c r="O119" s="171"/>
      <c r="P119" s="135"/>
      <c r="Q119" s="135"/>
      <c r="R119" s="135"/>
      <c r="S119" s="135"/>
      <c r="U119" s="136"/>
      <c r="X119" s="60"/>
      <c r="Z119" s="118"/>
      <c r="AA119" s="118"/>
      <c r="AB119" s="118"/>
      <c r="AD119" s="134" t="s">
        <v>605</v>
      </c>
      <c r="AE119" s="134" t="s">
        <v>61</v>
      </c>
      <c r="AF119" s="134" t="s">
        <v>536</v>
      </c>
      <c r="AG119" s="134" t="s">
        <v>603</v>
      </c>
      <c r="AH119" s="134">
        <v>53.35</v>
      </c>
      <c r="AI119" s="134">
        <v>30.29</v>
      </c>
      <c r="AJ119" s="134">
        <v>33</v>
      </c>
      <c r="AK119" s="134" t="s">
        <v>52</v>
      </c>
      <c r="AL119" s="134" t="s">
        <v>52</v>
      </c>
      <c r="AM119" s="134" t="s">
        <v>52</v>
      </c>
    </row>
    <row r="120" spans="1:39" s="134" customFormat="1" x14ac:dyDescent="0.2">
      <c r="A120" s="133"/>
      <c r="B120" s="117"/>
      <c r="C120" s="133"/>
      <c r="D120" s="133"/>
      <c r="E120" s="116"/>
      <c r="F120" s="116"/>
      <c r="G120" s="116"/>
      <c r="H120" s="276"/>
      <c r="I120" s="276"/>
      <c r="J120" s="112" t="s">
        <v>659</v>
      </c>
      <c r="K120" s="134" t="s">
        <v>609</v>
      </c>
      <c r="L120" s="134">
        <v>3</v>
      </c>
      <c r="M120" s="135">
        <v>8.5</v>
      </c>
      <c r="N120" s="171" t="s">
        <v>454</v>
      </c>
      <c r="O120" s="171" t="s">
        <v>454</v>
      </c>
      <c r="P120" s="135" t="s">
        <v>52</v>
      </c>
      <c r="Q120" s="135" t="s">
        <v>52</v>
      </c>
      <c r="R120" s="135">
        <f>38/66</f>
        <v>0.5757575757575758</v>
      </c>
      <c r="S120" s="135" t="s">
        <v>52</v>
      </c>
      <c r="T120" s="134" t="s">
        <v>92</v>
      </c>
      <c r="U120" s="136" t="s">
        <v>607</v>
      </c>
      <c r="V120" s="134" t="s">
        <v>464</v>
      </c>
      <c r="W120" s="134" t="s">
        <v>153</v>
      </c>
      <c r="X120" s="60" t="s">
        <v>457</v>
      </c>
      <c r="Y120" s="134" t="s">
        <v>58</v>
      </c>
      <c r="Z120" s="134" t="s">
        <v>78</v>
      </c>
      <c r="AA120" s="134" t="s">
        <v>78</v>
      </c>
      <c r="AB120" s="134" t="s">
        <v>78</v>
      </c>
      <c r="AC120" s="134" t="s">
        <v>78</v>
      </c>
      <c r="AD120" s="134" t="s">
        <v>602</v>
      </c>
      <c r="AE120" s="134" t="s">
        <v>95</v>
      </c>
      <c r="AF120" s="134" t="s">
        <v>459</v>
      </c>
      <c r="AG120" s="134" t="s">
        <v>603</v>
      </c>
      <c r="AH120" s="134" t="s">
        <v>52</v>
      </c>
      <c r="AI120" s="134" t="s">
        <v>52</v>
      </c>
      <c r="AJ120" s="134" t="s">
        <v>52</v>
      </c>
      <c r="AK120" s="134">
        <v>7.88</v>
      </c>
      <c r="AL120" s="134">
        <v>1.72</v>
      </c>
      <c r="AM120" s="134">
        <v>27</v>
      </c>
    </row>
    <row r="121" spans="1:39" s="134" customFormat="1" x14ac:dyDescent="0.2">
      <c r="A121" s="133"/>
      <c r="B121" s="117"/>
      <c r="C121" s="133"/>
      <c r="D121" s="133"/>
      <c r="E121" s="116"/>
      <c r="F121" s="116"/>
      <c r="G121" s="116"/>
      <c r="H121" s="276"/>
      <c r="I121" s="276"/>
      <c r="J121" s="112"/>
      <c r="M121" s="135"/>
      <c r="N121" s="171"/>
      <c r="O121" s="171"/>
      <c r="P121" s="135"/>
      <c r="Q121" s="135"/>
      <c r="R121" s="135"/>
      <c r="S121" s="135"/>
      <c r="U121" s="136"/>
      <c r="X121" s="60"/>
      <c r="AD121" s="134" t="s">
        <v>604</v>
      </c>
      <c r="AE121" s="134" t="s">
        <v>95</v>
      </c>
      <c r="AF121" s="134" t="s">
        <v>459</v>
      </c>
      <c r="AG121" s="134" t="s">
        <v>603</v>
      </c>
      <c r="AH121" s="134" t="s">
        <v>52</v>
      </c>
      <c r="AI121" s="134" t="s">
        <v>52</v>
      </c>
      <c r="AJ121" s="134" t="s">
        <v>52</v>
      </c>
      <c r="AK121" s="134">
        <v>4</v>
      </c>
      <c r="AL121" s="134">
        <v>0.87</v>
      </c>
      <c r="AM121" s="134">
        <v>27</v>
      </c>
    </row>
    <row r="122" spans="1:39" s="134" customFormat="1" x14ac:dyDescent="0.2">
      <c r="A122" s="133"/>
      <c r="B122" s="117"/>
      <c r="C122" s="133"/>
      <c r="D122" s="133"/>
      <c r="E122" s="116"/>
      <c r="F122" s="116"/>
      <c r="G122" s="116"/>
      <c r="H122" s="276"/>
      <c r="I122" s="276"/>
      <c r="J122" s="112"/>
      <c r="M122" s="135"/>
      <c r="N122" s="171"/>
      <c r="O122" s="171"/>
      <c r="P122" s="135"/>
      <c r="Q122" s="135"/>
      <c r="R122" s="135"/>
      <c r="S122" s="135"/>
      <c r="U122" s="136"/>
      <c r="X122" s="60"/>
      <c r="AD122" s="134" t="s">
        <v>605</v>
      </c>
      <c r="AE122" s="134" t="s">
        <v>61</v>
      </c>
      <c r="AF122" s="134" t="s">
        <v>536</v>
      </c>
      <c r="AG122" s="134" t="s">
        <v>603</v>
      </c>
      <c r="AH122" s="134">
        <v>38.31</v>
      </c>
      <c r="AI122" s="134">
        <v>35.56</v>
      </c>
      <c r="AJ122" s="134">
        <v>27</v>
      </c>
      <c r="AK122" s="134" t="s">
        <v>52</v>
      </c>
      <c r="AL122" s="134" t="s">
        <v>52</v>
      </c>
      <c r="AM122" s="134" t="s">
        <v>52</v>
      </c>
    </row>
    <row r="123" spans="1:39" s="134" customFormat="1" x14ac:dyDescent="0.2">
      <c r="A123" s="133"/>
      <c r="B123" s="117"/>
      <c r="C123" s="133"/>
      <c r="D123" s="133"/>
      <c r="E123" s="116"/>
      <c r="F123" s="116"/>
      <c r="G123" s="116"/>
      <c r="H123" s="276"/>
      <c r="I123" s="276"/>
      <c r="J123" s="112" t="s">
        <v>660</v>
      </c>
      <c r="K123" s="134" t="s">
        <v>610</v>
      </c>
      <c r="L123" s="134">
        <v>5</v>
      </c>
      <c r="M123" s="135">
        <v>10.5</v>
      </c>
      <c r="N123" s="171" t="s">
        <v>454</v>
      </c>
      <c r="O123" s="171" t="s">
        <v>454</v>
      </c>
      <c r="P123" s="135" t="s">
        <v>52</v>
      </c>
      <c r="Q123" s="135" t="s">
        <v>52</v>
      </c>
      <c r="R123" s="135">
        <f>31/53</f>
        <v>0.58490566037735847</v>
      </c>
      <c r="S123" s="135" t="s">
        <v>52</v>
      </c>
      <c r="T123" s="134" t="s">
        <v>92</v>
      </c>
      <c r="U123" s="136" t="s">
        <v>601</v>
      </c>
      <c r="V123" s="134" t="s">
        <v>456</v>
      </c>
      <c r="W123" s="134" t="s">
        <v>153</v>
      </c>
      <c r="X123" s="60" t="s">
        <v>457</v>
      </c>
      <c r="Y123" s="134" t="s">
        <v>58</v>
      </c>
      <c r="Z123" s="165" t="s">
        <v>52</v>
      </c>
      <c r="AA123" s="165" t="s">
        <v>706</v>
      </c>
      <c r="AB123" s="165" t="s">
        <v>52</v>
      </c>
      <c r="AC123" s="134" t="s">
        <v>59</v>
      </c>
      <c r="AD123" s="134" t="s">
        <v>602</v>
      </c>
      <c r="AE123" s="134" t="s">
        <v>95</v>
      </c>
      <c r="AF123" s="134" t="s">
        <v>459</v>
      </c>
      <c r="AG123" s="134" t="s">
        <v>603</v>
      </c>
      <c r="AH123" s="134" t="s">
        <v>52</v>
      </c>
      <c r="AI123" s="134" t="s">
        <v>52</v>
      </c>
      <c r="AJ123" s="134" t="s">
        <v>52</v>
      </c>
      <c r="AK123" s="134">
        <v>7.92</v>
      </c>
      <c r="AL123" s="134">
        <v>1.54</v>
      </c>
      <c r="AM123" s="134">
        <v>23</v>
      </c>
    </row>
    <row r="124" spans="1:39" s="134" customFormat="1" x14ac:dyDescent="0.2">
      <c r="A124" s="133"/>
      <c r="B124" s="117"/>
      <c r="C124" s="133"/>
      <c r="D124" s="133"/>
      <c r="E124" s="116"/>
      <c r="F124" s="116"/>
      <c r="G124" s="116"/>
      <c r="H124" s="276"/>
      <c r="I124" s="276"/>
      <c r="J124" s="112"/>
      <c r="M124" s="135"/>
      <c r="N124" s="171"/>
      <c r="O124" s="171"/>
      <c r="P124" s="135"/>
      <c r="Q124" s="135"/>
      <c r="R124" s="135"/>
      <c r="S124" s="135"/>
      <c r="U124" s="136"/>
      <c r="X124" s="60"/>
      <c r="Z124" s="118"/>
      <c r="AA124" s="118"/>
      <c r="AB124" s="118"/>
      <c r="AD124" s="134" t="s">
        <v>604</v>
      </c>
      <c r="AE124" s="134" t="s">
        <v>95</v>
      </c>
      <c r="AF124" s="134" t="s">
        <v>459</v>
      </c>
      <c r="AG124" s="134" t="s">
        <v>603</v>
      </c>
      <c r="AH124" s="134" t="s">
        <v>52</v>
      </c>
      <c r="AI124" s="134" t="s">
        <v>52</v>
      </c>
      <c r="AJ124" s="134" t="s">
        <v>52</v>
      </c>
      <c r="AK124" s="134">
        <v>5.4</v>
      </c>
      <c r="AL124" s="134">
        <v>1.34</v>
      </c>
      <c r="AM124" s="134">
        <v>23</v>
      </c>
    </row>
    <row r="125" spans="1:39" s="134" customFormat="1" x14ac:dyDescent="0.2">
      <c r="A125" s="133"/>
      <c r="B125" s="117"/>
      <c r="C125" s="133"/>
      <c r="D125" s="133"/>
      <c r="E125" s="116"/>
      <c r="F125" s="116"/>
      <c r="G125" s="116"/>
      <c r="H125" s="276"/>
      <c r="I125" s="276"/>
      <c r="J125" s="112"/>
      <c r="M125" s="135"/>
      <c r="N125" s="171"/>
      <c r="O125" s="171"/>
      <c r="P125" s="135"/>
      <c r="Q125" s="135"/>
      <c r="R125" s="135"/>
      <c r="S125" s="135"/>
      <c r="U125" s="136"/>
      <c r="X125" s="60"/>
      <c r="Z125" s="118"/>
      <c r="AA125" s="118"/>
      <c r="AB125" s="118"/>
      <c r="AD125" s="134" t="s">
        <v>605</v>
      </c>
      <c r="AE125" s="134" t="s">
        <v>61</v>
      </c>
      <c r="AF125" s="134" t="s">
        <v>536</v>
      </c>
      <c r="AG125" s="134" t="s">
        <v>603</v>
      </c>
      <c r="AH125" s="173">
        <v>43.29</v>
      </c>
      <c r="AI125" s="134">
        <v>11.77</v>
      </c>
      <c r="AJ125" s="134">
        <v>23</v>
      </c>
      <c r="AK125" s="134" t="s">
        <v>52</v>
      </c>
      <c r="AL125" s="134" t="s">
        <v>52</v>
      </c>
      <c r="AM125" s="134" t="s">
        <v>52</v>
      </c>
    </row>
    <row r="126" spans="1:39" s="134" customFormat="1" x14ac:dyDescent="0.2">
      <c r="A126" s="133"/>
      <c r="B126" s="117"/>
      <c r="C126" s="133"/>
      <c r="D126" s="133"/>
      <c r="E126" s="116"/>
      <c r="F126" s="116"/>
      <c r="G126" s="116"/>
      <c r="H126" s="276"/>
      <c r="I126" s="276"/>
      <c r="J126" s="112" t="s">
        <v>661</v>
      </c>
      <c r="K126" s="134" t="s">
        <v>611</v>
      </c>
      <c r="L126" s="134">
        <v>5</v>
      </c>
      <c r="M126" s="135">
        <v>10.5</v>
      </c>
      <c r="N126" s="171" t="s">
        <v>454</v>
      </c>
      <c r="O126" s="171" t="s">
        <v>454</v>
      </c>
      <c r="P126" s="135" t="s">
        <v>52</v>
      </c>
      <c r="Q126" s="135" t="s">
        <v>52</v>
      </c>
      <c r="R126" s="135">
        <f>25/53</f>
        <v>0.47169811320754718</v>
      </c>
      <c r="S126" s="135" t="s">
        <v>52</v>
      </c>
      <c r="T126" s="134" t="s">
        <v>92</v>
      </c>
      <c r="U126" s="136" t="s">
        <v>607</v>
      </c>
      <c r="V126" s="134" t="s">
        <v>464</v>
      </c>
      <c r="W126" s="134" t="s">
        <v>153</v>
      </c>
      <c r="X126" s="60" t="s">
        <v>457</v>
      </c>
      <c r="Y126" s="134" t="s">
        <v>58</v>
      </c>
      <c r="Z126" s="134" t="s">
        <v>78</v>
      </c>
      <c r="AA126" s="134" t="s">
        <v>78</v>
      </c>
      <c r="AB126" s="134" t="s">
        <v>78</v>
      </c>
      <c r="AC126" s="134" t="s">
        <v>78</v>
      </c>
      <c r="AD126" s="134" t="s">
        <v>602</v>
      </c>
      <c r="AE126" s="134" t="s">
        <v>95</v>
      </c>
      <c r="AF126" s="134" t="s">
        <v>459</v>
      </c>
      <c r="AG126" s="134" t="s">
        <v>603</v>
      </c>
      <c r="AH126" s="134" t="s">
        <v>52</v>
      </c>
      <c r="AI126" s="134" t="s">
        <v>52</v>
      </c>
      <c r="AJ126" s="134" t="s">
        <v>52</v>
      </c>
      <c r="AK126" s="134">
        <v>7.35</v>
      </c>
      <c r="AL126" s="134">
        <v>1.54</v>
      </c>
      <c r="AM126" s="134">
        <v>24</v>
      </c>
    </row>
    <row r="127" spans="1:39" s="134" customFormat="1" x14ac:dyDescent="0.2">
      <c r="A127" s="133"/>
      <c r="B127" s="117"/>
      <c r="C127" s="133"/>
      <c r="D127" s="133"/>
      <c r="E127" s="116"/>
      <c r="F127" s="116"/>
      <c r="G127" s="116"/>
      <c r="H127" s="276"/>
      <c r="I127" s="276"/>
      <c r="J127" s="112"/>
      <c r="M127" s="135"/>
      <c r="N127" s="171"/>
      <c r="O127" s="171"/>
      <c r="P127" s="135"/>
      <c r="Q127" s="135"/>
      <c r="R127" s="135"/>
      <c r="S127" s="135"/>
      <c r="U127" s="136"/>
      <c r="X127" s="60"/>
      <c r="AD127" s="134" t="s">
        <v>604</v>
      </c>
      <c r="AE127" s="134" t="s">
        <v>95</v>
      </c>
      <c r="AF127" s="134" t="s">
        <v>459</v>
      </c>
      <c r="AG127" s="134" t="s">
        <v>603</v>
      </c>
      <c r="AH127" s="134" t="s">
        <v>52</v>
      </c>
      <c r="AI127" s="134" t="s">
        <v>52</v>
      </c>
      <c r="AJ127" s="134" t="s">
        <v>52</v>
      </c>
      <c r="AK127" s="134">
        <v>4.4400000000000004</v>
      </c>
      <c r="AL127" s="134">
        <v>1.34</v>
      </c>
      <c r="AM127" s="134">
        <v>24</v>
      </c>
    </row>
    <row r="128" spans="1:39" s="134" customFormat="1" x14ac:dyDescent="0.2">
      <c r="A128" s="133"/>
      <c r="B128" s="117"/>
      <c r="C128" s="133"/>
      <c r="D128" s="133"/>
      <c r="E128" s="116"/>
      <c r="F128" s="116"/>
      <c r="G128" s="116"/>
      <c r="H128" s="276"/>
      <c r="I128" s="276"/>
      <c r="J128" s="112"/>
      <c r="M128" s="135"/>
      <c r="N128" s="171"/>
      <c r="O128" s="171"/>
      <c r="P128" s="135"/>
      <c r="Q128" s="135"/>
      <c r="R128" s="135"/>
      <c r="S128" s="135"/>
      <c r="U128" s="136"/>
      <c r="X128" s="60"/>
      <c r="AD128" s="134" t="s">
        <v>605</v>
      </c>
      <c r="AE128" s="134" t="s">
        <v>61</v>
      </c>
      <c r="AF128" s="134" t="s">
        <v>536</v>
      </c>
      <c r="AG128" s="134" t="s">
        <v>603</v>
      </c>
      <c r="AH128" s="173">
        <v>37.46</v>
      </c>
      <c r="AI128" s="134">
        <v>12.6</v>
      </c>
      <c r="AJ128" s="134">
        <v>24</v>
      </c>
      <c r="AK128" s="134" t="s">
        <v>52</v>
      </c>
      <c r="AL128" s="134" t="s">
        <v>52</v>
      </c>
      <c r="AM128" s="134" t="s">
        <v>52</v>
      </c>
    </row>
    <row r="129" spans="1:39" s="134" customFormat="1" x14ac:dyDescent="0.2">
      <c r="A129" s="133"/>
      <c r="B129" s="117"/>
      <c r="C129" s="133"/>
      <c r="D129" s="133"/>
      <c r="E129" s="116"/>
      <c r="F129" s="116"/>
      <c r="G129" s="116"/>
      <c r="H129" s="276"/>
      <c r="I129" s="276"/>
      <c r="J129" s="112" t="s">
        <v>662</v>
      </c>
      <c r="K129" s="134" t="s">
        <v>612</v>
      </c>
      <c r="L129" s="134">
        <v>5</v>
      </c>
      <c r="M129" s="135">
        <v>10.5</v>
      </c>
      <c r="N129" s="171" t="s">
        <v>454</v>
      </c>
      <c r="O129" s="171" t="s">
        <v>454</v>
      </c>
      <c r="P129" s="135" t="s">
        <v>52</v>
      </c>
      <c r="Q129" s="135" t="s">
        <v>52</v>
      </c>
      <c r="R129" s="135">
        <f>31/53</f>
        <v>0.58490566037735847</v>
      </c>
      <c r="S129" s="135" t="s">
        <v>52</v>
      </c>
      <c r="T129" s="134" t="s">
        <v>92</v>
      </c>
      <c r="U129" s="136" t="s">
        <v>601</v>
      </c>
      <c r="V129" s="134" t="s">
        <v>456</v>
      </c>
      <c r="W129" s="134" t="s">
        <v>153</v>
      </c>
      <c r="X129" s="60" t="s">
        <v>457</v>
      </c>
      <c r="Y129" s="134" t="s">
        <v>58</v>
      </c>
      <c r="Z129" s="165" t="s">
        <v>52</v>
      </c>
      <c r="AA129" s="165" t="s">
        <v>706</v>
      </c>
      <c r="AB129" s="165" t="s">
        <v>52</v>
      </c>
      <c r="AC129" s="134" t="s">
        <v>59</v>
      </c>
      <c r="AD129" s="134" t="s">
        <v>602</v>
      </c>
      <c r="AE129" s="134" t="s">
        <v>95</v>
      </c>
      <c r="AF129" s="134" t="s">
        <v>459</v>
      </c>
      <c r="AG129" s="134" t="s">
        <v>603</v>
      </c>
      <c r="AH129" s="134" t="s">
        <v>52</v>
      </c>
      <c r="AI129" s="134" t="s">
        <v>52</v>
      </c>
      <c r="AJ129" s="134" t="s">
        <v>52</v>
      </c>
      <c r="AK129" s="134">
        <v>6.74</v>
      </c>
      <c r="AL129" s="134">
        <v>1.9</v>
      </c>
      <c r="AM129" s="134">
        <v>26</v>
      </c>
    </row>
    <row r="130" spans="1:39" s="134" customFormat="1" x14ac:dyDescent="0.2">
      <c r="A130" s="133"/>
      <c r="B130" s="117"/>
      <c r="C130" s="133"/>
      <c r="D130" s="133"/>
      <c r="E130" s="116"/>
      <c r="F130" s="116"/>
      <c r="G130" s="116"/>
      <c r="H130" s="276"/>
      <c r="I130" s="276"/>
      <c r="J130" s="112"/>
      <c r="M130" s="135"/>
      <c r="N130" s="171"/>
      <c r="O130" s="171"/>
      <c r="P130" s="135"/>
      <c r="Q130" s="135"/>
      <c r="R130" s="135"/>
      <c r="S130" s="135"/>
      <c r="U130" s="136"/>
      <c r="X130" s="60"/>
      <c r="Z130" s="118"/>
      <c r="AA130" s="118"/>
      <c r="AB130" s="118"/>
      <c r="AD130" s="134" t="s">
        <v>604</v>
      </c>
      <c r="AE130" s="134" t="s">
        <v>95</v>
      </c>
      <c r="AF130" s="134" t="s">
        <v>459</v>
      </c>
      <c r="AG130" s="134" t="s">
        <v>603</v>
      </c>
      <c r="AH130" s="134" t="s">
        <v>52</v>
      </c>
      <c r="AI130" s="134" t="s">
        <v>52</v>
      </c>
      <c r="AJ130" s="134" t="s">
        <v>52</v>
      </c>
      <c r="AK130" s="134">
        <v>4.96</v>
      </c>
      <c r="AL130" s="134">
        <v>1.25</v>
      </c>
      <c r="AM130" s="134">
        <v>26</v>
      </c>
    </row>
    <row r="131" spans="1:39" s="134" customFormat="1" x14ac:dyDescent="0.2">
      <c r="A131" s="133"/>
      <c r="B131" s="117"/>
      <c r="C131" s="133"/>
      <c r="D131" s="133"/>
      <c r="E131" s="116"/>
      <c r="F131" s="116"/>
      <c r="G131" s="116"/>
      <c r="H131" s="276"/>
      <c r="I131" s="276"/>
      <c r="J131" s="112"/>
      <c r="M131" s="135"/>
      <c r="N131" s="171"/>
      <c r="O131" s="171"/>
      <c r="P131" s="135"/>
      <c r="Q131" s="135"/>
      <c r="R131" s="135"/>
      <c r="S131" s="135"/>
      <c r="U131" s="136"/>
      <c r="X131" s="60"/>
      <c r="Z131" s="118"/>
      <c r="AA131" s="118"/>
      <c r="AB131" s="118"/>
      <c r="AD131" s="134" t="s">
        <v>605</v>
      </c>
      <c r="AE131" s="134" t="s">
        <v>61</v>
      </c>
      <c r="AF131" s="134" t="s">
        <v>536</v>
      </c>
      <c r="AG131" s="134" t="s">
        <v>603</v>
      </c>
      <c r="AH131" s="134">
        <v>42.23</v>
      </c>
      <c r="AI131" s="134">
        <v>8.99</v>
      </c>
      <c r="AJ131" s="134">
        <v>26</v>
      </c>
      <c r="AK131" s="134" t="s">
        <v>52</v>
      </c>
      <c r="AL131" s="134" t="s">
        <v>52</v>
      </c>
      <c r="AM131" s="134" t="s">
        <v>52</v>
      </c>
    </row>
    <row r="132" spans="1:39" s="134" customFormat="1" x14ac:dyDescent="0.2">
      <c r="A132" s="133"/>
      <c r="B132" s="117"/>
      <c r="C132" s="133"/>
      <c r="D132" s="133"/>
      <c r="E132" s="116"/>
      <c r="F132" s="116"/>
      <c r="G132" s="116"/>
      <c r="H132" s="276"/>
      <c r="I132" s="276"/>
      <c r="J132" s="112" t="s">
        <v>663</v>
      </c>
      <c r="K132" s="134" t="s">
        <v>613</v>
      </c>
      <c r="L132" s="134">
        <v>5</v>
      </c>
      <c r="M132" s="135">
        <v>10.5</v>
      </c>
      <c r="N132" s="171" t="s">
        <v>454</v>
      </c>
      <c r="O132" s="171" t="s">
        <v>454</v>
      </c>
      <c r="P132" s="135" t="s">
        <v>52</v>
      </c>
      <c r="Q132" s="135" t="s">
        <v>52</v>
      </c>
      <c r="R132" s="135">
        <f>25/53</f>
        <v>0.47169811320754718</v>
      </c>
      <c r="S132" s="135" t="s">
        <v>52</v>
      </c>
      <c r="T132" s="134" t="s">
        <v>92</v>
      </c>
      <c r="U132" s="136" t="s">
        <v>607</v>
      </c>
      <c r="V132" s="134" t="s">
        <v>464</v>
      </c>
      <c r="W132" s="134" t="s">
        <v>153</v>
      </c>
      <c r="X132" s="60" t="s">
        <v>457</v>
      </c>
      <c r="Y132" s="134" t="s">
        <v>58</v>
      </c>
      <c r="Z132" s="134" t="s">
        <v>78</v>
      </c>
      <c r="AA132" s="134" t="s">
        <v>78</v>
      </c>
      <c r="AB132" s="134" t="s">
        <v>78</v>
      </c>
      <c r="AC132" s="134" t="s">
        <v>78</v>
      </c>
      <c r="AD132" s="134" t="s">
        <v>602</v>
      </c>
      <c r="AE132" s="134" t="s">
        <v>95</v>
      </c>
      <c r="AF132" s="134" t="s">
        <v>459</v>
      </c>
      <c r="AG132" s="134" t="s">
        <v>603</v>
      </c>
      <c r="AH132" s="134" t="s">
        <v>52</v>
      </c>
      <c r="AI132" s="134" t="s">
        <v>52</v>
      </c>
      <c r="AJ132" s="134" t="s">
        <v>52</v>
      </c>
      <c r="AK132" s="134">
        <v>6.37</v>
      </c>
      <c r="AL132" s="134">
        <v>1.59</v>
      </c>
      <c r="AM132" s="134">
        <v>28</v>
      </c>
    </row>
    <row r="133" spans="1:39" s="134" customFormat="1" x14ac:dyDescent="0.2">
      <c r="A133" s="133"/>
      <c r="B133" s="117"/>
      <c r="C133" s="133"/>
      <c r="D133" s="133"/>
      <c r="E133" s="116"/>
      <c r="F133" s="116"/>
      <c r="G133" s="116"/>
      <c r="H133" s="276"/>
      <c r="I133" s="276"/>
      <c r="J133" s="112"/>
      <c r="M133" s="135"/>
      <c r="N133" s="135"/>
      <c r="O133" s="135"/>
      <c r="P133" s="135"/>
      <c r="Q133" s="135"/>
      <c r="R133" s="135"/>
      <c r="S133" s="135"/>
      <c r="U133" s="136"/>
      <c r="X133" s="60"/>
      <c r="AD133" s="134" t="s">
        <v>604</v>
      </c>
      <c r="AE133" s="134" t="s">
        <v>95</v>
      </c>
      <c r="AF133" s="134" t="s">
        <v>459</v>
      </c>
      <c r="AG133" s="134" t="s">
        <v>603</v>
      </c>
      <c r="AH133" s="134" t="s">
        <v>52</v>
      </c>
      <c r="AI133" s="134" t="s">
        <v>52</v>
      </c>
      <c r="AJ133" s="134" t="s">
        <v>52</v>
      </c>
      <c r="AK133" s="134">
        <v>5.13</v>
      </c>
      <c r="AL133" s="134">
        <v>1.51</v>
      </c>
      <c r="AM133" s="134">
        <v>28</v>
      </c>
    </row>
    <row r="134" spans="1:39" s="138" customFormat="1" x14ac:dyDescent="0.2">
      <c r="A134" s="137"/>
      <c r="B134" s="123"/>
      <c r="C134" s="137"/>
      <c r="D134" s="137"/>
      <c r="E134" s="122"/>
      <c r="F134" s="122"/>
      <c r="G134" s="122"/>
      <c r="H134" s="277"/>
      <c r="I134" s="277"/>
      <c r="J134" s="113"/>
      <c r="M134" s="139"/>
      <c r="N134" s="139"/>
      <c r="O134" s="139"/>
      <c r="P134" s="139"/>
      <c r="Q134" s="139"/>
      <c r="R134" s="139"/>
      <c r="S134" s="139"/>
      <c r="U134" s="140"/>
      <c r="X134" s="63"/>
      <c r="AD134" s="138" t="s">
        <v>605</v>
      </c>
      <c r="AE134" s="138" t="s">
        <v>61</v>
      </c>
      <c r="AF134" s="138" t="s">
        <v>536</v>
      </c>
      <c r="AG134" s="138" t="s">
        <v>603</v>
      </c>
      <c r="AH134" s="138">
        <v>37.54</v>
      </c>
      <c r="AI134" s="138">
        <v>10.3</v>
      </c>
      <c r="AJ134" s="138">
        <v>28</v>
      </c>
      <c r="AK134" s="138" t="s">
        <v>52</v>
      </c>
      <c r="AL134" s="138" t="s">
        <v>52</v>
      </c>
      <c r="AM134" s="138" t="s">
        <v>52</v>
      </c>
    </row>
    <row r="135" spans="1:39" s="134" customFormat="1" x14ac:dyDescent="0.2">
      <c r="A135" s="133" t="s">
        <v>614</v>
      </c>
      <c r="B135" s="117">
        <v>326</v>
      </c>
      <c r="C135" s="133" t="s">
        <v>47</v>
      </c>
      <c r="D135" s="133" t="s">
        <v>47</v>
      </c>
      <c r="E135" s="116" t="s">
        <v>66</v>
      </c>
      <c r="F135" s="116" t="s">
        <v>49</v>
      </c>
      <c r="G135" s="116" t="s">
        <v>238</v>
      </c>
      <c r="H135" s="276"/>
      <c r="I135" s="276"/>
      <c r="J135" s="112" t="s">
        <v>664</v>
      </c>
      <c r="K135" s="134" t="s">
        <v>473</v>
      </c>
      <c r="L135" s="134">
        <v>5</v>
      </c>
      <c r="M135" s="135">
        <v>10.5</v>
      </c>
      <c r="N135" s="135" t="s">
        <v>52</v>
      </c>
      <c r="O135" s="135">
        <v>0.02</v>
      </c>
      <c r="P135" s="135" t="s">
        <v>52</v>
      </c>
      <c r="Q135" s="135">
        <v>0</v>
      </c>
      <c r="R135" s="135">
        <v>0.48799999999999999</v>
      </c>
      <c r="S135" s="135">
        <f>1-0.42</f>
        <v>0.58000000000000007</v>
      </c>
      <c r="T135" s="134" t="s">
        <v>53</v>
      </c>
      <c r="U135" s="136" t="s">
        <v>615</v>
      </c>
      <c r="V135" s="134" t="s">
        <v>456</v>
      </c>
      <c r="W135" s="134" t="s">
        <v>153</v>
      </c>
      <c r="X135" s="60" t="s">
        <v>457</v>
      </c>
      <c r="Y135" s="134" t="s">
        <v>58</v>
      </c>
      <c r="Z135" s="134">
        <f>60*90</f>
        <v>5400</v>
      </c>
      <c r="AA135" s="134">
        <f>5*12</f>
        <v>60</v>
      </c>
      <c r="AB135" s="134">
        <v>90</v>
      </c>
      <c r="AC135" s="134" t="s">
        <v>59</v>
      </c>
      <c r="AD135" s="134" t="s">
        <v>616</v>
      </c>
      <c r="AE135" s="134" t="s">
        <v>61</v>
      </c>
      <c r="AF135" s="134" t="s">
        <v>536</v>
      </c>
      <c r="AG135" s="134" t="s">
        <v>617</v>
      </c>
      <c r="AH135" s="134">
        <v>455.54</v>
      </c>
      <c r="AI135" s="134">
        <v>9.7100000000000009</v>
      </c>
      <c r="AJ135" s="134">
        <v>41</v>
      </c>
      <c r="AK135" s="134">
        <v>476.72</v>
      </c>
      <c r="AL135" s="134">
        <v>11.1</v>
      </c>
      <c r="AM135" s="134">
        <v>41</v>
      </c>
    </row>
    <row r="136" spans="1:39" s="134" customFormat="1" x14ac:dyDescent="0.2">
      <c r="A136" s="133"/>
      <c r="B136" s="117"/>
      <c r="C136" s="133"/>
      <c r="D136" s="133"/>
      <c r="E136" s="116"/>
      <c r="F136" s="116"/>
      <c r="G136" s="116"/>
      <c r="H136" s="276"/>
      <c r="I136" s="276"/>
      <c r="J136" s="112"/>
      <c r="M136" s="135"/>
      <c r="N136" s="135"/>
      <c r="O136" s="135"/>
      <c r="P136" s="135"/>
      <c r="Q136" s="135"/>
      <c r="R136" s="135"/>
      <c r="S136" s="135"/>
      <c r="U136" s="136"/>
      <c r="X136" s="60"/>
      <c r="AD136" s="134" t="s">
        <v>618</v>
      </c>
      <c r="AE136" s="173" t="s">
        <v>95</v>
      </c>
      <c r="AF136" s="134" t="s">
        <v>513</v>
      </c>
      <c r="AG136" s="134" t="s">
        <v>619</v>
      </c>
      <c r="AH136" s="134">
        <v>8</v>
      </c>
      <c r="AI136" s="134">
        <v>0.46</v>
      </c>
      <c r="AJ136" s="134">
        <v>41</v>
      </c>
      <c r="AK136" s="134">
        <v>8.8800000000000008</v>
      </c>
      <c r="AL136" s="134">
        <v>0.68</v>
      </c>
      <c r="AM136" s="134">
        <v>41</v>
      </c>
    </row>
    <row r="137" spans="1:39" s="134" customFormat="1" x14ac:dyDescent="0.2">
      <c r="A137" s="133"/>
      <c r="B137" s="117"/>
      <c r="C137" s="133"/>
      <c r="D137" s="133"/>
      <c r="E137" s="116"/>
      <c r="F137" s="116"/>
      <c r="G137" s="116"/>
      <c r="H137" s="276"/>
      <c r="I137" s="276"/>
      <c r="J137" s="112" t="s">
        <v>665</v>
      </c>
      <c r="K137" s="134" t="s">
        <v>479</v>
      </c>
      <c r="L137" s="134">
        <v>5</v>
      </c>
      <c r="M137" s="135">
        <v>10.5</v>
      </c>
      <c r="N137" s="135" t="s">
        <v>52</v>
      </c>
      <c r="O137" s="135">
        <v>0</v>
      </c>
      <c r="P137" s="135" t="s">
        <v>52</v>
      </c>
      <c r="Q137" s="135">
        <v>0.02</v>
      </c>
      <c r="R137" s="135">
        <v>0.63600000000000001</v>
      </c>
      <c r="S137" s="135">
        <f>1-0.63</f>
        <v>0.37</v>
      </c>
      <c r="T137" s="134" t="s">
        <v>53</v>
      </c>
      <c r="U137" s="136" t="s">
        <v>620</v>
      </c>
      <c r="V137" s="134" t="s">
        <v>80</v>
      </c>
      <c r="W137" s="134" t="s">
        <v>153</v>
      </c>
      <c r="X137" s="60" t="s">
        <v>457</v>
      </c>
      <c r="Y137" s="134" t="s">
        <v>58</v>
      </c>
      <c r="Z137" s="134">
        <f>60*90</f>
        <v>5400</v>
      </c>
      <c r="AA137" s="134">
        <f>5*12</f>
        <v>60</v>
      </c>
      <c r="AB137" s="134">
        <v>90</v>
      </c>
      <c r="AC137" s="134" t="s">
        <v>78</v>
      </c>
      <c r="AD137" s="134" t="s">
        <v>616</v>
      </c>
      <c r="AE137" s="134" t="s">
        <v>61</v>
      </c>
      <c r="AF137" s="134" t="s">
        <v>536</v>
      </c>
      <c r="AG137" s="134" t="s">
        <v>617</v>
      </c>
      <c r="AH137" s="134">
        <v>450.7</v>
      </c>
      <c r="AI137" s="134">
        <v>3.69</v>
      </c>
      <c r="AJ137" s="134">
        <v>22</v>
      </c>
      <c r="AK137" s="134">
        <v>459.03</v>
      </c>
      <c r="AL137" s="134">
        <v>15.72</v>
      </c>
      <c r="AM137" s="134">
        <v>22</v>
      </c>
    </row>
    <row r="138" spans="1:39" s="134" customFormat="1" x14ac:dyDescent="0.2">
      <c r="A138" s="133"/>
      <c r="B138" s="117"/>
      <c r="C138" s="133"/>
      <c r="D138" s="133"/>
      <c r="E138" s="116"/>
      <c r="F138" s="116"/>
      <c r="G138" s="116"/>
      <c r="H138" s="276"/>
      <c r="I138" s="276"/>
      <c r="J138" s="112"/>
      <c r="M138" s="135"/>
      <c r="N138" s="135"/>
      <c r="O138" s="135"/>
      <c r="P138" s="135"/>
      <c r="Q138" s="135"/>
      <c r="R138" s="135"/>
      <c r="S138" s="135"/>
      <c r="U138" s="136"/>
      <c r="X138" s="60"/>
      <c r="AD138" s="134" t="s">
        <v>618</v>
      </c>
      <c r="AE138" s="134" t="str">
        <f>AE$136</f>
        <v>0 = NO - Not standardized</v>
      </c>
      <c r="AF138" s="134" t="s">
        <v>513</v>
      </c>
      <c r="AG138" s="134" t="s">
        <v>619</v>
      </c>
      <c r="AH138" s="173">
        <v>7.97</v>
      </c>
      <c r="AI138" s="173">
        <v>0.57999999999999996</v>
      </c>
      <c r="AJ138" s="134">
        <v>22</v>
      </c>
      <c r="AK138" s="134">
        <v>7.73</v>
      </c>
      <c r="AL138" s="134">
        <v>1.3</v>
      </c>
      <c r="AM138" s="134">
        <v>22</v>
      </c>
    </row>
    <row r="139" spans="1:39" s="134" customFormat="1" x14ac:dyDescent="0.2">
      <c r="A139" s="133"/>
      <c r="B139" s="117"/>
      <c r="C139" s="133"/>
      <c r="D139" s="133"/>
      <c r="E139" s="116"/>
      <c r="F139" s="116"/>
      <c r="G139" s="116"/>
      <c r="H139" s="276"/>
      <c r="I139" s="276"/>
      <c r="J139" s="112" t="s">
        <v>666</v>
      </c>
      <c r="K139" s="134" t="s">
        <v>481</v>
      </c>
      <c r="L139" s="134">
        <v>5</v>
      </c>
      <c r="M139" s="135">
        <v>10.5</v>
      </c>
      <c r="N139" s="135" t="s">
        <v>52</v>
      </c>
      <c r="O139" s="135">
        <v>0.08</v>
      </c>
      <c r="P139" s="135" t="s">
        <v>52</v>
      </c>
      <c r="Q139" s="135">
        <v>0.12</v>
      </c>
      <c r="R139" s="135">
        <v>0.39600000000000002</v>
      </c>
      <c r="S139" s="135">
        <f>1-0.56</f>
        <v>0.43999999999999995</v>
      </c>
      <c r="T139" s="134" t="s">
        <v>53</v>
      </c>
      <c r="U139" s="136" t="s">
        <v>621</v>
      </c>
      <c r="V139" s="134" t="s">
        <v>456</v>
      </c>
      <c r="W139" s="134" t="s">
        <v>153</v>
      </c>
      <c r="X139" s="60" t="s">
        <v>457</v>
      </c>
      <c r="Y139" s="134" t="s">
        <v>58</v>
      </c>
      <c r="Z139" s="134">
        <f>60*90</f>
        <v>5400</v>
      </c>
      <c r="AA139" s="134">
        <f>5*12</f>
        <v>60</v>
      </c>
      <c r="AB139" s="134">
        <v>90</v>
      </c>
      <c r="AC139" s="134" t="s">
        <v>59</v>
      </c>
      <c r="AD139" s="134" t="s">
        <v>616</v>
      </c>
      <c r="AE139" s="134" t="s">
        <v>61</v>
      </c>
      <c r="AF139" s="134" t="s">
        <v>536</v>
      </c>
      <c r="AG139" s="134" t="s">
        <v>617</v>
      </c>
      <c r="AH139" s="134">
        <v>515.33000000000004</v>
      </c>
      <c r="AI139" s="134">
        <v>15.58</v>
      </c>
      <c r="AJ139" s="134">
        <v>53</v>
      </c>
      <c r="AK139" s="134">
        <v>528.57000000000005</v>
      </c>
      <c r="AL139" s="134">
        <v>16.5</v>
      </c>
      <c r="AM139" s="134">
        <v>53</v>
      </c>
    </row>
    <row r="140" spans="1:39" s="134" customFormat="1" x14ac:dyDescent="0.2">
      <c r="A140" s="133"/>
      <c r="B140" s="117"/>
      <c r="C140" s="133"/>
      <c r="D140" s="133"/>
      <c r="E140" s="116"/>
      <c r="F140" s="116"/>
      <c r="G140" s="116"/>
      <c r="H140" s="276"/>
      <c r="I140" s="276"/>
      <c r="J140" s="112"/>
      <c r="M140" s="135"/>
      <c r="N140" s="135"/>
      <c r="O140" s="135"/>
      <c r="P140" s="135"/>
      <c r="Q140" s="135"/>
      <c r="R140" s="135"/>
      <c r="S140" s="135"/>
      <c r="U140" s="136"/>
      <c r="X140" s="60"/>
      <c r="AD140" s="134" t="s">
        <v>618</v>
      </c>
      <c r="AE140" s="134" t="str">
        <f>AE$136</f>
        <v>0 = NO - Not standardized</v>
      </c>
      <c r="AF140" s="134" t="s">
        <v>513</v>
      </c>
      <c r="AG140" s="134" t="s">
        <v>619</v>
      </c>
      <c r="AH140" s="173">
        <v>8.77</v>
      </c>
      <c r="AI140" s="173">
        <v>1.53</v>
      </c>
      <c r="AJ140" s="134">
        <v>53</v>
      </c>
      <c r="AK140" s="134">
        <v>9.58</v>
      </c>
      <c r="AL140" s="134">
        <v>0.82</v>
      </c>
      <c r="AM140" s="134">
        <v>53</v>
      </c>
    </row>
    <row r="141" spans="1:39" s="134" customFormat="1" x14ac:dyDescent="0.2">
      <c r="A141" s="133"/>
      <c r="B141" s="117"/>
      <c r="C141" s="133"/>
      <c r="D141" s="133"/>
      <c r="E141" s="116"/>
      <c r="F141" s="116"/>
      <c r="G141" s="116"/>
      <c r="H141" s="276"/>
      <c r="I141" s="276"/>
      <c r="J141" s="112" t="s">
        <v>667</v>
      </c>
      <c r="K141" s="134" t="s">
        <v>482</v>
      </c>
      <c r="L141" s="134">
        <v>5</v>
      </c>
      <c r="M141" s="135">
        <v>10.5</v>
      </c>
      <c r="N141" s="135" t="s">
        <v>52</v>
      </c>
      <c r="O141" s="135">
        <v>0.23</v>
      </c>
      <c r="P141" s="135" t="s">
        <v>52</v>
      </c>
      <c r="Q141" s="135">
        <v>0.14000000000000001</v>
      </c>
      <c r="R141" s="135">
        <v>0.65</v>
      </c>
      <c r="S141" s="135">
        <f>1-0.77</f>
        <v>0.22999999999999998</v>
      </c>
      <c r="T141" s="134" t="s">
        <v>53</v>
      </c>
      <c r="U141" s="136" t="s">
        <v>620</v>
      </c>
      <c r="V141" s="134" t="s">
        <v>80</v>
      </c>
      <c r="W141" s="134" t="s">
        <v>153</v>
      </c>
      <c r="X141" s="60" t="s">
        <v>457</v>
      </c>
      <c r="Y141" s="134" t="s">
        <v>58</v>
      </c>
      <c r="Z141" s="134">
        <f>60*90</f>
        <v>5400</v>
      </c>
      <c r="AA141" s="134">
        <f>5*12</f>
        <v>60</v>
      </c>
      <c r="AB141" s="134">
        <v>90</v>
      </c>
      <c r="AC141" s="134" t="s">
        <v>78</v>
      </c>
      <c r="AD141" s="134" t="s">
        <v>616</v>
      </c>
      <c r="AE141" s="134" t="s">
        <v>61</v>
      </c>
      <c r="AF141" s="134" t="s">
        <v>536</v>
      </c>
      <c r="AG141" s="134" t="s">
        <v>617</v>
      </c>
      <c r="AH141" s="134">
        <v>509.13</v>
      </c>
      <c r="AI141" s="134">
        <v>1.36</v>
      </c>
      <c r="AJ141" s="134">
        <v>40</v>
      </c>
      <c r="AK141" s="134">
        <v>514.23</v>
      </c>
      <c r="AL141" s="134">
        <v>8.75</v>
      </c>
      <c r="AM141" s="134">
        <v>40</v>
      </c>
    </row>
    <row r="142" spans="1:39" s="138" customFormat="1" x14ac:dyDescent="0.2">
      <c r="A142" s="137"/>
      <c r="B142" s="123"/>
      <c r="C142" s="137"/>
      <c r="D142" s="137"/>
      <c r="E142" s="122"/>
      <c r="F142" s="122"/>
      <c r="G142" s="122"/>
      <c r="H142" s="277"/>
      <c r="I142" s="277"/>
      <c r="J142" s="113"/>
      <c r="M142" s="139"/>
      <c r="N142" s="139"/>
      <c r="O142" s="139"/>
      <c r="P142" s="139"/>
      <c r="Q142" s="139"/>
      <c r="R142" s="139"/>
      <c r="S142" s="139"/>
      <c r="U142" s="140"/>
      <c r="X142" s="63"/>
      <c r="AD142" s="138" t="s">
        <v>618</v>
      </c>
      <c r="AE142" s="138" t="str">
        <f>AE$136</f>
        <v>0 = NO - Not standardized</v>
      </c>
      <c r="AF142" s="138" t="s">
        <v>513</v>
      </c>
      <c r="AG142" s="138" t="s">
        <v>619</v>
      </c>
      <c r="AH142" s="138">
        <v>9.0299999999999994</v>
      </c>
      <c r="AI142" s="138">
        <v>0.55000000000000004</v>
      </c>
      <c r="AJ142" s="138">
        <v>40</v>
      </c>
      <c r="AK142" s="138">
        <v>9.67</v>
      </c>
      <c r="AL142" s="138">
        <v>0.32</v>
      </c>
      <c r="AM142" s="138">
        <v>40</v>
      </c>
    </row>
    <row r="143" spans="1:39" s="134" customFormat="1" x14ac:dyDescent="0.2">
      <c r="A143" s="133" t="s">
        <v>622</v>
      </c>
      <c r="B143" s="117">
        <v>327</v>
      </c>
      <c r="C143" s="133" t="s">
        <v>47</v>
      </c>
      <c r="D143" s="133" t="s">
        <v>47</v>
      </c>
      <c r="E143" s="116" t="s">
        <v>66</v>
      </c>
      <c r="F143" s="116" t="s">
        <v>49</v>
      </c>
      <c r="G143" s="116" t="s">
        <v>50</v>
      </c>
      <c r="H143" s="276"/>
      <c r="I143" s="276"/>
      <c r="J143" s="112" t="s">
        <v>668</v>
      </c>
      <c r="K143" s="134" t="s">
        <v>623</v>
      </c>
      <c r="L143" s="134">
        <v>7</v>
      </c>
      <c r="M143" s="135">
        <v>12.5</v>
      </c>
      <c r="N143" s="171" t="s">
        <v>454</v>
      </c>
      <c r="O143" s="90" t="s">
        <v>52</v>
      </c>
      <c r="P143" s="135">
        <v>0.47699999999999998</v>
      </c>
      <c r="Q143" s="135" t="s">
        <v>52</v>
      </c>
      <c r="R143" s="135" t="s">
        <v>52</v>
      </c>
      <c r="S143" s="135">
        <f>0.351+0.332</f>
        <v>0.68300000000000005</v>
      </c>
      <c r="T143" s="134" t="s">
        <v>92</v>
      </c>
      <c r="U143" s="136" t="s">
        <v>624</v>
      </c>
      <c r="V143" s="134" t="s">
        <v>456</v>
      </c>
      <c r="W143" s="134" t="s">
        <v>153</v>
      </c>
      <c r="X143" s="60" t="s">
        <v>457</v>
      </c>
      <c r="Y143" s="134" t="s">
        <v>58</v>
      </c>
      <c r="Z143" s="173">
        <f>42.5*160</f>
        <v>6800</v>
      </c>
      <c r="AA143" s="173">
        <f>8*4*5</f>
        <v>160</v>
      </c>
      <c r="AB143" s="173">
        <f>AVERAGE(40, 45)</f>
        <v>42.5</v>
      </c>
      <c r="AC143" s="134" t="s">
        <v>59</v>
      </c>
      <c r="AD143" s="134" t="s">
        <v>625</v>
      </c>
      <c r="AE143" s="134" t="s">
        <v>61</v>
      </c>
      <c r="AF143" s="134" t="s">
        <v>536</v>
      </c>
      <c r="AG143" s="134" t="s">
        <v>52</v>
      </c>
      <c r="AH143" s="134">
        <v>514.79</v>
      </c>
      <c r="AI143" s="134">
        <v>25.49</v>
      </c>
      <c r="AJ143" s="134">
        <v>154</v>
      </c>
      <c r="AK143" s="134">
        <v>515.58000000000004</v>
      </c>
      <c r="AL143" s="134">
        <v>28.22</v>
      </c>
      <c r="AM143" s="134">
        <v>154</v>
      </c>
    </row>
    <row r="144" spans="1:39" s="134" customFormat="1" x14ac:dyDescent="0.2">
      <c r="A144" s="133"/>
      <c r="B144" s="117"/>
      <c r="C144" s="133"/>
      <c r="D144" s="133"/>
      <c r="E144" s="116"/>
      <c r="F144" s="116"/>
      <c r="G144" s="116"/>
      <c r="H144" s="276"/>
      <c r="I144" s="276"/>
      <c r="J144" s="112" t="s">
        <v>669</v>
      </c>
      <c r="K144" s="134" t="s">
        <v>626</v>
      </c>
      <c r="L144" s="134">
        <v>7</v>
      </c>
      <c r="M144" s="135">
        <v>12.5</v>
      </c>
      <c r="N144" s="171" t="s">
        <v>454</v>
      </c>
      <c r="O144" s="90" t="s">
        <v>52</v>
      </c>
      <c r="P144" s="135">
        <v>0.47699999999999998</v>
      </c>
      <c r="Q144" s="135" t="s">
        <v>52</v>
      </c>
      <c r="R144" s="135" t="s">
        <v>52</v>
      </c>
      <c r="S144" s="135">
        <f>0.351+0.332</f>
        <v>0.68300000000000005</v>
      </c>
      <c r="T144" s="134" t="s">
        <v>92</v>
      </c>
      <c r="U144" s="136" t="s">
        <v>627</v>
      </c>
      <c r="V144" s="134" t="s">
        <v>80</v>
      </c>
      <c r="W144" s="134" t="s">
        <v>78</v>
      </c>
      <c r="X144" s="60" t="s">
        <v>78</v>
      </c>
      <c r="Y144" s="134" t="s">
        <v>78</v>
      </c>
      <c r="Z144" s="134" t="s">
        <v>78</v>
      </c>
      <c r="AA144" s="134" t="s">
        <v>78</v>
      </c>
      <c r="AB144" s="134" t="s">
        <v>78</v>
      </c>
      <c r="AC144" s="134" t="s">
        <v>78</v>
      </c>
      <c r="AD144" s="134" t="s">
        <v>625</v>
      </c>
      <c r="AE144" s="134" t="s">
        <v>61</v>
      </c>
      <c r="AF144" s="134" t="s">
        <v>536</v>
      </c>
      <c r="AG144" s="134" t="s">
        <v>52</v>
      </c>
      <c r="AH144" s="134">
        <v>519.67999999999995</v>
      </c>
      <c r="AI144" s="134">
        <v>28.78</v>
      </c>
      <c r="AJ144" s="134">
        <v>143</v>
      </c>
      <c r="AK144" s="134">
        <v>518.19000000000005</v>
      </c>
      <c r="AL144" s="134">
        <v>30.19</v>
      </c>
      <c r="AM144" s="134">
        <v>143</v>
      </c>
    </row>
    <row r="145" spans="1:39" s="134" customFormat="1" x14ac:dyDescent="0.2">
      <c r="A145" s="133"/>
      <c r="B145" s="117"/>
      <c r="C145" s="133"/>
      <c r="D145" s="133"/>
      <c r="E145" s="116"/>
      <c r="F145" s="116"/>
      <c r="G145" s="116"/>
      <c r="H145" s="276"/>
      <c r="I145" s="276"/>
      <c r="J145" s="112" t="s">
        <v>670</v>
      </c>
      <c r="K145" s="134" t="s">
        <v>628</v>
      </c>
      <c r="L145" s="134">
        <v>8</v>
      </c>
      <c r="M145" s="135">
        <v>13.5</v>
      </c>
      <c r="N145" s="171" t="s">
        <v>454</v>
      </c>
      <c r="O145" s="90" t="s">
        <v>52</v>
      </c>
      <c r="P145" s="135">
        <v>0.47699999999999998</v>
      </c>
      <c r="Q145" s="135" t="s">
        <v>52</v>
      </c>
      <c r="R145" s="135" t="s">
        <v>52</v>
      </c>
      <c r="S145" s="135">
        <f>0.351+0.332</f>
        <v>0.68300000000000005</v>
      </c>
      <c r="T145" s="134" t="s">
        <v>92</v>
      </c>
      <c r="U145" s="136" t="s">
        <v>624</v>
      </c>
      <c r="V145" s="134" t="s">
        <v>456</v>
      </c>
      <c r="W145" s="134" t="s">
        <v>153</v>
      </c>
      <c r="X145" s="60" t="s">
        <v>457</v>
      </c>
      <c r="Y145" s="134" t="s">
        <v>58</v>
      </c>
      <c r="Z145" s="134">
        <f>Z$143</f>
        <v>6800</v>
      </c>
      <c r="AA145" s="134">
        <f t="shared" ref="AA145:AB161" si="9">AA$143</f>
        <v>160</v>
      </c>
      <c r="AB145" s="134">
        <f t="shared" si="9"/>
        <v>42.5</v>
      </c>
      <c r="AC145" s="134" t="s">
        <v>59</v>
      </c>
      <c r="AD145" s="134" t="s">
        <v>625</v>
      </c>
      <c r="AE145" s="134" t="s">
        <v>61</v>
      </c>
      <c r="AF145" s="134" t="s">
        <v>536</v>
      </c>
      <c r="AG145" s="134" t="s">
        <v>52</v>
      </c>
      <c r="AH145" s="134">
        <v>521.98</v>
      </c>
      <c r="AI145" s="134">
        <v>27.12</v>
      </c>
      <c r="AJ145" s="134">
        <v>117</v>
      </c>
      <c r="AK145" s="134">
        <v>522.23</v>
      </c>
      <c r="AL145" s="134">
        <v>27.7</v>
      </c>
      <c r="AM145" s="134">
        <v>117</v>
      </c>
    </row>
    <row r="146" spans="1:39" s="134" customFormat="1" x14ac:dyDescent="0.2">
      <c r="A146" s="133"/>
      <c r="B146" s="117"/>
      <c r="C146" s="133"/>
      <c r="D146" s="133"/>
      <c r="E146" s="116"/>
      <c r="F146" s="116"/>
      <c r="G146" s="116"/>
      <c r="H146" s="276"/>
      <c r="I146" s="276"/>
      <c r="J146" s="112" t="s">
        <v>671</v>
      </c>
      <c r="K146" s="134" t="s">
        <v>629</v>
      </c>
      <c r="L146" s="134">
        <v>8</v>
      </c>
      <c r="M146" s="135">
        <v>13.5</v>
      </c>
      <c r="N146" s="171" t="s">
        <v>454</v>
      </c>
      <c r="O146" s="90" t="s">
        <v>52</v>
      </c>
      <c r="P146" s="135">
        <v>0.47699999999999998</v>
      </c>
      <c r="Q146" s="135" t="s">
        <v>52</v>
      </c>
      <c r="R146" s="135" t="s">
        <v>52</v>
      </c>
      <c r="S146" s="135">
        <f>0.351+0.332</f>
        <v>0.68300000000000005</v>
      </c>
      <c r="T146" s="134" t="s">
        <v>92</v>
      </c>
      <c r="U146" s="136" t="s">
        <v>627</v>
      </c>
      <c r="V146" s="134" t="s">
        <v>80</v>
      </c>
      <c r="W146" s="134" t="s">
        <v>78</v>
      </c>
      <c r="X146" s="60" t="s">
        <v>78</v>
      </c>
      <c r="Y146" s="134" t="s">
        <v>78</v>
      </c>
      <c r="Z146" s="134" t="s">
        <v>78</v>
      </c>
      <c r="AA146" s="134" t="s">
        <v>78</v>
      </c>
      <c r="AB146" s="134" t="s">
        <v>78</v>
      </c>
      <c r="AC146" s="134" t="s">
        <v>78</v>
      </c>
      <c r="AD146" s="134" t="s">
        <v>625</v>
      </c>
      <c r="AE146" s="134" t="s">
        <v>61</v>
      </c>
      <c r="AF146" s="134" t="s">
        <v>536</v>
      </c>
      <c r="AG146" s="134" t="s">
        <v>52</v>
      </c>
      <c r="AH146" s="134">
        <v>522.34</v>
      </c>
      <c r="AI146" s="134">
        <v>33.229999999999997</v>
      </c>
      <c r="AJ146" s="134">
        <v>134</v>
      </c>
      <c r="AK146" s="134">
        <v>522.42999999999995</v>
      </c>
      <c r="AL146" s="134">
        <v>31.16</v>
      </c>
      <c r="AM146" s="134">
        <v>134</v>
      </c>
    </row>
    <row r="147" spans="1:39" s="134" customFormat="1" x14ac:dyDescent="0.2">
      <c r="A147" s="133"/>
      <c r="B147" s="117"/>
      <c r="C147" s="133"/>
      <c r="D147" s="133"/>
      <c r="E147" s="116"/>
      <c r="F147" s="116"/>
      <c r="G147" s="116"/>
      <c r="H147" s="276"/>
      <c r="I147" s="276"/>
      <c r="J147" s="112" t="s">
        <v>672</v>
      </c>
      <c r="K147" s="134" t="s">
        <v>630</v>
      </c>
      <c r="L147" s="134">
        <v>6</v>
      </c>
      <c r="M147" s="135">
        <v>11.5</v>
      </c>
      <c r="N147" s="171" t="s">
        <v>454</v>
      </c>
      <c r="O147" s="90" t="s">
        <v>52</v>
      </c>
      <c r="P147" s="135">
        <v>0.79</v>
      </c>
      <c r="Q147" s="135" t="s">
        <v>52</v>
      </c>
      <c r="R147" s="135" t="s">
        <v>52</v>
      </c>
      <c r="S147" s="135">
        <f t="shared" ref="S147:S152" si="10">0.228+0.464</f>
        <v>0.69200000000000006</v>
      </c>
      <c r="T147" s="134" t="s">
        <v>92</v>
      </c>
      <c r="U147" s="136" t="s">
        <v>624</v>
      </c>
      <c r="V147" s="134" t="s">
        <v>456</v>
      </c>
      <c r="W147" s="134" t="s">
        <v>153</v>
      </c>
      <c r="X147" s="60" t="s">
        <v>457</v>
      </c>
      <c r="Y147" s="134" t="s">
        <v>58</v>
      </c>
      <c r="Z147" s="134">
        <f>Z$143</f>
        <v>6800</v>
      </c>
      <c r="AA147" s="134">
        <f t="shared" si="9"/>
        <v>160</v>
      </c>
      <c r="AB147" s="134">
        <f t="shared" si="9"/>
        <v>42.5</v>
      </c>
      <c r="AC147" s="134" t="s">
        <v>59</v>
      </c>
      <c r="AD147" s="134" t="s">
        <v>625</v>
      </c>
      <c r="AE147" s="134" t="s">
        <v>61</v>
      </c>
      <c r="AF147" s="134" t="s">
        <v>536</v>
      </c>
      <c r="AG147" s="134" t="s">
        <v>52</v>
      </c>
      <c r="AH147" s="134">
        <v>498.84</v>
      </c>
      <c r="AI147" s="134">
        <v>35.159999999999997</v>
      </c>
      <c r="AJ147" s="134">
        <v>176</v>
      </c>
      <c r="AK147" s="134">
        <v>501.99</v>
      </c>
      <c r="AL147" s="134">
        <v>31.33</v>
      </c>
      <c r="AM147" s="134">
        <v>176</v>
      </c>
    </row>
    <row r="148" spans="1:39" s="134" customFormat="1" x14ac:dyDescent="0.2">
      <c r="A148" s="133"/>
      <c r="B148" s="117"/>
      <c r="C148" s="133"/>
      <c r="D148" s="133"/>
      <c r="E148" s="116"/>
      <c r="F148" s="116"/>
      <c r="G148" s="116"/>
      <c r="H148" s="276"/>
      <c r="I148" s="276"/>
      <c r="J148" s="112" t="s">
        <v>673</v>
      </c>
      <c r="K148" s="134" t="s">
        <v>631</v>
      </c>
      <c r="L148" s="134">
        <v>6</v>
      </c>
      <c r="M148" s="135">
        <v>11.5</v>
      </c>
      <c r="N148" s="171" t="s">
        <v>454</v>
      </c>
      <c r="O148" s="90" t="s">
        <v>52</v>
      </c>
      <c r="P148" s="135">
        <v>0.79</v>
      </c>
      <c r="Q148" s="135" t="s">
        <v>52</v>
      </c>
      <c r="R148" s="135" t="s">
        <v>52</v>
      </c>
      <c r="S148" s="135">
        <f t="shared" si="10"/>
        <v>0.69200000000000006</v>
      </c>
      <c r="T148" s="134" t="s">
        <v>92</v>
      </c>
      <c r="U148" s="136" t="s">
        <v>627</v>
      </c>
      <c r="V148" s="134" t="s">
        <v>80</v>
      </c>
      <c r="W148" s="134" t="s">
        <v>78</v>
      </c>
      <c r="X148" s="60" t="s">
        <v>78</v>
      </c>
      <c r="Y148" s="134" t="s">
        <v>78</v>
      </c>
      <c r="Z148" s="134" t="s">
        <v>78</v>
      </c>
      <c r="AA148" s="134" t="s">
        <v>78</v>
      </c>
      <c r="AB148" s="134" t="s">
        <v>78</v>
      </c>
      <c r="AC148" s="134" t="s">
        <v>78</v>
      </c>
      <c r="AD148" s="134" t="s">
        <v>625</v>
      </c>
      <c r="AE148" s="134" t="s">
        <v>61</v>
      </c>
      <c r="AF148" s="134" t="s">
        <v>536</v>
      </c>
      <c r="AG148" s="134" t="s">
        <v>52</v>
      </c>
      <c r="AH148" s="134">
        <v>505.65</v>
      </c>
      <c r="AI148" s="134">
        <v>31.49</v>
      </c>
      <c r="AJ148" s="134">
        <v>84</v>
      </c>
      <c r="AK148" s="134">
        <v>510.28</v>
      </c>
      <c r="AL148" s="134">
        <v>32.590000000000003</v>
      </c>
      <c r="AM148" s="134">
        <v>84</v>
      </c>
    </row>
    <row r="149" spans="1:39" s="134" customFormat="1" x14ac:dyDescent="0.2">
      <c r="A149" s="133"/>
      <c r="B149" s="117"/>
      <c r="C149" s="133"/>
      <c r="D149" s="133"/>
      <c r="E149" s="116"/>
      <c r="F149" s="116"/>
      <c r="G149" s="116"/>
      <c r="H149" s="276"/>
      <c r="I149" s="276"/>
      <c r="J149" s="112" t="s">
        <v>674</v>
      </c>
      <c r="K149" s="134" t="s">
        <v>632</v>
      </c>
      <c r="L149" s="134">
        <v>7</v>
      </c>
      <c r="M149" s="135">
        <v>12.5</v>
      </c>
      <c r="N149" s="171" t="s">
        <v>454</v>
      </c>
      <c r="O149" s="90" t="s">
        <v>52</v>
      </c>
      <c r="P149" s="135">
        <v>0.79</v>
      </c>
      <c r="Q149" s="135" t="s">
        <v>52</v>
      </c>
      <c r="R149" s="135" t="s">
        <v>52</v>
      </c>
      <c r="S149" s="135">
        <f t="shared" si="10"/>
        <v>0.69200000000000006</v>
      </c>
      <c r="T149" s="134" t="s">
        <v>92</v>
      </c>
      <c r="U149" s="136" t="s">
        <v>624</v>
      </c>
      <c r="V149" s="134" t="s">
        <v>456</v>
      </c>
      <c r="W149" s="134" t="s">
        <v>153</v>
      </c>
      <c r="X149" s="60" t="s">
        <v>457</v>
      </c>
      <c r="Y149" s="134" t="s">
        <v>58</v>
      </c>
      <c r="Z149" s="134">
        <f>Z$143</f>
        <v>6800</v>
      </c>
      <c r="AA149" s="134">
        <f t="shared" si="9"/>
        <v>160</v>
      </c>
      <c r="AB149" s="134">
        <f t="shared" si="9"/>
        <v>42.5</v>
      </c>
      <c r="AC149" s="134" t="s">
        <v>59</v>
      </c>
      <c r="AD149" s="134" t="s">
        <v>625</v>
      </c>
      <c r="AE149" s="134" t="s">
        <v>61</v>
      </c>
      <c r="AF149" s="134" t="s">
        <v>536</v>
      </c>
      <c r="AG149" s="134" t="s">
        <v>52</v>
      </c>
      <c r="AH149" s="134">
        <v>523.13</v>
      </c>
      <c r="AI149" s="134">
        <v>26.26</v>
      </c>
      <c r="AJ149" s="134">
        <v>196</v>
      </c>
      <c r="AK149" s="134">
        <v>526.38</v>
      </c>
      <c r="AL149" s="134">
        <v>28.99</v>
      </c>
      <c r="AM149" s="134">
        <v>196</v>
      </c>
    </row>
    <row r="150" spans="1:39" s="134" customFormat="1" x14ac:dyDescent="0.2">
      <c r="A150" s="133"/>
      <c r="B150" s="117"/>
      <c r="C150" s="133"/>
      <c r="D150" s="133"/>
      <c r="E150" s="116"/>
      <c r="F150" s="116"/>
      <c r="G150" s="116"/>
      <c r="H150" s="276"/>
      <c r="I150" s="276"/>
      <c r="J150" s="112" t="s">
        <v>675</v>
      </c>
      <c r="K150" s="134" t="s">
        <v>633</v>
      </c>
      <c r="L150" s="134">
        <v>7</v>
      </c>
      <c r="M150" s="135">
        <v>12.5</v>
      </c>
      <c r="N150" s="171" t="s">
        <v>454</v>
      </c>
      <c r="O150" s="90" t="s">
        <v>52</v>
      </c>
      <c r="P150" s="135">
        <v>0.79</v>
      </c>
      <c r="Q150" s="135" t="s">
        <v>52</v>
      </c>
      <c r="R150" s="135" t="s">
        <v>52</v>
      </c>
      <c r="S150" s="135">
        <f t="shared" si="10"/>
        <v>0.69200000000000006</v>
      </c>
      <c r="T150" s="134" t="s">
        <v>92</v>
      </c>
      <c r="U150" s="136" t="s">
        <v>627</v>
      </c>
      <c r="V150" s="134" t="s">
        <v>80</v>
      </c>
      <c r="W150" s="134" t="s">
        <v>78</v>
      </c>
      <c r="X150" s="60" t="s">
        <v>78</v>
      </c>
      <c r="Y150" s="134" t="s">
        <v>78</v>
      </c>
      <c r="Z150" s="134" t="s">
        <v>78</v>
      </c>
      <c r="AA150" s="134" t="s">
        <v>78</v>
      </c>
      <c r="AB150" s="134" t="s">
        <v>78</v>
      </c>
      <c r="AC150" s="134" t="s">
        <v>78</v>
      </c>
      <c r="AD150" s="134" t="s">
        <v>625</v>
      </c>
      <c r="AE150" s="134" t="s">
        <v>61</v>
      </c>
      <c r="AF150" s="134" t="s">
        <v>536</v>
      </c>
      <c r="AG150" s="134" t="s">
        <v>52</v>
      </c>
      <c r="AH150" s="134">
        <v>517.99</v>
      </c>
      <c r="AI150" s="134">
        <v>28.76</v>
      </c>
      <c r="AJ150" s="134">
        <v>78</v>
      </c>
      <c r="AK150" s="134">
        <v>521.44000000000005</v>
      </c>
      <c r="AL150" s="134">
        <v>30.89</v>
      </c>
      <c r="AM150" s="134">
        <v>78</v>
      </c>
    </row>
    <row r="151" spans="1:39" s="134" customFormat="1" x14ac:dyDescent="0.2">
      <c r="A151" s="133"/>
      <c r="B151" s="117"/>
      <c r="C151" s="133"/>
      <c r="D151" s="133"/>
      <c r="E151" s="116"/>
      <c r="F151" s="116"/>
      <c r="G151" s="116"/>
      <c r="H151" s="276"/>
      <c r="I151" s="276"/>
      <c r="J151" s="112" t="s">
        <v>676</v>
      </c>
      <c r="K151" s="134" t="s">
        <v>634</v>
      </c>
      <c r="L151" s="134">
        <v>8</v>
      </c>
      <c r="M151" s="135">
        <v>13.5</v>
      </c>
      <c r="N151" s="171" t="s">
        <v>454</v>
      </c>
      <c r="O151" s="90" t="s">
        <v>52</v>
      </c>
      <c r="P151" s="135">
        <v>0.79</v>
      </c>
      <c r="Q151" s="135" t="s">
        <v>52</v>
      </c>
      <c r="R151" s="135" t="s">
        <v>52</v>
      </c>
      <c r="S151" s="135">
        <f t="shared" si="10"/>
        <v>0.69200000000000006</v>
      </c>
      <c r="T151" s="134" t="s">
        <v>92</v>
      </c>
      <c r="U151" s="136" t="s">
        <v>624</v>
      </c>
      <c r="V151" s="134" t="s">
        <v>456</v>
      </c>
      <c r="W151" s="134" t="s">
        <v>153</v>
      </c>
      <c r="X151" s="60" t="s">
        <v>457</v>
      </c>
      <c r="Y151" s="134" t="s">
        <v>58</v>
      </c>
      <c r="Z151" s="134">
        <f>Z$143</f>
        <v>6800</v>
      </c>
      <c r="AA151" s="134">
        <f t="shared" si="9"/>
        <v>160</v>
      </c>
      <c r="AB151" s="134">
        <f t="shared" si="9"/>
        <v>42.5</v>
      </c>
      <c r="AC151" s="134" t="s">
        <v>59</v>
      </c>
      <c r="AD151" s="134" t="s">
        <v>625</v>
      </c>
      <c r="AE151" s="134" t="s">
        <v>61</v>
      </c>
      <c r="AF151" s="134" t="s">
        <v>536</v>
      </c>
      <c r="AG151" s="134" t="s">
        <v>52</v>
      </c>
      <c r="AH151" s="134">
        <v>535.05999999999995</v>
      </c>
      <c r="AI151" s="134">
        <v>30.68</v>
      </c>
      <c r="AJ151" s="134">
        <v>200</v>
      </c>
      <c r="AK151" s="134">
        <v>535.59</v>
      </c>
      <c r="AL151" s="134">
        <v>31.14</v>
      </c>
      <c r="AM151" s="134">
        <v>200</v>
      </c>
    </row>
    <row r="152" spans="1:39" s="134" customFormat="1" x14ac:dyDescent="0.2">
      <c r="A152" s="133"/>
      <c r="B152" s="117"/>
      <c r="C152" s="133"/>
      <c r="D152" s="133"/>
      <c r="E152" s="116"/>
      <c r="F152" s="116"/>
      <c r="G152" s="116"/>
      <c r="H152" s="276"/>
      <c r="I152" s="276"/>
      <c r="J152" s="112" t="s">
        <v>677</v>
      </c>
      <c r="K152" s="134" t="s">
        <v>635</v>
      </c>
      <c r="L152" s="134">
        <v>8</v>
      </c>
      <c r="M152" s="135">
        <v>13.5</v>
      </c>
      <c r="N152" s="171" t="s">
        <v>454</v>
      </c>
      <c r="O152" s="90" t="s">
        <v>52</v>
      </c>
      <c r="P152" s="135">
        <v>0.79</v>
      </c>
      <c r="Q152" s="135" t="s">
        <v>52</v>
      </c>
      <c r="R152" s="135" t="s">
        <v>52</v>
      </c>
      <c r="S152" s="135">
        <f t="shared" si="10"/>
        <v>0.69200000000000006</v>
      </c>
      <c r="T152" s="134" t="s">
        <v>92</v>
      </c>
      <c r="U152" s="136" t="s">
        <v>627</v>
      </c>
      <c r="V152" s="134" t="s">
        <v>80</v>
      </c>
      <c r="W152" s="134" t="s">
        <v>78</v>
      </c>
      <c r="X152" s="60" t="s">
        <v>78</v>
      </c>
      <c r="Y152" s="134" t="s">
        <v>78</v>
      </c>
      <c r="Z152" s="134" t="s">
        <v>78</v>
      </c>
      <c r="AA152" s="134" t="s">
        <v>78</v>
      </c>
      <c r="AB152" s="134" t="s">
        <v>78</v>
      </c>
      <c r="AC152" s="134" t="s">
        <v>78</v>
      </c>
      <c r="AD152" s="134" t="s">
        <v>625</v>
      </c>
      <c r="AE152" s="134" t="s">
        <v>61</v>
      </c>
      <c r="AF152" s="134" t="s">
        <v>536</v>
      </c>
      <c r="AG152" s="134" t="s">
        <v>52</v>
      </c>
      <c r="AH152" s="134">
        <v>530.72</v>
      </c>
      <c r="AI152" s="134">
        <v>27.92</v>
      </c>
      <c r="AJ152" s="134">
        <v>106</v>
      </c>
      <c r="AK152" s="134">
        <v>519.05999999999995</v>
      </c>
      <c r="AL152" s="134">
        <v>36.21</v>
      </c>
      <c r="AM152" s="134">
        <v>106</v>
      </c>
    </row>
    <row r="153" spans="1:39" s="134" customFormat="1" x14ac:dyDescent="0.2">
      <c r="A153" s="133"/>
      <c r="B153" s="117"/>
      <c r="C153" s="133"/>
      <c r="D153" s="133"/>
      <c r="E153" s="116"/>
      <c r="F153" s="116"/>
      <c r="G153" s="116"/>
      <c r="H153" s="276"/>
      <c r="I153" s="276"/>
      <c r="J153" s="112" t="s">
        <v>678</v>
      </c>
      <c r="K153" s="134" t="s">
        <v>636</v>
      </c>
      <c r="L153" s="134">
        <v>6</v>
      </c>
      <c r="M153" s="135">
        <v>11.5</v>
      </c>
      <c r="N153" s="171" t="s">
        <v>454</v>
      </c>
      <c r="O153" s="90" t="s">
        <v>52</v>
      </c>
      <c r="P153" s="135">
        <v>0.76900000000000002</v>
      </c>
      <c r="Q153" s="135" t="s">
        <v>52</v>
      </c>
      <c r="R153" s="135" t="s">
        <v>52</v>
      </c>
      <c r="S153" s="135">
        <v>0.66700000000000004</v>
      </c>
      <c r="T153" s="134" t="s">
        <v>92</v>
      </c>
      <c r="U153" s="136" t="s">
        <v>624</v>
      </c>
      <c r="V153" s="134" t="s">
        <v>456</v>
      </c>
      <c r="W153" s="134" t="s">
        <v>153</v>
      </c>
      <c r="X153" s="60" t="s">
        <v>457</v>
      </c>
      <c r="Y153" s="134" t="s">
        <v>58</v>
      </c>
      <c r="Z153" s="134">
        <f>Z$143</f>
        <v>6800</v>
      </c>
      <c r="AA153" s="134">
        <f t="shared" si="9"/>
        <v>160</v>
      </c>
      <c r="AB153" s="134">
        <f t="shared" si="9"/>
        <v>42.5</v>
      </c>
      <c r="AC153" s="134" t="s">
        <v>59</v>
      </c>
      <c r="AD153" s="134" t="s">
        <v>625</v>
      </c>
      <c r="AE153" s="134" t="s">
        <v>61</v>
      </c>
      <c r="AF153" s="134" t="s">
        <v>536</v>
      </c>
      <c r="AG153" s="134" t="s">
        <v>52</v>
      </c>
      <c r="AH153" s="134">
        <v>509.06</v>
      </c>
      <c r="AI153" s="134">
        <v>28.54</v>
      </c>
      <c r="AJ153" s="134">
        <v>49</v>
      </c>
      <c r="AK153" s="134">
        <v>511.67</v>
      </c>
      <c r="AL153" s="134">
        <v>26.68</v>
      </c>
      <c r="AM153" s="134">
        <v>49</v>
      </c>
    </row>
    <row r="154" spans="1:39" s="134" customFormat="1" x14ac:dyDescent="0.2">
      <c r="A154" s="133"/>
      <c r="B154" s="117"/>
      <c r="C154" s="133"/>
      <c r="D154" s="133"/>
      <c r="E154" s="116"/>
      <c r="F154" s="116"/>
      <c r="G154" s="116"/>
      <c r="H154" s="276"/>
      <c r="I154" s="276"/>
      <c r="J154" s="112" t="s">
        <v>679</v>
      </c>
      <c r="K154" s="134" t="s">
        <v>637</v>
      </c>
      <c r="L154" s="134">
        <v>6</v>
      </c>
      <c r="M154" s="135">
        <v>11.5</v>
      </c>
      <c r="N154" s="171" t="s">
        <v>454</v>
      </c>
      <c r="O154" s="90" t="s">
        <v>52</v>
      </c>
      <c r="P154" s="135">
        <v>0.76900000000000002</v>
      </c>
      <c r="Q154" s="135" t="s">
        <v>52</v>
      </c>
      <c r="R154" s="135" t="s">
        <v>52</v>
      </c>
      <c r="S154" s="135">
        <v>0.66700000000000004</v>
      </c>
      <c r="T154" s="134" t="s">
        <v>92</v>
      </c>
      <c r="U154" s="136" t="s">
        <v>627</v>
      </c>
      <c r="V154" s="134" t="s">
        <v>80</v>
      </c>
      <c r="W154" s="134" t="s">
        <v>78</v>
      </c>
      <c r="X154" s="60" t="s">
        <v>78</v>
      </c>
      <c r="Y154" s="134" t="s">
        <v>78</v>
      </c>
      <c r="Z154" s="134" t="s">
        <v>78</v>
      </c>
      <c r="AA154" s="134" t="s">
        <v>78</v>
      </c>
      <c r="AB154" s="134" t="s">
        <v>78</v>
      </c>
      <c r="AC154" s="134" t="s">
        <v>78</v>
      </c>
      <c r="AD154" s="134" t="s">
        <v>625</v>
      </c>
      <c r="AE154" s="134" t="s">
        <v>61</v>
      </c>
      <c r="AF154" s="134" t="s">
        <v>536</v>
      </c>
      <c r="AG154" s="134" t="s">
        <v>52</v>
      </c>
      <c r="AH154" s="134">
        <v>498.09</v>
      </c>
      <c r="AI154" s="134">
        <v>29.08</v>
      </c>
      <c r="AJ154" s="134">
        <v>47</v>
      </c>
      <c r="AK154" s="134">
        <v>494.35</v>
      </c>
      <c r="AL154" s="134">
        <v>30.34</v>
      </c>
      <c r="AM154" s="134">
        <v>47</v>
      </c>
    </row>
    <row r="155" spans="1:39" s="134" customFormat="1" x14ac:dyDescent="0.2">
      <c r="A155" s="133"/>
      <c r="B155" s="117"/>
      <c r="C155" s="133"/>
      <c r="D155" s="133"/>
      <c r="E155" s="116"/>
      <c r="F155" s="116"/>
      <c r="G155" s="116"/>
      <c r="H155" s="276"/>
      <c r="I155" s="276"/>
      <c r="J155" s="112" t="s">
        <v>680</v>
      </c>
      <c r="K155" s="134" t="s">
        <v>638</v>
      </c>
      <c r="L155" s="134">
        <v>7</v>
      </c>
      <c r="M155" s="135">
        <v>12.5</v>
      </c>
      <c r="N155" s="171" t="s">
        <v>454</v>
      </c>
      <c r="O155" s="90" t="s">
        <v>52</v>
      </c>
      <c r="P155" s="135">
        <v>0.76900000000000002</v>
      </c>
      <c r="Q155" s="135" t="s">
        <v>52</v>
      </c>
      <c r="R155" s="135" t="s">
        <v>52</v>
      </c>
      <c r="S155" s="135">
        <v>0.66700000000000004</v>
      </c>
      <c r="T155" s="134" t="s">
        <v>92</v>
      </c>
      <c r="U155" s="136" t="s">
        <v>624</v>
      </c>
      <c r="V155" s="134" t="s">
        <v>456</v>
      </c>
      <c r="W155" s="134" t="s">
        <v>153</v>
      </c>
      <c r="X155" s="60" t="s">
        <v>457</v>
      </c>
      <c r="Y155" s="134" t="s">
        <v>58</v>
      </c>
      <c r="Z155" s="134">
        <f>Z$143</f>
        <v>6800</v>
      </c>
      <c r="AA155" s="134">
        <f t="shared" si="9"/>
        <v>160</v>
      </c>
      <c r="AB155" s="134">
        <f t="shared" si="9"/>
        <v>42.5</v>
      </c>
      <c r="AC155" s="134" t="s">
        <v>59</v>
      </c>
      <c r="AD155" s="134" t="s">
        <v>625</v>
      </c>
      <c r="AE155" s="134" t="s">
        <v>61</v>
      </c>
      <c r="AF155" s="134" t="s">
        <v>536</v>
      </c>
      <c r="AG155" s="134" t="s">
        <v>52</v>
      </c>
      <c r="AH155" s="134">
        <v>534.12</v>
      </c>
      <c r="AI155" s="134">
        <v>27.62</v>
      </c>
      <c r="AJ155" s="134">
        <v>40</v>
      </c>
      <c r="AK155" s="134">
        <v>546.67999999999995</v>
      </c>
      <c r="AL155" s="134">
        <v>30.07</v>
      </c>
      <c r="AM155" s="134">
        <v>40</v>
      </c>
    </row>
    <row r="156" spans="1:39" s="134" customFormat="1" x14ac:dyDescent="0.2">
      <c r="A156" s="133"/>
      <c r="B156" s="117"/>
      <c r="C156" s="133"/>
      <c r="D156" s="133"/>
      <c r="E156" s="116"/>
      <c r="F156" s="116"/>
      <c r="G156" s="116"/>
      <c r="H156" s="276"/>
      <c r="I156" s="276"/>
      <c r="J156" s="112" t="s">
        <v>681</v>
      </c>
      <c r="K156" s="134" t="s">
        <v>639</v>
      </c>
      <c r="L156" s="134">
        <v>7</v>
      </c>
      <c r="M156" s="135">
        <v>12.5</v>
      </c>
      <c r="N156" s="171" t="s">
        <v>454</v>
      </c>
      <c r="O156" s="90" t="s">
        <v>52</v>
      </c>
      <c r="P156" s="135">
        <v>0.76900000000000002</v>
      </c>
      <c r="Q156" s="135" t="s">
        <v>52</v>
      </c>
      <c r="R156" s="135" t="s">
        <v>52</v>
      </c>
      <c r="S156" s="135">
        <v>0.66700000000000004</v>
      </c>
      <c r="T156" s="134" t="s">
        <v>92</v>
      </c>
      <c r="U156" s="136" t="s">
        <v>627</v>
      </c>
      <c r="V156" s="134" t="s">
        <v>80</v>
      </c>
      <c r="W156" s="134" t="s">
        <v>78</v>
      </c>
      <c r="X156" s="60" t="s">
        <v>78</v>
      </c>
      <c r="Y156" s="134" t="s">
        <v>78</v>
      </c>
      <c r="Z156" s="134" t="s">
        <v>78</v>
      </c>
      <c r="AA156" s="134" t="s">
        <v>78</v>
      </c>
      <c r="AB156" s="134" t="s">
        <v>78</v>
      </c>
      <c r="AC156" s="134" t="s">
        <v>78</v>
      </c>
      <c r="AD156" s="134" t="s">
        <v>625</v>
      </c>
      <c r="AE156" s="134" t="s">
        <v>61</v>
      </c>
      <c r="AF156" s="134" t="s">
        <v>536</v>
      </c>
      <c r="AG156" s="134" t="s">
        <v>52</v>
      </c>
      <c r="AH156" s="134">
        <v>516.22</v>
      </c>
      <c r="AI156" s="134">
        <v>27.44</v>
      </c>
      <c r="AJ156" s="134">
        <v>36</v>
      </c>
      <c r="AK156" s="134">
        <v>518.08000000000004</v>
      </c>
      <c r="AL156" s="134">
        <v>26.45</v>
      </c>
      <c r="AM156" s="134">
        <v>36</v>
      </c>
    </row>
    <row r="157" spans="1:39" s="134" customFormat="1" x14ac:dyDescent="0.2">
      <c r="A157" s="133"/>
      <c r="B157" s="117"/>
      <c r="C157" s="133"/>
      <c r="D157" s="133"/>
      <c r="E157" s="116"/>
      <c r="F157" s="116"/>
      <c r="G157" s="116"/>
      <c r="H157" s="276"/>
      <c r="I157" s="276"/>
      <c r="J157" s="112" t="s">
        <v>682</v>
      </c>
      <c r="K157" s="134" t="s">
        <v>640</v>
      </c>
      <c r="L157" s="134">
        <v>8</v>
      </c>
      <c r="M157" s="135">
        <v>13.5</v>
      </c>
      <c r="N157" s="171" t="s">
        <v>454</v>
      </c>
      <c r="O157" s="90" t="s">
        <v>52</v>
      </c>
      <c r="P157" s="135">
        <v>0.76900000000000002</v>
      </c>
      <c r="Q157" s="135" t="s">
        <v>52</v>
      </c>
      <c r="R157" s="135" t="s">
        <v>52</v>
      </c>
      <c r="S157" s="135">
        <v>0.66700000000000004</v>
      </c>
      <c r="T157" s="134" t="s">
        <v>92</v>
      </c>
      <c r="U157" s="136" t="s">
        <v>624</v>
      </c>
      <c r="V157" s="134" t="s">
        <v>456</v>
      </c>
      <c r="W157" s="134" t="s">
        <v>153</v>
      </c>
      <c r="X157" s="60" t="s">
        <v>457</v>
      </c>
      <c r="Y157" s="134" t="s">
        <v>58</v>
      </c>
      <c r="Z157" s="134">
        <f>Z$143</f>
        <v>6800</v>
      </c>
      <c r="AA157" s="134">
        <f t="shared" si="9"/>
        <v>160</v>
      </c>
      <c r="AB157" s="134">
        <f t="shared" si="9"/>
        <v>42.5</v>
      </c>
      <c r="AC157" s="134" t="s">
        <v>59</v>
      </c>
      <c r="AD157" s="134" t="s">
        <v>625</v>
      </c>
      <c r="AE157" s="134" t="s">
        <v>61</v>
      </c>
      <c r="AF157" s="134" t="s">
        <v>536</v>
      </c>
      <c r="AG157" s="134" t="s">
        <v>52</v>
      </c>
      <c r="AH157" s="134">
        <v>524.51</v>
      </c>
      <c r="AI157" s="134">
        <v>21.49</v>
      </c>
      <c r="AJ157" s="134">
        <v>43</v>
      </c>
      <c r="AK157" s="134">
        <v>535.41999999999996</v>
      </c>
      <c r="AL157" s="134">
        <v>27.69</v>
      </c>
      <c r="AM157" s="134">
        <v>43</v>
      </c>
    </row>
    <row r="158" spans="1:39" s="134" customFormat="1" x14ac:dyDescent="0.2">
      <c r="A158" s="133"/>
      <c r="B158" s="117"/>
      <c r="C158" s="133"/>
      <c r="D158" s="133"/>
      <c r="E158" s="116"/>
      <c r="F158" s="116"/>
      <c r="G158" s="116"/>
      <c r="H158" s="276"/>
      <c r="I158" s="276"/>
      <c r="J158" s="112" t="s">
        <v>683</v>
      </c>
      <c r="K158" s="134" t="s">
        <v>641</v>
      </c>
      <c r="L158" s="134">
        <v>8</v>
      </c>
      <c r="M158" s="135">
        <v>13.5</v>
      </c>
      <c r="N158" s="171" t="s">
        <v>454</v>
      </c>
      <c r="O158" s="90" t="s">
        <v>52</v>
      </c>
      <c r="P158" s="135">
        <v>0.76900000000000002</v>
      </c>
      <c r="Q158" s="135" t="s">
        <v>52</v>
      </c>
      <c r="R158" s="135" t="s">
        <v>52</v>
      </c>
      <c r="S158" s="135">
        <v>0.66700000000000004</v>
      </c>
      <c r="T158" s="134" t="s">
        <v>92</v>
      </c>
      <c r="U158" s="136" t="s">
        <v>627</v>
      </c>
      <c r="V158" s="134" t="s">
        <v>80</v>
      </c>
      <c r="W158" s="134" t="s">
        <v>78</v>
      </c>
      <c r="X158" s="60" t="s">
        <v>78</v>
      </c>
      <c r="Y158" s="134" t="s">
        <v>78</v>
      </c>
      <c r="Z158" s="134" t="s">
        <v>78</v>
      </c>
      <c r="AA158" s="134" t="s">
        <v>78</v>
      </c>
      <c r="AB158" s="134" t="s">
        <v>78</v>
      </c>
      <c r="AC158" s="134" t="s">
        <v>78</v>
      </c>
      <c r="AD158" s="134" t="s">
        <v>625</v>
      </c>
      <c r="AE158" s="134" t="s">
        <v>61</v>
      </c>
      <c r="AF158" s="134" t="s">
        <v>536</v>
      </c>
      <c r="AG158" s="134" t="s">
        <v>52</v>
      </c>
      <c r="AH158" s="134">
        <v>532.76</v>
      </c>
      <c r="AI158" s="134">
        <v>21.61</v>
      </c>
      <c r="AJ158" s="134">
        <v>41</v>
      </c>
      <c r="AK158" s="134">
        <v>535.54999999999995</v>
      </c>
      <c r="AL158" s="134">
        <v>31.68</v>
      </c>
      <c r="AM158" s="134">
        <v>41</v>
      </c>
    </row>
    <row r="159" spans="1:39" s="134" customFormat="1" x14ac:dyDescent="0.2">
      <c r="A159" s="133"/>
      <c r="B159" s="117"/>
      <c r="C159" s="133"/>
      <c r="D159" s="133"/>
      <c r="E159" s="116"/>
      <c r="F159" s="116"/>
      <c r="G159" s="116"/>
      <c r="H159" s="276"/>
      <c r="I159" s="276"/>
      <c r="J159" s="112" t="s">
        <v>684</v>
      </c>
      <c r="K159" s="134" t="s">
        <v>642</v>
      </c>
      <c r="L159" s="134">
        <v>6</v>
      </c>
      <c r="M159" s="135">
        <v>11.5</v>
      </c>
      <c r="N159" s="171" t="s">
        <v>454</v>
      </c>
      <c r="O159" s="90" t="s">
        <v>52</v>
      </c>
      <c r="P159" s="135">
        <v>0.66200000000000003</v>
      </c>
      <c r="Q159" s="135" t="s">
        <v>52</v>
      </c>
      <c r="R159" s="135" t="s">
        <v>52</v>
      </c>
      <c r="S159" s="135">
        <f t="shared" ref="S159:S164" si="11">0.675+0.175</f>
        <v>0.85000000000000009</v>
      </c>
      <c r="T159" s="134" t="s">
        <v>92</v>
      </c>
      <c r="U159" s="136" t="s">
        <v>624</v>
      </c>
      <c r="V159" s="134" t="s">
        <v>456</v>
      </c>
      <c r="W159" s="134" t="s">
        <v>153</v>
      </c>
      <c r="X159" s="60" t="s">
        <v>457</v>
      </c>
      <c r="Y159" s="134" t="s">
        <v>58</v>
      </c>
      <c r="Z159" s="134">
        <f>Z$143</f>
        <v>6800</v>
      </c>
      <c r="AA159" s="134">
        <f t="shared" si="9"/>
        <v>160</v>
      </c>
      <c r="AB159" s="134">
        <f t="shared" si="9"/>
        <v>42.5</v>
      </c>
      <c r="AC159" s="134" t="s">
        <v>59</v>
      </c>
      <c r="AD159" s="134" t="s">
        <v>625</v>
      </c>
      <c r="AE159" s="134" t="s">
        <v>61</v>
      </c>
      <c r="AF159" s="134" t="s">
        <v>536</v>
      </c>
      <c r="AG159" s="134" t="s">
        <v>52</v>
      </c>
      <c r="AH159" s="134">
        <v>507.52</v>
      </c>
      <c r="AI159" s="134">
        <v>27.64</v>
      </c>
      <c r="AJ159" s="134">
        <v>109</v>
      </c>
      <c r="AK159" s="134">
        <v>507.61</v>
      </c>
      <c r="AL159" s="134">
        <v>29.89</v>
      </c>
      <c r="AM159" s="134">
        <v>109</v>
      </c>
    </row>
    <row r="160" spans="1:39" s="134" customFormat="1" x14ac:dyDescent="0.2">
      <c r="A160" s="133"/>
      <c r="B160" s="117"/>
      <c r="C160" s="133"/>
      <c r="D160" s="133"/>
      <c r="E160" s="116"/>
      <c r="F160" s="116"/>
      <c r="G160" s="116"/>
      <c r="H160" s="276"/>
      <c r="I160" s="276"/>
      <c r="J160" s="112" t="s">
        <v>685</v>
      </c>
      <c r="K160" s="134" t="s">
        <v>643</v>
      </c>
      <c r="L160" s="134">
        <v>6</v>
      </c>
      <c r="M160" s="135">
        <v>11.5</v>
      </c>
      <c r="N160" s="171" t="s">
        <v>454</v>
      </c>
      <c r="O160" s="90" t="s">
        <v>52</v>
      </c>
      <c r="P160" s="135">
        <v>0.66200000000000003</v>
      </c>
      <c r="Q160" s="135" t="s">
        <v>52</v>
      </c>
      <c r="R160" s="135" t="s">
        <v>52</v>
      </c>
      <c r="S160" s="135">
        <f t="shared" si="11"/>
        <v>0.85000000000000009</v>
      </c>
      <c r="T160" s="134" t="s">
        <v>92</v>
      </c>
      <c r="U160" s="136" t="s">
        <v>627</v>
      </c>
      <c r="V160" s="134" t="s">
        <v>80</v>
      </c>
      <c r="W160" s="134" t="s">
        <v>78</v>
      </c>
      <c r="X160" s="60" t="s">
        <v>78</v>
      </c>
      <c r="Y160" s="134" t="s">
        <v>78</v>
      </c>
      <c r="Z160" s="134" t="s">
        <v>78</v>
      </c>
      <c r="AA160" s="134" t="s">
        <v>78</v>
      </c>
      <c r="AB160" s="134" t="s">
        <v>78</v>
      </c>
      <c r="AC160" s="134" t="s">
        <v>78</v>
      </c>
      <c r="AD160" s="134" t="s">
        <v>625</v>
      </c>
      <c r="AE160" s="134" t="s">
        <v>61</v>
      </c>
      <c r="AF160" s="134" t="s">
        <v>536</v>
      </c>
      <c r="AG160" s="134" t="s">
        <v>52</v>
      </c>
      <c r="AH160" s="134">
        <v>475.49</v>
      </c>
      <c r="AI160" s="134">
        <v>37.799999999999997</v>
      </c>
      <c r="AJ160" s="134">
        <v>53</v>
      </c>
      <c r="AK160" s="134">
        <v>495.55</v>
      </c>
      <c r="AL160" s="134">
        <v>35.869999999999997</v>
      </c>
      <c r="AM160" s="134">
        <v>53</v>
      </c>
    </row>
    <row r="161" spans="1:45" s="134" customFormat="1" x14ac:dyDescent="0.2">
      <c r="A161" s="133"/>
      <c r="B161" s="117"/>
      <c r="C161" s="133"/>
      <c r="D161" s="133"/>
      <c r="E161" s="116"/>
      <c r="F161" s="116"/>
      <c r="G161" s="116"/>
      <c r="H161" s="276"/>
      <c r="I161" s="276"/>
      <c r="J161" s="112" t="s">
        <v>686</v>
      </c>
      <c r="K161" s="134" t="s">
        <v>644</v>
      </c>
      <c r="L161" s="134">
        <v>7</v>
      </c>
      <c r="M161" s="135">
        <v>12.5</v>
      </c>
      <c r="N161" s="171" t="s">
        <v>454</v>
      </c>
      <c r="O161" s="90" t="s">
        <v>52</v>
      </c>
      <c r="P161" s="135">
        <v>0.66200000000000003</v>
      </c>
      <c r="Q161" s="135" t="s">
        <v>52</v>
      </c>
      <c r="R161" s="135" t="s">
        <v>52</v>
      </c>
      <c r="S161" s="135">
        <f t="shared" si="11"/>
        <v>0.85000000000000009</v>
      </c>
      <c r="T161" s="134" t="s">
        <v>92</v>
      </c>
      <c r="U161" s="136" t="s">
        <v>624</v>
      </c>
      <c r="V161" s="134" t="s">
        <v>456</v>
      </c>
      <c r="W161" s="134" t="s">
        <v>153</v>
      </c>
      <c r="X161" s="60" t="s">
        <v>457</v>
      </c>
      <c r="Y161" s="134" t="s">
        <v>58</v>
      </c>
      <c r="Z161" s="134">
        <f>Z$143</f>
        <v>6800</v>
      </c>
      <c r="AA161" s="134">
        <f t="shared" si="9"/>
        <v>160</v>
      </c>
      <c r="AB161" s="134">
        <f t="shared" si="9"/>
        <v>42.5</v>
      </c>
      <c r="AC161" s="134" t="s">
        <v>59</v>
      </c>
      <c r="AD161" s="134" t="s">
        <v>625</v>
      </c>
      <c r="AE161" s="134" t="s">
        <v>61</v>
      </c>
      <c r="AF161" s="134" t="s">
        <v>536</v>
      </c>
      <c r="AG161" s="134" t="s">
        <v>52</v>
      </c>
      <c r="AH161" s="134">
        <v>526.86</v>
      </c>
      <c r="AI161" s="134">
        <v>35.799999999999997</v>
      </c>
      <c r="AJ161" s="134">
        <v>58</v>
      </c>
      <c r="AK161" s="134">
        <v>531.49</v>
      </c>
      <c r="AL161" s="134">
        <v>36.54</v>
      </c>
      <c r="AM161" s="134">
        <v>58</v>
      </c>
    </row>
    <row r="162" spans="1:45" s="134" customFormat="1" x14ac:dyDescent="0.2">
      <c r="A162" s="133"/>
      <c r="B162" s="117"/>
      <c r="C162" s="133"/>
      <c r="D162" s="133"/>
      <c r="E162" s="116"/>
      <c r="F162" s="116"/>
      <c r="G162" s="116"/>
      <c r="H162" s="276"/>
      <c r="I162" s="276"/>
      <c r="J162" s="112" t="s">
        <v>687</v>
      </c>
      <c r="K162" s="134" t="s">
        <v>645</v>
      </c>
      <c r="L162" s="134">
        <v>7</v>
      </c>
      <c r="M162" s="135">
        <v>12.5</v>
      </c>
      <c r="N162" s="171" t="s">
        <v>454</v>
      </c>
      <c r="O162" s="90" t="s">
        <v>52</v>
      </c>
      <c r="P162" s="135">
        <v>0.66200000000000003</v>
      </c>
      <c r="Q162" s="135" t="s">
        <v>52</v>
      </c>
      <c r="R162" s="135" t="s">
        <v>52</v>
      </c>
      <c r="S162" s="135">
        <f t="shared" si="11"/>
        <v>0.85000000000000009</v>
      </c>
      <c r="T162" s="134" t="s">
        <v>92</v>
      </c>
      <c r="U162" s="136" t="s">
        <v>627</v>
      </c>
      <c r="V162" s="134" t="s">
        <v>80</v>
      </c>
      <c r="W162" s="134" t="s">
        <v>78</v>
      </c>
      <c r="X162" s="60" t="s">
        <v>78</v>
      </c>
      <c r="Y162" s="134" t="s">
        <v>78</v>
      </c>
      <c r="Z162" s="134" t="s">
        <v>78</v>
      </c>
      <c r="AA162" s="134" t="s">
        <v>78</v>
      </c>
      <c r="AB162" s="134" t="s">
        <v>78</v>
      </c>
      <c r="AC162" s="134" t="s">
        <v>78</v>
      </c>
      <c r="AD162" s="134" t="s">
        <v>625</v>
      </c>
      <c r="AE162" s="134" t="s">
        <v>61</v>
      </c>
      <c r="AF162" s="134" t="s">
        <v>536</v>
      </c>
      <c r="AG162" s="134" t="s">
        <v>52</v>
      </c>
      <c r="AH162" s="134">
        <v>508.19</v>
      </c>
      <c r="AI162" s="134">
        <v>32.15</v>
      </c>
      <c r="AJ162" s="134">
        <v>53</v>
      </c>
      <c r="AK162" s="134">
        <v>515.25</v>
      </c>
      <c r="AL162" s="134">
        <v>27.47</v>
      </c>
      <c r="AM162" s="134">
        <v>53</v>
      </c>
    </row>
    <row r="163" spans="1:45" s="134" customFormat="1" x14ac:dyDescent="0.2">
      <c r="A163" s="133"/>
      <c r="B163" s="117"/>
      <c r="C163" s="133"/>
      <c r="D163" s="133"/>
      <c r="E163" s="116"/>
      <c r="F163" s="116"/>
      <c r="G163" s="116"/>
      <c r="H163" s="276"/>
      <c r="I163" s="276"/>
      <c r="J163" s="112" t="s">
        <v>688</v>
      </c>
      <c r="K163" s="134" t="s">
        <v>646</v>
      </c>
      <c r="L163" s="134">
        <v>8</v>
      </c>
      <c r="M163" s="135">
        <v>13.5</v>
      </c>
      <c r="N163" s="171" t="s">
        <v>454</v>
      </c>
      <c r="O163" s="90" t="s">
        <v>52</v>
      </c>
      <c r="P163" s="135">
        <v>0.66200000000000003</v>
      </c>
      <c r="Q163" s="135" t="s">
        <v>52</v>
      </c>
      <c r="R163" s="135" t="s">
        <v>52</v>
      </c>
      <c r="S163" s="135">
        <f t="shared" si="11"/>
        <v>0.85000000000000009</v>
      </c>
      <c r="T163" s="134" t="s">
        <v>92</v>
      </c>
      <c r="U163" s="136" t="s">
        <v>624</v>
      </c>
      <c r="V163" s="134" t="s">
        <v>456</v>
      </c>
      <c r="W163" s="134" t="s">
        <v>153</v>
      </c>
      <c r="X163" s="60" t="s">
        <v>457</v>
      </c>
      <c r="Y163" s="134" t="s">
        <v>58</v>
      </c>
      <c r="Z163" s="134">
        <f>Z$143</f>
        <v>6800</v>
      </c>
      <c r="AA163" s="134">
        <f t="shared" ref="AA163:AB163" si="12">AA$143</f>
        <v>160</v>
      </c>
      <c r="AB163" s="134">
        <f t="shared" si="12"/>
        <v>42.5</v>
      </c>
      <c r="AC163" s="134" t="s">
        <v>59</v>
      </c>
      <c r="AD163" s="134" t="s">
        <v>625</v>
      </c>
      <c r="AE163" s="134" t="s">
        <v>61</v>
      </c>
      <c r="AF163" s="134" t="s">
        <v>536</v>
      </c>
      <c r="AG163" s="134" t="s">
        <v>52</v>
      </c>
      <c r="AH163" s="134">
        <v>515.45000000000005</v>
      </c>
      <c r="AI163" s="134">
        <v>27.74</v>
      </c>
      <c r="AJ163" s="134">
        <v>56</v>
      </c>
      <c r="AK163" s="134">
        <v>509.12</v>
      </c>
      <c r="AL163" s="134">
        <v>31.63</v>
      </c>
      <c r="AM163" s="134">
        <v>56</v>
      </c>
    </row>
    <row r="164" spans="1:45" s="138" customFormat="1" x14ac:dyDescent="0.2">
      <c r="A164" s="137"/>
      <c r="B164" s="123"/>
      <c r="C164" s="137"/>
      <c r="D164" s="137"/>
      <c r="E164" s="122"/>
      <c r="F164" s="122"/>
      <c r="G164" s="122"/>
      <c r="H164" s="277"/>
      <c r="I164" s="277"/>
      <c r="J164" s="113" t="s">
        <v>689</v>
      </c>
      <c r="K164" s="138" t="s">
        <v>647</v>
      </c>
      <c r="L164" s="138">
        <v>8</v>
      </c>
      <c r="M164" s="139">
        <v>13.5</v>
      </c>
      <c r="N164" s="172" t="s">
        <v>454</v>
      </c>
      <c r="O164" s="93" t="s">
        <v>52</v>
      </c>
      <c r="P164" s="139">
        <v>0.66200000000000003</v>
      </c>
      <c r="Q164" s="139" t="s">
        <v>52</v>
      </c>
      <c r="R164" s="139" t="s">
        <v>52</v>
      </c>
      <c r="S164" s="139">
        <f t="shared" si="11"/>
        <v>0.85000000000000009</v>
      </c>
      <c r="T164" s="138" t="s">
        <v>92</v>
      </c>
      <c r="U164" s="140" t="s">
        <v>627</v>
      </c>
      <c r="V164" s="138" t="s">
        <v>80</v>
      </c>
      <c r="W164" s="138" t="s">
        <v>78</v>
      </c>
      <c r="X164" s="63" t="s">
        <v>78</v>
      </c>
      <c r="Y164" s="138" t="s">
        <v>78</v>
      </c>
      <c r="Z164" s="138" t="s">
        <v>78</v>
      </c>
      <c r="AA164" s="138" t="s">
        <v>78</v>
      </c>
      <c r="AB164" s="138" t="s">
        <v>78</v>
      </c>
      <c r="AC164" s="138" t="s">
        <v>78</v>
      </c>
      <c r="AD164" s="138" t="s">
        <v>625</v>
      </c>
      <c r="AE164" s="138" t="s">
        <v>61</v>
      </c>
      <c r="AF164" s="138" t="s">
        <v>536</v>
      </c>
      <c r="AG164" s="138" t="s">
        <v>52</v>
      </c>
      <c r="AH164" s="138">
        <v>521.79</v>
      </c>
      <c r="AI164" s="138">
        <v>23.65</v>
      </c>
      <c r="AJ164" s="138">
        <v>55</v>
      </c>
      <c r="AK164" s="138">
        <v>506.16</v>
      </c>
      <c r="AL164" s="138">
        <v>30.25</v>
      </c>
      <c r="AM164" s="138">
        <v>55</v>
      </c>
    </row>
    <row r="165" spans="1:45" s="134" customFormat="1" x14ac:dyDescent="0.2">
      <c r="A165" s="133" t="s">
        <v>508</v>
      </c>
      <c r="B165" s="117">
        <v>328</v>
      </c>
      <c r="C165" s="133" t="s">
        <v>47</v>
      </c>
      <c r="D165" s="133" t="s">
        <v>47</v>
      </c>
      <c r="E165" s="116" t="s">
        <v>66</v>
      </c>
      <c r="F165" s="116" t="s">
        <v>49</v>
      </c>
      <c r="G165" s="116" t="s">
        <v>238</v>
      </c>
      <c r="H165" s="276"/>
      <c r="I165" s="276"/>
      <c r="J165" s="112">
        <v>1</v>
      </c>
      <c r="K165" s="134" t="s">
        <v>648</v>
      </c>
      <c r="L165" s="134">
        <v>7</v>
      </c>
      <c r="M165" s="135">
        <v>12.5</v>
      </c>
      <c r="N165" s="171" t="s">
        <v>454</v>
      </c>
      <c r="O165" s="90" t="s">
        <v>52</v>
      </c>
      <c r="P165" s="135">
        <v>0.20300000000000001</v>
      </c>
      <c r="Q165" s="155">
        <v>0.01</v>
      </c>
      <c r="R165" s="135">
        <v>0.47</v>
      </c>
      <c r="S165" s="135">
        <f>1-0.789</f>
        <v>0.21099999999999997</v>
      </c>
      <c r="T165" s="134" t="s">
        <v>53</v>
      </c>
      <c r="U165" s="136" t="s">
        <v>510</v>
      </c>
      <c r="V165" s="134" t="s">
        <v>456</v>
      </c>
      <c r="W165" s="134" t="s">
        <v>153</v>
      </c>
      <c r="X165" s="60" t="s">
        <v>457</v>
      </c>
      <c r="Y165" s="134" t="s">
        <v>58</v>
      </c>
      <c r="Z165" s="134">
        <f>AA165*AB165</f>
        <v>1800</v>
      </c>
      <c r="AA165" s="134">
        <f>5*4</f>
        <v>20</v>
      </c>
      <c r="AB165" s="134">
        <v>90</v>
      </c>
      <c r="AC165" s="134" t="s">
        <v>59</v>
      </c>
      <c r="AD165" s="134" t="s">
        <v>512</v>
      </c>
      <c r="AE165" s="134" t="s">
        <v>95</v>
      </c>
      <c r="AF165" s="134" t="s">
        <v>513</v>
      </c>
      <c r="AG165" s="134" t="s">
        <v>514</v>
      </c>
      <c r="AH165" s="134">
        <v>54.06</v>
      </c>
      <c r="AI165" s="134">
        <v>15.41</v>
      </c>
      <c r="AJ165" s="134">
        <v>269</v>
      </c>
      <c r="AK165" s="134">
        <v>56.94</v>
      </c>
      <c r="AL165" s="134">
        <v>16.7</v>
      </c>
      <c r="AM165" s="134">
        <v>269</v>
      </c>
    </row>
    <row r="166" spans="1:45" s="138" customFormat="1" x14ac:dyDescent="0.2">
      <c r="A166" s="137"/>
      <c r="B166" s="123"/>
      <c r="C166" s="137"/>
      <c r="D166" s="137"/>
      <c r="E166" s="122"/>
      <c r="F166" s="122"/>
      <c r="G166" s="122"/>
      <c r="H166" s="277"/>
      <c r="I166" s="277"/>
      <c r="J166" s="113">
        <v>2</v>
      </c>
      <c r="K166" s="138" t="s">
        <v>649</v>
      </c>
      <c r="L166" s="138">
        <v>7</v>
      </c>
      <c r="M166" s="139">
        <v>12.5</v>
      </c>
      <c r="N166" s="172" t="s">
        <v>454</v>
      </c>
      <c r="O166" s="93" t="s">
        <v>52</v>
      </c>
      <c r="P166" s="139">
        <v>0.20300000000000001</v>
      </c>
      <c r="Q166" s="156">
        <v>0.01</v>
      </c>
      <c r="R166" s="139">
        <v>0.47</v>
      </c>
      <c r="S166" s="139">
        <f>1-0.789</f>
        <v>0.21099999999999997</v>
      </c>
      <c r="T166" s="138" t="s">
        <v>92</v>
      </c>
      <c r="U166" s="140" t="s">
        <v>516</v>
      </c>
      <c r="V166" s="138" t="s">
        <v>464</v>
      </c>
      <c r="W166" s="138" t="s">
        <v>78</v>
      </c>
      <c r="X166" s="63" t="s">
        <v>457</v>
      </c>
      <c r="Y166" s="138" t="s">
        <v>58</v>
      </c>
      <c r="Z166" s="138">
        <f>AA166*AB166</f>
        <v>1800</v>
      </c>
      <c r="AA166" s="138">
        <f>5*4</f>
        <v>20</v>
      </c>
      <c r="AB166" s="138">
        <v>90</v>
      </c>
      <c r="AC166" s="138" t="s">
        <v>78</v>
      </c>
      <c r="AD166" s="138" t="s">
        <v>512</v>
      </c>
      <c r="AE166" s="138" t="s">
        <v>95</v>
      </c>
      <c r="AF166" s="138" t="s">
        <v>513</v>
      </c>
      <c r="AG166" s="138" t="s">
        <v>514</v>
      </c>
      <c r="AH166" s="138">
        <v>53.19</v>
      </c>
      <c r="AI166" s="138">
        <v>14.1</v>
      </c>
      <c r="AJ166" s="138">
        <v>288</v>
      </c>
      <c r="AK166" s="138">
        <v>53.6</v>
      </c>
      <c r="AL166" s="138">
        <v>17.55</v>
      </c>
      <c r="AM166" s="138">
        <v>288</v>
      </c>
    </row>
    <row r="167" spans="1:45" s="134" customFormat="1" x14ac:dyDescent="0.2">
      <c r="A167" s="133" t="s">
        <v>517</v>
      </c>
      <c r="B167" s="117">
        <v>329</v>
      </c>
      <c r="C167" s="133" t="s">
        <v>47</v>
      </c>
      <c r="D167" s="133" t="s">
        <v>47</v>
      </c>
      <c r="E167" s="116" t="s">
        <v>66</v>
      </c>
      <c r="F167" s="116" t="s">
        <v>49</v>
      </c>
      <c r="G167" s="116" t="s">
        <v>238</v>
      </c>
      <c r="H167" s="276"/>
      <c r="I167" s="276"/>
      <c r="J167" s="112" t="s">
        <v>703</v>
      </c>
      <c r="K167" s="134" t="s">
        <v>518</v>
      </c>
      <c r="L167" s="134">
        <v>3</v>
      </c>
      <c r="M167" s="135">
        <v>8.5</v>
      </c>
      <c r="N167" s="155">
        <v>1</v>
      </c>
      <c r="O167" s="135" t="s">
        <v>52</v>
      </c>
      <c r="P167" s="135" t="s">
        <v>52</v>
      </c>
      <c r="Q167" s="135" t="s">
        <v>52</v>
      </c>
      <c r="R167" s="155">
        <v>0.5</v>
      </c>
      <c r="S167" s="135">
        <f t="shared" ref="S167:S182" si="13">1-0.22</f>
        <v>0.78</v>
      </c>
      <c r="T167" s="134" t="s">
        <v>92</v>
      </c>
      <c r="U167" s="136" t="s">
        <v>519</v>
      </c>
      <c r="V167" s="134" t="s">
        <v>456</v>
      </c>
      <c r="W167" s="134" t="s">
        <v>153</v>
      </c>
      <c r="X167" s="60" t="s">
        <v>457</v>
      </c>
      <c r="Y167" s="134" t="s">
        <v>58</v>
      </c>
      <c r="Z167" s="165">
        <v>7650</v>
      </c>
      <c r="AA167" s="165">
        <v>85</v>
      </c>
      <c r="AB167" s="165">
        <v>90</v>
      </c>
      <c r="AC167" s="134" t="s">
        <v>59</v>
      </c>
      <c r="AD167" s="134" t="s">
        <v>650</v>
      </c>
      <c r="AE167" s="134" t="s">
        <v>95</v>
      </c>
      <c r="AF167" s="110" t="s">
        <v>513</v>
      </c>
      <c r="AG167" s="134" t="s">
        <v>52</v>
      </c>
      <c r="AH167" s="134" t="s">
        <v>52</v>
      </c>
      <c r="AI167" s="134" t="s">
        <v>52</v>
      </c>
      <c r="AJ167" s="134" t="s">
        <v>52</v>
      </c>
      <c r="AK167" s="134">
        <v>13.52</v>
      </c>
      <c r="AL167" s="134">
        <v>2.77</v>
      </c>
      <c r="AM167" s="134">
        <v>48</v>
      </c>
    </row>
    <row r="168" spans="1:45" s="134" customFormat="1" x14ac:dyDescent="0.2">
      <c r="A168" s="133"/>
      <c r="B168" s="117"/>
      <c r="C168" s="133"/>
      <c r="D168" s="133"/>
      <c r="E168" s="116"/>
      <c r="F168" s="116"/>
      <c r="G168" s="116"/>
      <c r="H168" s="276"/>
      <c r="I168" s="276"/>
      <c r="J168" s="112"/>
      <c r="M168" s="135"/>
      <c r="N168" s="155"/>
      <c r="O168" s="135"/>
      <c r="P168" s="135"/>
      <c r="Q168" s="135"/>
      <c r="R168" s="155"/>
      <c r="S168" s="135"/>
      <c r="U168" s="136"/>
      <c r="Z168" s="118"/>
      <c r="AA168" s="118"/>
      <c r="AB168" s="118"/>
      <c r="AD168" s="134" t="s">
        <v>653</v>
      </c>
      <c r="AE168" s="134" t="s">
        <v>95</v>
      </c>
      <c r="AF168" s="110" t="s">
        <v>513</v>
      </c>
      <c r="AG168" s="134" t="s">
        <v>52</v>
      </c>
      <c r="AH168" s="134" t="s">
        <v>52</v>
      </c>
      <c r="AI168" s="134" t="s">
        <v>52</v>
      </c>
      <c r="AJ168" s="134" t="s">
        <v>52</v>
      </c>
      <c r="AK168" s="134">
        <v>6</v>
      </c>
      <c r="AL168" s="134">
        <v>1.62</v>
      </c>
      <c r="AM168" s="134">
        <v>48</v>
      </c>
    </row>
    <row r="169" spans="1:45" s="134" customFormat="1" x14ac:dyDescent="0.2">
      <c r="A169" s="133"/>
      <c r="B169" s="117"/>
      <c r="C169" s="133"/>
      <c r="D169" s="133"/>
      <c r="E169" s="116"/>
      <c r="F169" s="116"/>
      <c r="G169" s="116"/>
      <c r="H169" s="276"/>
      <c r="I169" s="276"/>
      <c r="J169" s="112"/>
      <c r="M169" s="135"/>
      <c r="N169" s="155"/>
      <c r="O169" s="135"/>
      <c r="P169" s="135"/>
      <c r="Q169" s="135"/>
      <c r="R169" s="155"/>
      <c r="S169" s="135"/>
      <c r="U169" s="136"/>
      <c r="Z169" s="118"/>
      <c r="AA169" s="118"/>
      <c r="AB169" s="118"/>
      <c r="AD169" s="134" t="s">
        <v>654</v>
      </c>
      <c r="AE169" s="134" t="s">
        <v>95</v>
      </c>
      <c r="AF169" s="110" t="s">
        <v>513</v>
      </c>
      <c r="AG169" s="134" t="s">
        <v>52</v>
      </c>
      <c r="AH169" s="134" t="s">
        <v>52</v>
      </c>
      <c r="AI169" s="134" t="s">
        <v>52</v>
      </c>
      <c r="AJ169" s="134" t="s">
        <v>52</v>
      </c>
      <c r="AK169" s="134">
        <v>7.42</v>
      </c>
      <c r="AL169" s="134">
        <v>1.54</v>
      </c>
      <c r="AM169" s="134">
        <v>48</v>
      </c>
    </row>
    <row r="170" spans="1:45" s="134" customFormat="1" x14ac:dyDescent="0.2">
      <c r="A170" s="133"/>
      <c r="B170" s="117"/>
      <c r="C170" s="133"/>
      <c r="D170" s="133"/>
      <c r="E170" s="116"/>
      <c r="F170" s="116"/>
      <c r="G170" s="116"/>
      <c r="H170" s="276"/>
      <c r="I170" s="276"/>
      <c r="J170" s="112"/>
      <c r="M170" s="135"/>
      <c r="N170" s="155"/>
      <c r="O170" s="135"/>
      <c r="P170" s="135"/>
      <c r="Q170" s="135"/>
      <c r="R170" s="155"/>
      <c r="S170" s="135"/>
      <c r="U170" s="136"/>
      <c r="Z170" s="118"/>
      <c r="AA170" s="118"/>
      <c r="AB170" s="118"/>
      <c r="AD170" s="165" t="s">
        <v>524</v>
      </c>
      <c r="AE170" s="165" t="s">
        <v>95</v>
      </c>
      <c r="AF170" s="165" t="s">
        <v>513</v>
      </c>
      <c r="AG170" s="166" t="s">
        <v>52</v>
      </c>
      <c r="AH170" s="167">
        <v>5.77</v>
      </c>
      <c r="AI170" s="167">
        <v>2.56</v>
      </c>
      <c r="AJ170" s="167">
        <v>48</v>
      </c>
      <c r="AK170" s="167" t="s">
        <v>52</v>
      </c>
      <c r="AL170" s="167" t="s">
        <v>52</v>
      </c>
      <c r="AM170" s="167" t="s">
        <v>52</v>
      </c>
      <c r="AN170" s="167"/>
      <c r="AO170" s="167"/>
      <c r="AP170" s="167"/>
      <c r="AQ170" s="167"/>
      <c r="AR170" s="167"/>
      <c r="AS170" s="167"/>
    </row>
    <row r="171" spans="1:45" s="134" customFormat="1" x14ac:dyDescent="0.2">
      <c r="A171" s="133"/>
      <c r="B171" s="117"/>
      <c r="C171" s="133"/>
      <c r="D171" s="133"/>
      <c r="E171" s="116"/>
      <c r="F171" s="116"/>
      <c r="G171" s="116"/>
      <c r="H171" s="276"/>
      <c r="I171" s="276"/>
      <c r="J171" s="112"/>
      <c r="M171" s="135"/>
      <c r="N171" s="155"/>
      <c r="O171" s="135"/>
      <c r="P171" s="135"/>
      <c r="Q171" s="135"/>
      <c r="R171" s="155"/>
      <c r="S171" s="135"/>
      <c r="U171" s="136"/>
      <c r="Z171" s="118"/>
      <c r="AA171" s="118"/>
      <c r="AB171" s="118"/>
      <c r="AD171" s="165" t="s">
        <v>525</v>
      </c>
      <c r="AE171" s="165" t="s">
        <v>95</v>
      </c>
      <c r="AF171" s="165" t="s">
        <v>513</v>
      </c>
      <c r="AG171" s="166" t="s">
        <v>52</v>
      </c>
      <c r="AH171" s="167">
        <v>2.87</v>
      </c>
      <c r="AI171" s="167">
        <v>1.2</v>
      </c>
      <c r="AJ171" s="167">
        <v>48</v>
      </c>
      <c r="AK171" s="167" t="s">
        <v>52</v>
      </c>
      <c r="AL171" s="167" t="s">
        <v>52</v>
      </c>
      <c r="AM171" s="167" t="s">
        <v>52</v>
      </c>
      <c r="AN171" s="167"/>
      <c r="AO171" s="167"/>
      <c r="AP171" s="167"/>
      <c r="AQ171" s="167"/>
      <c r="AR171" s="167"/>
      <c r="AS171" s="167"/>
    </row>
    <row r="172" spans="1:45" s="134" customFormat="1" x14ac:dyDescent="0.2">
      <c r="A172" s="133"/>
      <c r="B172" s="117"/>
      <c r="C172" s="133"/>
      <c r="D172" s="133"/>
      <c r="E172" s="116"/>
      <c r="F172" s="116"/>
      <c r="G172" s="116"/>
      <c r="H172" s="276"/>
      <c r="I172" s="276"/>
      <c r="J172" s="112" t="s">
        <v>704</v>
      </c>
      <c r="K172" s="134" t="s">
        <v>651</v>
      </c>
      <c r="L172" s="134">
        <v>3</v>
      </c>
      <c r="M172" s="135">
        <v>8.5</v>
      </c>
      <c r="N172" s="155">
        <v>1</v>
      </c>
      <c r="O172" s="135" t="s">
        <v>52</v>
      </c>
      <c r="P172" s="135" t="s">
        <v>52</v>
      </c>
      <c r="Q172" s="135" t="s">
        <v>52</v>
      </c>
      <c r="R172" s="155">
        <v>0.5</v>
      </c>
      <c r="S172" s="135">
        <f t="shared" si="13"/>
        <v>0.78</v>
      </c>
      <c r="T172" s="134" t="s">
        <v>92</v>
      </c>
      <c r="U172" s="136" t="s">
        <v>527</v>
      </c>
      <c r="V172" s="134" t="s">
        <v>464</v>
      </c>
      <c r="W172" s="134" t="s">
        <v>153</v>
      </c>
      <c r="X172" s="134" t="s">
        <v>78</v>
      </c>
      <c r="Y172" s="134" t="s">
        <v>58</v>
      </c>
      <c r="Z172" s="134" t="s">
        <v>78</v>
      </c>
      <c r="AA172" s="134" t="s">
        <v>78</v>
      </c>
      <c r="AB172" s="134" t="s">
        <v>78</v>
      </c>
      <c r="AC172" s="134" t="s">
        <v>78</v>
      </c>
      <c r="AD172" s="134" t="s">
        <v>650</v>
      </c>
      <c r="AE172" s="134" t="s">
        <v>95</v>
      </c>
      <c r="AF172" s="110" t="s">
        <v>513</v>
      </c>
      <c r="AG172" s="134" t="s">
        <v>52</v>
      </c>
      <c r="AH172" s="134" t="s">
        <v>52</v>
      </c>
      <c r="AI172" s="134" t="s">
        <v>52</v>
      </c>
      <c r="AJ172" s="134" t="s">
        <v>52</v>
      </c>
      <c r="AK172" s="134">
        <v>13.73</v>
      </c>
      <c r="AL172" s="134">
        <v>2.4500000000000002</v>
      </c>
      <c r="AM172" s="134">
        <v>42</v>
      </c>
    </row>
    <row r="173" spans="1:45" s="134" customFormat="1" x14ac:dyDescent="0.2">
      <c r="A173" s="133"/>
      <c r="B173" s="117"/>
      <c r="C173" s="133"/>
      <c r="D173" s="133"/>
      <c r="E173" s="116"/>
      <c r="F173" s="116"/>
      <c r="G173" s="116"/>
      <c r="H173" s="276"/>
      <c r="I173" s="276"/>
      <c r="J173" s="112"/>
      <c r="M173" s="135"/>
      <c r="N173" s="155"/>
      <c r="O173" s="135"/>
      <c r="P173" s="135"/>
      <c r="Q173" s="135"/>
      <c r="R173" s="155"/>
      <c r="S173" s="135"/>
      <c r="U173" s="136"/>
      <c r="AD173" s="134" t="s">
        <v>653</v>
      </c>
      <c r="AE173" s="134" t="s">
        <v>95</v>
      </c>
      <c r="AF173" s="110" t="s">
        <v>513</v>
      </c>
      <c r="AG173" s="134" t="s">
        <v>52</v>
      </c>
      <c r="AH173" s="134" t="s">
        <v>52</v>
      </c>
      <c r="AI173" s="134" t="s">
        <v>52</v>
      </c>
      <c r="AJ173" s="134" t="s">
        <v>52</v>
      </c>
      <c r="AK173" s="134">
        <v>6.46</v>
      </c>
      <c r="AL173" s="134">
        <v>1.41</v>
      </c>
      <c r="AM173" s="134">
        <v>42</v>
      </c>
    </row>
    <row r="174" spans="1:45" s="134" customFormat="1" x14ac:dyDescent="0.2">
      <c r="A174" s="133"/>
      <c r="B174" s="117"/>
      <c r="C174" s="133"/>
      <c r="D174" s="133"/>
      <c r="E174" s="116"/>
      <c r="F174" s="116"/>
      <c r="G174" s="116"/>
      <c r="H174" s="276"/>
      <c r="I174" s="276"/>
      <c r="J174" s="112"/>
      <c r="M174" s="135"/>
      <c r="N174" s="155"/>
      <c r="O174" s="135"/>
      <c r="P174" s="135"/>
      <c r="Q174" s="135"/>
      <c r="R174" s="155"/>
      <c r="S174" s="135"/>
      <c r="U174" s="136"/>
      <c r="AD174" s="134" t="s">
        <v>654</v>
      </c>
      <c r="AE174" s="134" t="s">
        <v>95</v>
      </c>
      <c r="AF174" s="110" t="s">
        <v>513</v>
      </c>
      <c r="AG174" s="134" t="s">
        <v>52</v>
      </c>
      <c r="AH174" s="134" t="s">
        <v>52</v>
      </c>
      <c r="AI174" s="134" t="s">
        <v>52</v>
      </c>
      <c r="AJ174" s="134" t="s">
        <v>52</v>
      </c>
      <c r="AK174" s="134">
        <v>7.02</v>
      </c>
      <c r="AL174" s="134">
        <v>1.87</v>
      </c>
      <c r="AM174" s="134">
        <v>42</v>
      </c>
    </row>
    <row r="175" spans="1:45" s="134" customFormat="1" x14ac:dyDescent="0.2">
      <c r="A175" s="133"/>
      <c r="B175" s="117"/>
      <c r="C175" s="133"/>
      <c r="D175" s="133"/>
      <c r="E175" s="116"/>
      <c r="F175" s="116"/>
      <c r="G175" s="116"/>
      <c r="H175" s="276"/>
      <c r="I175" s="276"/>
      <c r="J175" s="112"/>
      <c r="M175" s="135"/>
      <c r="N175" s="155"/>
      <c r="O175" s="135"/>
      <c r="P175" s="135"/>
      <c r="Q175" s="135"/>
      <c r="R175" s="155"/>
      <c r="S175" s="135"/>
      <c r="U175" s="136"/>
      <c r="AD175" s="165" t="s">
        <v>524</v>
      </c>
      <c r="AE175" s="165" t="s">
        <v>95</v>
      </c>
      <c r="AF175" s="165" t="s">
        <v>513</v>
      </c>
      <c r="AG175" s="166" t="s">
        <v>52</v>
      </c>
      <c r="AH175" s="167">
        <v>6.51</v>
      </c>
      <c r="AI175" s="167">
        <v>2.6</v>
      </c>
      <c r="AJ175" s="167">
        <v>42</v>
      </c>
      <c r="AK175" s="167" t="s">
        <v>52</v>
      </c>
      <c r="AL175" s="167" t="s">
        <v>52</v>
      </c>
      <c r="AM175" s="167" t="s">
        <v>52</v>
      </c>
      <c r="AN175" s="167"/>
      <c r="AO175" s="167"/>
      <c r="AP175" s="167"/>
      <c r="AQ175" s="167"/>
      <c r="AR175" s="167"/>
      <c r="AS175" s="167"/>
    </row>
    <row r="176" spans="1:45" s="134" customFormat="1" x14ac:dyDescent="0.2">
      <c r="A176" s="133"/>
      <c r="B176" s="117"/>
      <c r="C176" s="133"/>
      <c r="D176" s="133"/>
      <c r="E176" s="116"/>
      <c r="F176" s="116"/>
      <c r="G176" s="116"/>
      <c r="H176" s="276"/>
      <c r="I176" s="276"/>
      <c r="J176" s="112"/>
      <c r="M176" s="135"/>
      <c r="N176" s="155"/>
      <c r="O176" s="135"/>
      <c r="P176" s="135"/>
      <c r="Q176" s="135"/>
      <c r="R176" s="155"/>
      <c r="S176" s="135"/>
      <c r="U176" s="136"/>
      <c r="AD176" s="165" t="s">
        <v>525</v>
      </c>
      <c r="AE176" s="165" t="s">
        <v>95</v>
      </c>
      <c r="AF176" s="165" t="s">
        <v>513</v>
      </c>
      <c r="AG176" s="166" t="s">
        <v>52</v>
      </c>
      <c r="AH176" s="167">
        <v>3.23</v>
      </c>
      <c r="AI176" s="167">
        <v>1.49</v>
      </c>
      <c r="AJ176" s="167">
        <v>42</v>
      </c>
      <c r="AK176" s="167" t="s">
        <v>52</v>
      </c>
      <c r="AL176" s="167" t="s">
        <v>52</v>
      </c>
      <c r="AM176" s="167" t="s">
        <v>52</v>
      </c>
      <c r="AN176" s="167"/>
      <c r="AO176" s="167"/>
      <c r="AP176" s="167"/>
      <c r="AQ176" s="167"/>
      <c r="AR176" s="167"/>
      <c r="AS176" s="167"/>
    </row>
    <row r="177" spans="1:45" s="134" customFormat="1" x14ac:dyDescent="0.2">
      <c r="A177" s="133"/>
      <c r="B177" s="117"/>
      <c r="C177" s="133"/>
      <c r="D177" s="133"/>
      <c r="E177" s="116"/>
      <c r="F177" s="116"/>
      <c r="G177" s="116"/>
      <c r="H177" s="276"/>
      <c r="I177" s="276"/>
      <c r="J177" s="112" t="s">
        <v>704</v>
      </c>
      <c r="K177" s="134" t="s">
        <v>529</v>
      </c>
      <c r="L177" s="134">
        <v>5</v>
      </c>
      <c r="M177" s="135">
        <v>10.5</v>
      </c>
      <c r="N177" s="155">
        <v>1</v>
      </c>
      <c r="O177" s="135" t="s">
        <v>52</v>
      </c>
      <c r="P177" s="135" t="s">
        <v>52</v>
      </c>
      <c r="Q177" s="135" t="s">
        <v>52</v>
      </c>
      <c r="R177" s="155">
        <v>0.5</v>
      </c>
      <c r="S177" s="135">
        <f t="shared" si="13"/>
        <v>0.78</v>
      </c>
      <c r="T177" s="134" t="s">
        <v>92</v>
      </c>
      <c r="U177" s="136" t="s">
        <v>519</v>
      </c>
      <c r="V177" s="134" t="s">
        <v>456</v>
      </c>
      <c r="W177" s="134" t="s">
        <v>153</v>
      </c>
      <c r="X177" s="60" t="s">
        <v>457</v>
      </c>
      <c r="Y177" s="134" t="s">
        <v>58</v>
      </c>
      <c r="Z177" s="165">
        <v>7650</v>
      </c>
      <c r="AA177" s="165">
        <v>85</v>
      </c>
      <c r="AB177" s="165">
        <v>90</v>
      </c>
      <c r="AC177" s="134" t="s">
        <v>59</v>
      </c>
      <c r="AD177" s="134" t="s">
        <v>650</v>
      </c>
      <c r="AE177" s="134" t="s">
        <v>95</v>
      </c>
      <c r="AF177" s="110" t="s">
        <v>513</v>
      </c>
      <c r="AG177" s="134" t="s">
        <v>52</v>
      </c>
      <c r="AH177" s="134" t="s">
        <v>52</v>
      </c>
      <c r="AI177" s="134" t="s">
        <v>52</v>
      </c>
      <c r="AJ177" s="134" t="s">
        <v>52</v>
      </c>
      <c r="AK177" s="134">
        <v>14.61</v>
      </c>
      <c r="AL177" s="134">
        <v>2.67</v>
      </c>
      <c r="AM177" s="134">
        <v>40</v>
      </c>
    </row>
    <row r="178" spans="1:45" s="134" customFormat="1" x14ac:dyDescent="0.2">
      <c r="A178" s="133"/>
      <c r="B178" s="117"/>
      <c r="C178" s="133"/>
      <c r="D178" s="133"/>
      <c r="E178" s="116"/>
      <c r="F178" s="116"/>
      <c r="G178" s="116"/>
      <c r="H178" s="276"/>
      <c r="I178" s="276"/>
      <c r="J178" s="112"/>
      <c r="M178" s="135"/>
      <c r="N178" s="155"/>
      <c r="O178" s="135"/>
      <c r="P178" s="135"/>
      <c r="Q178" s="135"/>
      <c r="R178" s="155"/>
      <c r="S178" s="135"/>
      <c r="U178" s="136"/>
      <c r="Z178" s="118"/>
      <c r="AA178" s="118"/>
      <c r="AB178" s="118"/>
      <c r="AD178" s="134" t="s">
        <v>653</v>
      </c>
      <c r="AE178" s="134" t="s">
        <v>95</v>
      </c>
      <c r="AF178" s="110" t="s">
        <v>513</v>
      </c>
      <c r="AG178" s="134" t="s">
        <v>52</v>
      </c>
      <c r="AH178" s="134" t="s">
        <v>52</v>
      </c>
      <c r="AI178" s="134" t="s">
        <v>52</v>
      </c>
      <c r="AJ178" s="134" t="s">
        <v>52</v>
      </c>
      <c r="AK178" s="134">
        <v>5.9</v>
      </c>
      <c r="AL178" s="134">
        <v>1.61</v>
      </c>
      <c r="AM178" s="134">
        <v>40</v>
      </c>
    </row>
    <row r="179" spans="1:45" s="134" customFormat="1" x14ac:dyDescent="0.2">
      <c r="A179" s="133"/>
      <c r="B179" s="117"/>
      <c r="C179" s="133"/>
      <c r="D179" s="133"/>
      <c r="E179" s="116"/>
      <c r="F179" s="116"/>
      <c r="G179" s="116"/>
      <c r="H179" s="276"/>
      <c r="I179" s="276"/>
      <c r="J179" s="112"/>
      <c r="M179" s="135"/>
      <c r="N179" s="155"/>
      <c r="O179" s="135"/>
      <c r="P179" s="135"/>
      <c r="Q179" s="135"/>
      <c r="R179" s="155"/>
      <c r="S179" s="135"/>
      <c r="U179" s="136"/>
      <c r="Z179" s="118"/>
      <c r="AA179" s="118"/>
      <c r="AB179" s="118"/>
      <c r="AD179" s="134" t="s">
        <v>654</v>
      </c>
      <c r="AE179" s="134" t="s">
        <v>95</v>
      </c>
      <c r="AF179" s="110" t="s">
        <v>513</v>
      </c>
      <c r="AG179" s="134" t="s">
        <v>52</v>
      </c>
      <c r="AH179" s="134" t="s">
        <v>52</v>
      </c>
      <c r="AI179" s="134" t="s">
        <v>52</v>
      </c>
      <c r="AJ179" s="134" t="s">
        <v>52</v>
      </c>
      <c r="AK179" s="134">
        <v>8.7100000000000009</v>
      </c>
      <c r="AL179" s="134">
        <v>1.47</v>
      </c>
      <c r="AM179" s="134">
        <v>40</v>
      </c>
    </row>
    <row r="180" spans="1:45" s="134" customFormat="1" x14ac:dyDescent="0.2">
      <c r="A180" s="133"/>
      <c r="B180" s="117"/>
      <c r="C180" s="133"/>
      <c r="D180" s="133"/>
      <c r="E180" s="116"/>
      <c r="F180" s="116"/>
      <c r="G180" s="116"/>
      <c r="H180" s="276"/>
      <c r="I180" s="276"/>
      <c r="J180" s="112"/>
      <c r="M180" s="135"/>
      <c r="N180" s="155"/>
      <c r="O180" s="135"/>
      <c r="P180" s="135"/>
      <c r="Q180" s="135"/>
      <c r="R180" s="155"/>
      <c r="S180" s="135"/>
      <c r="U180" s="136"/>
      <c r="Z180" s="118"/>
      <c r="AA180" s="118"/>
      <c r="AB180" s="118"/>
      <c r="AD180" s="165" t="s">
        <v>524</v>
      </c>
      <c r="AE180" s="165" t="s">
        <v>95</v>
      </c>
      <c r="AF180" s="165" t="s">
        <v>513</v>
      </c>
      <c r="AG180" s="166" t="s">
        <v>52</v>
      </c>
      <c r="AH180" s="167">
        <v>7.06</v>
      </c>
      <c r="AI180" s="167">
        <v>2.56</v>
      </c>
      <c r="AJ180" s="167">
        <v>40</v>
      </c>
      <c r="AK180" s="167" t="s">
        <v>52</v>
      </c>
      <c r="AL180" s="167" t="s">
        <v>52</v>
      </c>
      <c r="AM180" s="167" t="s">
        <v>52</v>
      </c>
      <c r="AN180" s="167"/>
      <c r="AO180" s="167"/>
      <c r="AP180" s="167"/>
      <c r="AQ180" s="167"/>
      <c r="AR180" s="167"/>
      <c r="AS180" s="167"/>
    </row>
    <row r="181" spans="1:45" s="134" customFormat="1" x14ac:dyDescent="0.2">
      <c r="A181" s="133"/>
      <c r="B181" s="117"/>
      <c r="C181" s="133"/>
      <c r="D181" s="133"/>
      <c r="E181" s="116"/>
      <c r="F181" s="116"/>
      <c r="G181" s="116"/>
      <c r="H181" s="276"/>
      <c r="I181" s="276"/>
      <c r="J181" s="112"/>
      <c r="M181" s="135"/>
      <c r="N181" s="155"/>
      <c r="O181" s="135"/>
      <c r="P181" s="135"/>
      <c r="Q181" s="135"/>
      <c r="R181" s="155"/>
      <c r="S181" s="135"/>
      <c r="U181" s="136"/>
      <c r="Z181" s="118"/>
      <c r="AA181" s="118"/>
      <c r="AB181" s="118"/>
      <c r="AD181" s="165" t="s">
        <v>525</v>
      </c>
      <c r="AE181" s="165" t="s">
        <v>95</v>
      </c>
      <c r="AF181" s="165" t="s">
        <v>513</v>
      </c>
      <c r="AG181" s="166" t="s">
        <v>52</v>
      </c>
      <c r="AH181" s="167">
        <v>3.31</v>
      </c>
      <c r="AI181" s="167">
        <v>1.49</v>
      </c>
      <c r="AJ181" s="167">
        <v>40</v>
      </c>
      <c r="AK181" s="167" t="s">
        <v>52</v>
      </c>
      <c r="AL181" s="167" t="s">
        <v>52</v>
      </c>
      <c r="AM181" s="167" t="s">
        <v>52</v>
      </c>
      <c r="AN181" s="167"/>
      <c r="AO181" s="167"/>
      <c r="AP181" s="167"/>
      <c r="AQ181" s="167"/>
      <c r="AR181" s="167"/>
      <c r="AS181" s="167"/>
    </row>
    <row r="182" spans="1:45" s="134" customFormat="1" x14ac:dyDescent="0.2">
      <c r="A182" s="133"/>
      <c r="B182" s="117"/>
      <c r="C182" s="133"/>
      <c r="D182" s="133"/>
      <c r="E182" s="116"/>
      <c r="F182" s="116"/>
      <c r="G182" s="116"/>
      <c r="H182" s="276"/>
      <c r="I182" s="276"/>
      <c r="J182" s="112" t="s">
        <v>705</v>
      </c>
      <c r="K182" s="134" t="s">
        <v>652</v>
      </c>
      <c r="L182" s="134">
        <v>5</v>
      </c>
      <c r="M182" s="135">
        <v>10.5</v>
      </c>
      <c r="N182" s="155">
        <v>1</v>
      </c>
      <c r="O182" s="135" t="s">
        <v>52</v>
      </c>
      <c r="P182" s="135" t="s">
        <v>52</v>
      </c>
      <c r="Q182" s="135" t="s">
        <v>52</v>
      </c>
      <c r="R182" s="155">
        <v>0.5</v>
      </c>
      <c r="S182" s="135">
        <f t="shared" si="13"/>
        <v>0.78</v>
      </c>
      <c r="T182" s="134" t="s">
        <v>92</v>
      </c>
      <c r="U182" s="136" t="s">
        <v>527</v>
      </c>
      <c r="V182" s="134" t="s">
        <v>464</v>
      </c>
      <c r="W182" s="134" t="s">
        <v>153</v>
      </c>
      <c r="X182" s="134" t="s">
        <v>78</v>
      </c>
      <c r="Y182" s="134" t="s">
        <v>58</v>
      </c>
      <c r="Z182" s="134" t="s">
        <v>78</v>
      </c>
      <c r="AA182" s="134" t="s">
        <v>78</v>
      </c>
      <c r="AB182" s="134" t="s">
        <v>78</v>
      </c>
      <c r="AC182" s="134" t="s">
        <v>78</v>
      </c>
      <c r="AD182" s="134" t="s">
        <v>650</v>
      </c>
      <c r="AE182" s="134" t="s">
        <v>95</v>
      </c>
      <c r="AF182" s="110" t="s">
        <v>513</v>
      </c>
      <c r="AG182" s="134" t="s">
        <v>52</v>
      </c>
      <c r="AH182" s="134" t="s">
        <v>52</v>
      </c>
      <c r="AI182" s="134" t="s">
        <v>52</v>
      </c>
      <c r="AJ182" s="134" t="s">
        <v>52</v>
      </c>
      <c r="AK182" s="134">
        <v>13.61</v>
      </c>
      <c r="AL182" s="134">
        <v>1.98</v>
      </c>
      <c r="AM182" s="134">
        <v>42</v>
      </c>
    </row>
    <row r="183" spans="1:45" s="134" customFormat="1" x14ac:dyDescent="0.2">
      <c r="A183" s="133"/>
      <c r="B183" s="117"/>
      <c r="C183" s="133"/>
      <c r="D183" s="133"/>
      <c r="E183" s="116"/>
      <c r="F183" s="116"/>
      <c r="G183" s="116"/>
      <c r="H183" s="276"/>
      <c r="I183" s="276"/>
      <c r="J183" s="112"/>
      <c r="M183" s="135"/>
      <c r="N183" s="155"/>
      <c r="O183" s="135"/>
      <c r="P183" s="135"/>
      <c r="Q183" s="135"/>
      <c r="R183" s="155"/>
      <c r="S183" s="135"/>
      <c r="U183" s="136"/>
      <c r="AD183" s="134" t="s">
        <v>653</v>
      </c>
      <c r="AE183" s="134" t="s">
        <v>95</v>
      </c>
      <c r="AF183" s="110" t="s">
        <v>513</v>
      </c>
      <c r="AG183" s="134" t="s">
        <v>52</v>
      </c>
      <c r="AH183" s="134" t="s">
        <v>52</v>
      </c>
      <c r="AI183" s="134" t="s">
        <v>52</v>
      </c>
      <c r="AJ183" s="134" t="s">
        <v>52</v>
      </c>
      <c r="AK183" s="134">
        <v>4.67</v>
      </c>
      <c r="AL183" s="134">
        <v>1.44</v>
      </c>
      <c r="AM183" s="134">
        <v>42</v>
      </c>
    </row>
    <row r="184" spans="1:45" s="134" customFormat="1" x14ac:dyDescent="0.2">
      <c r="A184" s="133"/>
      <c r="B184" s="117"/>
      <c r="C184" s="133"/>
      <c r="D184" s="116"/>
      <c r="E184" s="116"/>
      <c r="F184" s="116"/>
      <c r="G184" s="116"/>
      <c r="H184" s="276"/>
      <c r="I184" s="276"/>
      <c r="J184" s="112"/>
      <c r="M184" s="135"/>
      <c r="N184" s="155"/>
      <c r="O184" s="135"/>
      <c r="P184" s="135"/>
      <c r="Q184" s="135"/>
      <c r="R184" s="155"/>
      <c r="S184" s="135"/>
      <c r="U184" s="136"/>
      <c r="AD184" s="134" t="s">
        <v>654</v>
      </c>
      <c r="AE184" s="134" t="s">
        <v>95</v>
      </c>
      <c r="AF184" s="110" t="s">
        <v>513</v>
      </c>
      <c r="AG184" s="134" t="s">
        <v>52</v>
      </c>
      <c r="AH184" s="134" t="s">
        <v>52</v>
      </c>
      <c r="AI184" s="134" t="s">
        <v>52</v>
      </c>
      <c r="AJ184" s="134" t="s">
        <v>52</v>
      </c>
      <c r="AK184" s="134">
        <v>8.65</v>
      </c>
      <c r="AL184" s="134">
        <v>1.51</v>
      </c>
      <c r="AM184" s="134">
        <v>42</v>
      </c>
    </row>
    <row r="185" spans="1:45" s="134" customFormat="1" x14ac:dyDescent="0.2">
      <c r="A185" s="133"/>
      <c r="B185" s="117"/>
      <c r="C185" s="133"/>
      <c r="D185" s="116"/>
      <c r="E185" s="116"/>
      <c r="F185" s="116"/>
      <c r="G185" s="116"/>
      <c r="H185" s="276"/>
      <c r="I185" s="276"/>
      <c r="J185" s="112"/>
      <c r="M185" s="135"/>
      <c r="N185" s="155"/>
      <c r="O185" s="135"/>
      <c r="P185" s="135"/>
      <c r="Q185" s="135"/>
      <c r="R185" s="155"/>
      <c r="S185" s="135"/>
      <c r="U185" s="136"/>
      <c r="AD185" s="165" t="s">
        <v>524</v>
      </c>
      <c r="AE185" s="165" t="s">
        <v>95</v>
      </c>
      <c r="AF185" s="165" t="s">
        <v>513</v>
      </c>
      <c r="AG185" s="166" t="s">
        <v>52</v>
      </c>
      <c r="AH185" s="167">
        <v>6.65</v>
      </c>
      <c r="AI185" s="167">
        <v>1.87</v>
      </c>
      <c r="AJ185" s="167">
        <v>42</v>
      </c>
      <c r="AK185" s="167" t="s">
        <v>52</v>
      </c>
      <c r="AL185" s="167" t="s">
        <v>52</v>
      </c>
      <c r="AM185" s="167" t="s">
        <v>52</v>
      </c>
      <c r="AN185" s="167"/>
      <c r="AO185" s="167"/>
      <c r="AP185" s="167"/>
      <c r="AQ185" s="167"/>
      <c r="AR185" s="167"/>
      <c r="AS185" s="167"/>
    </row>
    <row r="186" spans="1:45" s="138" customFormat="1" x14ac:dyDescent="0.2">
      <c r="A186" s="137"/>
      <c r="B186" s="123"/>
      <c r="C186" s="137"/>
      <c r="D186" s="122"/>
      <c r="E186" s="122"/>
      <c r="F186" s="122"/>
      <c r="G186" s="122"/>
      <c r="H186" s="277"/>
      <c r="I186" s="277"/>
      <c r="J186" s="113"/>
      <c r="M186" s="139"/>
      <c r="N186" s="156"/>
      <c r="O186" s="139"/>
      <c r="P186" s="139"/>
      <c r="Q186" s="139"/>
      <c r="R186" s="156"/>
      <c r="S186" s="139"/>
      <c r="U186" s="140"/>
      <c r="AD186" s="168" t="s">
        <v>525</v>
      </c>
      <c r="AE186" s="168" t="s">
        <v>95</v>
      </c>
      <c r="AF186" s="165" t="s">
        <v>513</v>
      </c>
      <c r="AG186" s="169" t="s">
        <v>52</v>
      </c>
      <c r="AH186" s="170">
        <v>3.35</v>
      </c>
      <c r="AI186" s="170">
        <v>0.89</v>
      </c>
      <c r="AJ186" s="170">
        <v>42</v>
      </c>
      <c r="AK186" s="170" t="s">
        <v>52</v>
      </c>
      <c r="AL186" s="170" t="s">
        <v>52</v>
      </c>
      <c r="AM186" s="170" t="s">
        <v>52</v>
      </c>
      <c r="AN186" s="170"/>
      <c r="AO186" s="170"/>
      <c r="AP186" s="170"/>
      <c r="AQ186" s="170"/>
      <c r="AR186" s="170"/>
      <c r="AS186" s="170"/>
    </row>
    <row r="187" spans="1:45" s="134" customFormat="1" x14ac:dyDescent="0.2">
      <c r="A187" s="129" t="s">
        <v>532</v>
      </c>
      <c r="B187" s="130">
        <v>330</v>
      </c>
      <c r="C187" s="129" t="s">
        <v>244</v>
      </c>
      <c r="D187" s="88" t="s">
        <v>533</v>
      </c>
      <c r="E187" s="88" t="s">
        <v>66</v>
      </c>
      <c r="F187" s="88" t="s">
        <v>49</v>
      </c>
      <c r="G187" s="88" t="s">
        <v>50</v>
      </c>
      <c r="H187" s="278"/>
      <c r="I187" s="278"/>
      <c r="J187" s="112">
        <v>1</v>
      </c>
      <c r="K187" s="134" t="s">
        <v>655</v>
      </c>
      <c r="L187" s="110">
        <v>7</v>
      </c>
      <c r="M187" s="109">
        <v>13.5833333333333</v>
      </c>
      <c r="N187" s="135" t="s">
        <v>52</v>
      </c>
      <c r="O187" s="135" t="s">
        <v>52</v>
      </c>
      <c r="P187" s="135">
        <f>AVERAGE(0.7, 0.9)</f>
        <v>0.8</v>
      </c>
      <c r="Q187" s="135" t="s">
        <v>52</v>
      </c>
      <c r="R187" s="135">
        <f>12/40</f>
        <v>0.3</v>
      </c>
      <c r="S187" s="135" t="s">
        <v>52</v>
      </c>
      <c r="T187" s="134" t="s">
        <v>92</v>
      </c>
      <c r="U187" s="136" t="s">
        <v>534</v>
      </c>
      <c r="V187" s="134" t="s">
        <v>456</v>
      </c>
      <c r="W187" s="134" t="s">
        <v>153</v>
      </c>
      <c r="X187" s="60" t="s">
        <v>457</v>
      </c>
      <c r="Y187" s="134" t="s">
        <v>72</v>
      </c>
      <c r="Z187" s="134">
        <f>AA187*AB187</f>
        <v>405</v>
      </c>
      <c r="AA187" s="134">
        <f>AVERAGE(8, 10)</f>
        <v>9</v>
      </c>
      <c r="AB187" s="134">
        <v>45</v>
      </c>
      <c r="AC187" s="134" t="s">
        <v>59</v>
      </c>
      <c r="AD187" s="134" t="s">
        <v>535</v>
      </c>
      <c r="AE187" s="138" t="s">
        <v>61</v>
      </c>
      <c r="AF187" s="134" t="s">
        <v>536</v>
      </c>
      <c r="AG187" s="134" t="s">
        <v>537</v>
      </c>
      <c r="AH187" s="134">
        <v>12.73</v>
      </c>
      <c r="AI187" s="134">
        <v>4.38</v>
      </c>
      <c r="AJ187" s="134">
        <v>40</v>
      </c>
      <c r="AK187" s="134">
        <v>13.77</v>
      </c>
      <c r="AL187" s="134">
        <v>4.9400000000000004</v>
      </c>
      <c r="AM187" s="134">
        <v>40</v>
      </c>
    </row>
    <row r="188" spans="1:45" s="138" customFormat="1" x14ac:dyDescent="0.2">
      <c r="A188" s="137"/>
      <c r="B188" s="123"/>
      <c r="C188" s="137"/>
      <c r="D188" s="122"/>
      <c r="E188" s="122"/>
      <c r="F188" s="122"/>
      <c r="G188" s="122"/>
      <c r="H188" s="277"/>
      <c r="I188" s="277"/>
      <c r="J188" s="113">
        <v>2</v>
      </c>
      <c r="K188" s="138" t="s">
        <v>126</v>
      </c>
      <c r="L188" s="111">
        <v>7</v>
      </c>
      <c r="M188" s="179">
        <v>13.5</v>
      </c>
      <c r="N188" s="139" t="s">
        <v>52</v>
      </c>
      <c r="O188" s="139" t="s">
        <v>52</v>
      </c>
      <c r="P188" s="139">
        <f>AVERAGE(0.7, 0.9)</f>
        <v>0.8</v>
      </c>
      <c r="Q188" s="139" t="s">
        <v>52</v>
      </c>
      <c r="R188" s="139">
        <f>12/50</f>
        <v>0.24</v>
      </c>
      <c r="S188" s="139" t="s">
        <v>52</v>
      </c>
      <c r="T188" s="138" t="s">
        <v>78</v>
      </c>
      <c r="U188" s="140" t="s">
        <v>539</v>
      </c>
      <c r="V188" s="138" t="s">
        <v>80</v>
      </c>
      <c r="W188" s="138" t="s">
        <v>78</v>
      </c>
      <c r="X188" s="63" t="s">
        <v>78</v>
      </c>
      <c r="Y188" s="138" t="s">
        <v>78</v>
      </c>
      <c r="Z188" s="138" t="s">
        <v>78</v>
      </c>
      <c r="AA188" s="138" t="s">
        <v>78</v>
      </c>
      <c r="AB188" s="138" t="s">
        <v>78</v>
      </c>
      <c r="AC188" s="138" t="s">
        <v>78</v>
      </c>
      <c r="AD188" s="138" t="s">
        <v>535</v>
      </c>
      <c r="AE188" s="138" t="s">
        <v>61</v>
      </c>
      <c r="AF188" s="138" t="s">
        <v>536</v>
      </c>
      <c r="AG188" s="138" t="s">
        <v>537</v>
      </c>
      <c r="AH188" s="138">
        <v>13.14</v>
      </c>
      <c r="AI188" s="138">
        <v>4.5199999999999996</v>
      </c>
      <c r="AJ188" s="138">
        <v>50</v>
      </c>
      <c r="AK188" s="138">
        <v>11.96</v>
      </c>
      <c r="AL188" s="138">
        <v>5.32</v>
      </c>
      <c r="AM188" s="138">
        <v>50</v>
      </c>
    </row>
    <row r="189" spans="1:45" s="60" customFormat="1" ht="19" customHeight="1" x14ac:dyDescent="0.2">
      <c r="A189" s="116" t="s">
        <v>707</v>
      </c>
      <c r="B189" s="117">
        <v>331</v>
      </c>
      <c r="C189" s="116" t="s">
        <v>47</v>
      </c>
      <c r="D189" s="88" t="s">
        <v>452</v>
      </c>
      <c r="E189" s="88" t="s">
        <v>66</v>
      </c>
      <c r="F189" s="88" t="s">
        <v>49</v>
      </c>
      <c r="G189" s="88" t="s">
        <v>50</v>
      </c>
      <c r="H189" s="278"/>
      <c r="I189" s="278"/>
      <c r="J189" s="11">
        <v>1</v>
      </c>
      <c r="K189" s="1" t="s">
        <v>712</v>
      </c>
      <c r="L189" s="60" t="s">
        <v>68</v>
      </c>
      <c r="M189" s="90">
        <v>11.2</v>
      </c>
      <c r="N189" s="90">
        <v>1</v>
      </c>
      <c r="O189" s="90" t="s">
        <v>52</v>
      </c>
      <c r="P189" s="90">
        <v>0.85</v>
      </c>
      <c r="Q189" s="90">
        <v>0.25</v>
      </c>
      <c r="R189" s="90">
        <f>21/40</f>
        <v>0.52500000000000002</v>
      </c>
      <c r="S189" s="90">
        <f>1-0.26</f>
        <v>0.74</v>
      </c>
      <c r="T189" s="60" t="s">
        <v>92</v>
      </c>
      <c r="U189" s="181" t="s">
        <v>713</v>
      </c>
      <c r="V189" s="60" t="s">
        <v>456</v>
      </c>
      <c r="W189" s="60" t="s">
        <v>56</v>
      </c>
      <c r="X189" s="60" t="s">
        <v>57</v>
      </c>
      <c r="Y189" s="60" t="s">
        <v>72</v>
      </c>
      <c r="Z189" s="60">
        <f t="shared" ref="Z189:Z195" si="14">15*35</f>
        <v>525</v>
      </c>
      <c r="AA189" s="60">
        <v>15</v>
      </c>
      <c r="AB189" s="60">
        <v>35</v>
      </c>
      <c r="AC189" s="60" t="s">
        <v>59</v>
      </c>
      <c r="AD189" s="60" t="s">
        <v>542</v>
      </c>
      <c r="AE189" s="134" t="s">
        <v>95</v>
      </c>
      <c r="AF189" s="60" t="s">
        <v>513</v>
      </c>
      <c r="AG189" s="152" t="s">
        <v>543</v>
      </c>
      <c r="AH189" s="120">
        <v>4.5</v>
      </c>
      <c r="AI189" s="120">
        <v>2.7</v>
      </c>
      <c r="AJ189" s="120">
        <v>10</v>
      </c>
      <c r="AK189" s="120">
        <v>6.3</v>
      </c>
      <c r="AL189" s="120">
        <v>3.1</v>
      </c>
      <c r="AM189" s="127">
        <v>10</v>
      </c>
      <c r="AN189" s="127"/>
      <c r="AO189" s="127"/>
      <c r="AP189" s="127"/>
      <c r="AQ189" s="127"/>
      <c r="AR189" s="127"/>
      <c r="AS189" s="127"/>
    </row>
    <row r="190" spans="1:45" s="60" customFormat="1" ht="19" customHeight="1" x14ac:dyDescent="0.2">
      <c r="A190" s="116"/>
      <c r="B190" s="117"/>
      <c r="C190" s="116"/>
      <c r="D190" s="88"/>
      <c r="E190" s="88"/>
      <c r="F190" s="88"/>
      <c r="G190" s="88"/>
      <c r="H190" s="278"/>
      <c r="I190" s="278"/>
      <c r="J190" s="11">
        <v>2</v>
      </c>
      <c r="K190" s="1" t="s">
        <v>714</v>
      </c>
      <c r="L190" s="60" t="s">
        <v>68</v>
      </c>
      <c r="M190" s="90">
        <v>11.2</v>
      </c>
      <c r="N190" s="90">
        <v>1</v>
      </c>
      <c r="O190" s="90" t="s">
        <v>52</v>
      </c>
      <c r="P190" s="90">
        <v>0.85</v>
      </c>
      <c r="Q190" s="90">
        <v>0.25</v>
      </c>
      <c r="R190" s="90">
        <f>21/40</f>
        <v>0.52500000000000002</v>
      </c>
      <c r="S190" s="90">
        <f>1-0.26</f>
        <v>0.74</v>
      </c>
      <c r="T190" s="60" t="s">
        <v>92</v>
      </c>
      <c r="U190" s="181" t="s">
        <v>715</v>
      </c>
      <c r="V190" s="60" t="s">
        <v>456</v>
      </c>
      <c r="W190" s="60" t="s">
        <v>56</v>
      </c>
      <c r="X190" s="60" t="s">
        <v>57</v>
      </c>
      <c r="Y190" s="60" t="s">
        <v>72</v>
      </c>
      <c r="Z190" s="60">
        <f t="shared" si="14"/>
        <v>525</v>
      </c>
      <c r="AA190" s="60">
        <v>15</v>
      </c>
      <c r="AB190" s="60">
        <v>35</v>
      </c>
      <c r="AC190" s="60" t="s">
        <v>59</v>
      </c>
      <c r="AD190" s="60" t="s">
        <v>542</v>
      </c>
      <c r="AE190" s="134" t="s">
        <v>95</v>
      </c>
      <c r="AF190" s="60" t="s">
        <v>513</v>
      </c>
      <c r="AG190" s="152" t="s">
        <v>543</v>
      </c>
      <c r="AH190" s="120">
        <v>4.5</v>
      </c>
      <c r="AI190" s="120">
        <v>2.8</v>
      </c>
      <c r="AJ190" s="120">
        <v>10</v>
      </c>
      <c r="AK190" s="120">
        <v>6.2</v>
      </c>
      <c r="AL190" s="120">
        <v>4.9000000000000004</v>
      </c>
      <c r="AM190" s="127">
        <v>10</v>
      </c>
      <c r="AN190" s="127"/>
      <c r="AO190" s="127"/>
      <c r="AP190" s="127"/>
      <c r="AQ190" s="127"/>
      <c r="AR190" s="127"/>
      <c r="AS190" s="127"/>
    </row>
    <row r="191" spans="1:45" s="60" customFormat="1" ht="19" customHeight="1" x14ac:dyDescent="0.2">
      <c r="A191" s="116"/>
      <c r="B191" s="117"/>
      <c r="C191" s="116"/>
      <c r="D191" s="88"/>
      <c r="E191" s="88"/>
      <c r="F191" s="88"/>
      <c r="G191" s="88"/>
      <c r="H191" s="278"/>
      <c r="I191" s="278"/>
      <c r="J191" s="11">
        <v>3</v>
      </c>
      <c r="K191" s="1" t="s">
        <v>716</v>
      </c>
      <c r="L191" s="60" t="s">
        <v>68</v>
      </c>
      <c r="M191" s="90">
        <v>11.2</v>
      </c>
      <c r="N191" s="90">
        <v>1</v>
      </c>
      <c r="O191" s="90" t="s">
        <v>52</v>
      </c>
      <c r="P191" s="90">
        <v>0.85</v>
      </c>
      <c r="Q191" s="90">
        <v>0.25</v>
      </c>
      <c r="R191" s="90">
        <f>21/40</f>
        <v>0.52500000000000002</v>
      </c>
      <c r="S191" s="90">
        <f>1-0.26</f>
        <v>0.74</v>
      </c>
      <c r="T191" s="60" t="s">
        <v>92</v>
      </c>
      <c r="U191" s="181" t="s">
        <v>717</v>
      </c>
      <c r="V191" s="60" t="s">
        <v>456</v>
      </c>
      <c r="W191" s="60" t="s">
        <v>56</v>
      </c>
      <c r="X191" s="60" t="s">
        <v>57</v>
      </c>
      <c r="Y191" s="60" t="s">
        <v>72</v>
      </c>
      <c r="Z191" s="60">
        <f t="shared" si="14"/>
        <v>525</v>
      </c>
      <c r="AA191" s="60">
        <v>15</v>
      </c>
      <c r="AB191" s="60">
        <v>35</v>
      </c>
      <c r="AC191" s="60" t="s">
        <v>59</v>
      </c>
      <c r="AD191" s="60" t="s">
        <v>542</v>
      </c>
      <c r="AE191" s="134" t="s">
        <v>95</v>
      </c>
      <c r="AF191" s="60" t="s">
        <v>513</v>
      </c>
      <c r="AG191" s="152" t="s">
        <v>543</v>
      </c>
      <c r="AH191" s="120">
        <v>4.9000000000000004</v>
      </c>
      <c r="AI191" s="120">
        <v>1.9</v>
      </c>
      <c r="AJ191" s="120">
        <v>10</v>
      </c>
      <c r="AK191" s="120">
        <v>11.2</v>
      </c>
      <c r="AL191" s="120">
        <v>4.9000000000000004</v>
      </c>
      <c r="AM191" s="127">
        <v>10</v>
      </c>
      <c r="AN191" s="127"/>
      <c r="AO191" s="127"/>
      <c r="AP191" s="127"/>
      <c r="AQ191" s="127"/>
      <c r="AR191" s="127"/>
      <c r="AS191" s="127"/>
    </row>
    <row r="192" spans="1:45" s="63" customFormat="1" ht="19" customHeight="1" x14ac:dyDescent="0.2">
      <c r="A192" s="122"/>
      <c r="B192" s="123"/>
      <c r="C192" s="122"/>
      <c r="D192" s="89"/>
      <c r="E192" s="89"/>
      <c r="F192" s="89"/>
      <c r="G192" s="89"/>
      <c r="H192" s="279"/>
      <c r="I192" s="279"/>
      <c r="J192" s="31">
        <v>4</v>
      </c>
      <c r="K192" s="34" t="s">
        <v>126</v>
      </c>
      <c r="L192" s="63" t="s">
        <v>68</v>
      </c>
      <c r="M192" s="93">
        <v>11.2</v>
      </c>
      <c r="N192" s="93">
        <v>1</v>
      </c>
      <c r="O192" s="93" t="s">
        <v>52</v>
      </c>
      <c r="P192" s="93">
        <v>0.85</v>
      </c>
      <c r="Q192" s="93">
        <v>0.25</v>
      </c>
      <c r="R192" s="93">
        <f>21/40</f>
        <v>0.52500000000000002</v>
      </c>
      <c r="S192" s="93">
        <f>1-0.26</f>
        <v>0.74</v>
      </c>
      <c r="T192" s="63" t="s">
        <v>92</v>
      </c>
      <c r="U192" s="182" t="s">
        <v>718</v>
      </c>
      <c r="V192" s="63" t="s">
        <v>456</v>
      </c>
      <c r="W192" s="63" t="s">
        <v>56</v>
      </c>
      <c r="X192" s="63" t="s">
        <v>57</v>
      </c>
      <c r="Y192" s="63" t="s">
        <v>72</v>
      </c>
      <c r="Z192" s="63">
        <f t="shared" si="14"/>
        <v>525</v>
      </c>
      <c r="AA192" s="63">
        <v>15</v>
      </c>
      <c r="AB192" s="63">
        <v>35</v>
      </c>
      <c r="AC192" s="63" t="s">
        <v>59</v>
      </c>
      <c r="AD192" s="63" t="s">
        <v>542</v>
      </c>
      <c r="AE192" s="138" t="s">
        <v>95</v>
      </c>
      <c r="AF192" s="63" t="s">
        <v>513</v>
      </c>
      <c r="AG192" s="153" t="s">
        <v>543</v>
      </c>
      <c r="AH192" s="124">
        <v>4.3</v>
      </c>
      <c r="AI192" s="124">
        <v>2.2000000000000002</v>
      </c>
      <c r="AJ192" s="124">
        <v>10</v>
      </c>
      <c r="AK192" s="124">
        <v>6.3</v>
      </c>
      <c r="AL192" s="124">
        <v>2.5</v>
      </c>
      <c r="AM192" s="128">
        <v>10</v>
      </c>
      <c r="AN192" s="128"/>
      <c r="AO192" s="128"/>
      <c r="AP192" s="128"/>
      <c r="AQ192" s="128"/>
      <c r="AR192" s="128"/>
      <c r="AS192" s="128"/>
    </row>
    <row r="193" spans="1:45" s="60" customFormat="1" ht="17" customHeight="1" x14ac:dyDescent="0.2">
      <c r="A193" s="116" t="s">
        <v>708</v>
      </c>
      <c r="B193" s="117">
        <v>332</v>
      </c>
      <c r="C193" s="116" t="s">
        <v>47</v>
      </c>
      <c r="D193" s="88" t="s">
        <v>452</v>
      </c>
      <c r="E193" s="88" t="s">
        <v>66</v>
      </c>
      <c r="F193" s="88" t="s">
        <v>49</v>
      </c>
      <c r="G193" s="88" t="s">
        <v>50</v>
      </c>
      <c r="H193" s="278"/>
      <c r="I193" s="278"/>
      <c r="J193" s="11">
        <v>1</v>
      </c>
      <c r="K193" s="1" t="s">
        <v>712</v>
      </c>
      <c r="L193" s="60" t="s">
        <v>68</v>
      </c>
      <c r="M193" s="90">
        <v>11</v>
      </c>
      <c r="N193" s="90">
        <v>1</v>
      </c>
      <c r="O193" s="90" t="s">
        <v>52</v>
      </c>
      <c r="P193" s="90" t="s">
        <v>52</v>
      </c>
      <c r="Q193" s="90" t="s">
        <v>52</v>
      </c>
      <c r="R193" s="90">
        <v>0.5</v>
      </c>
      <c r="S193" s="90" t="s">
        <v>52</v>
      </c>
      <c r="T193" s="60" t="s">
        <v>92</v>
      </c>
      <c r="U193" s="181" t="s">
        <v>719</v>
      </c>
      <c r="V193" s="60" t="s">
        <v>456</v>
      </c>
      <c r="W193" s="60" t="s">
        <v>56</v>
      </c>
      <c r="X193" s="60" t="s">
        <v>57</v>
      </c>
      <c r="Y193" s="60" t="s">
        <v>72</v>
      </c>
      <c r="Z193" s="60">
        <f t="shared" si="14"/>
        <v>525</v>
      </c>
      <c r="AA193" s="60">
        <v>15</v>
      </c>
      <c r="AB193" s="60">
        <v>35</v>
      </c>
      <c r="AC193" s="60" t="s">
        <v>59</v>
      </c>
      <c r="AD193" s="60" t="s">
        <v>542</v>
      </c>
      <c r="AE193" s="60" t="s">
        <v>95</v>
      </c>
      <c r="AF193" s="60" t="s">
        <v>513</v>
      </c>
      <c r="AG193" s="152" t="s">
        <v>543</v>
      </c>
      <c r="AH193" s="120">
        <v>4.5</v>
      </c>
      <c r="AI193" s="120">
        <v>2</v>
      </c>
      <c r="AJ193" s="120">
        <v>10</v>
      </c>
      <c r="AK193" s="120">
        <v>8.1</v>
      </c>
      <c r="AL193" s="120">
        <v>2.6</v>
      </c>
      <c r="AM193" s="127">
        <v>10</v>
      </c>
      <c r="AN193" s="127"/>
      <c r="AO193" s="127"/>
      <c r="AP193" s="127"/>
      <c r="AQ193" s="127"/>
      <c r="AR193" s="127"/>
      <c r="AS193" s="127"/>
    </row>
    <row r="194" spans="1:45" s="60" customFormat="1" ht="17" customHeight="1" x14ac:dyDescent="0.2">
      <c r="A194" s="116"/>
      <c r="B194" s="117"/>
      <c r="C194" s="116"/>
      <c r="D194" s="88"/>
      <c r="E194" s="88"/>
      <c r="F194" s="88"/>
      <c r="G194" s="88"/>
      <c r="H194" s="278"/>
      <c r="I194" s="278"/>
      <c r="J194" s="11">
        <v>2</v>
      </c>
      <c r="K194" s="1" t="s">
        <v>720</v>
      </c>
      <c r="L194" s="60" t="s">
        <v>68</v>
      </c>
      <c r="M194" s="90">
        <v>11</v>
      </c>
      <c r="N194" s="90">
        <v>1</v>
      </c>
      <c r="O194" s="90" t="s">
        <v>52</v>
      </c>
      <c r="P194" s="90" t="s">
        <v>52</v>
      </c>
      <c r="Q194" s="90" t="s">
        <v>52</v>
      </c>
      <c r="R194" s="90">
        <v>0.5</v>
      </c>
      <c r="S194" s="90" t="s">
        <v>52</v>
      </c>
      <c r="T194" s="60" t="s">
        <v>92</v>
      </c>
      <c r="U194" s="181" t="s">
        <v>721</v>
      </c>
      <c r="V194" s="60" t="s">
        <v>456</v>
      </c>
      <c r="W194" s="60" t="s">
        <v>56</v>
      </c>
      <c r="X194" s="60" t="s">
        <v>57</v>
      </c>
      <c r="Y194" s="60" t="s">
        <v>72</v>
      </c>
      <c r="Z194" s="60">
        <f t="shared" si="14"/>
        <v>525</v>
      </c>
      <c r="AA194" s="60">
        <v>15</v>
      </c>
      <c r="AB194" s="60">
        <v>35</v>
      </c>
      <c r="AC194" s="60" t="s">
        <v>59</v>
      </c>
      <c r="AD194" s="60" t="s">
        <v>542</v>
      </c>
      <c r="AE194" s="60" t="s">
        <v>95</v>
      </c>
      <c r="AF194" s="60" t="s">
        <v>513</v>
      </c>
      <c r="AG194" s="152" t="s">
        <v>543</v>
      </c>
      <c r="AH194" s="120">
        <v>5.9</v>
      </c>
      <c r="AI194" s="120">
        <v>2.2999999999999998</v>
      </c>
      <c r="AJ194" s="120">
        <v>10</v>
      </c>
      <c r="AK194" s="120">
        <v>7.7</v>
      </c>
      <c r="AL194" s="120">
        <v>3.1</v>
      </c>
      <c r="AM194" s="127">
        <v>10</v>
      </c>
      <c r="AN194" s="127"/>
      <c r="AO194" s="127"/>
      <c r="AP194" s="127"/>
      <c r="AQ194" s="127"/>
      <c r="AR194" s="127"/>
      <c r="AS194" s="127"/>
    </row>
    <row r="195" spans="1:45" s="63" customFormat="1" ht="17" customHeight="1" x14ac:dyDescent="0.2">
      <c r="A195" s="122"/>
      <c r="B195" s="123"/>
      <c r="C195" s="122"/>
      <c r="D195" s="89"/>
      <c r="E195" s="89"/>
      <c r="F195" s="89"/>
      <c r="G195" s="89"/>
      <c r="H195" s="279"/>
      <c r="I195" s="279"/>
      <c r="J195" s="31">
        <v>3</v>
      </c>
      <c r="K195" s="34" t="s">
        <v>716</v>
      </c>
      <c r="L195" s="63" t="s">
        <v>68</v>
      </c>
      <c r="M195" s="93">
        <v>11</v>
      </c>
      <c r="N195" s="93">
        <v>1</v>
      </c>
      <c r="O195" s="93" t="s">
        <v>52</v>
      </c>
      <c r="P195" s="93" t="s">
        <v>52</v>
      </c>
      <c r="Q195" s="93" t="s">
        <v>52</v>
      </c>
      <c r="R195" s="93">
        <v>0.5</v>
      </c>
      <c r="S195" s="93" t="s">
        <v>52</v>
      </c>
      <c r="T195" s="63" t="s">
        <v>92</v>
      </c>
      <c r="U195" s="182" t="s">
        <v>722</v>
      </c>
      <c r="V195" s="63" t="s">
        <v>456</v>
      </c>
      <c r="W195" s="63" t="s">
        <v>56</v>
      </c>
      <c r="X195" s="63" t="s">
        <v>57</v>
      </c>
      <c r="Y195" s="63" t="s">
        <v>72</v>
      </c>
      <c r="Z195" s="63">
        <f t="shared" si="14"/>
        <v>525</v>
      </c>
      <c r="AA195" s="63">
        <v>15</v>
      </c>
      <c r="AB195" s="63">
        <v>35</v>
      </c>
      <c r="AC195" s="63" t="s">
        <v>59</v>
      </c>
      <c r="AD195" s="63" t="s">
        <v>542</v>
      </c>
      <c r="AE195" s="138" t="s">
        <v>95</v>
      </c>
      <c r="AF195" s="63" t="s">
        <v>513</v>
      </c>
      <c r="AG195" s="153" t="s">
        <v>543</v>
      </c>
      <c r="AH195" s="124">
        <v>5.5</v>
      </c>
      <c r="AI195" s="124">
        <v>1.5</v>
      </c>
      <c r="AJ195" s="124">
        <v>10</v>
      </c>
      <c r="AK195" s="124">
        <v>13.5</v>
      </c>
      <c r="AL195" s="124">
        <v>2.2999999999999998</v>
      </c>
      <c r="AM195" s="128">
        <v>10</v>
      </c>
      <c r="AN195" s="128"/>
      <c r="AO195" s="128"/>
      <c r="AP195" s="128"/>
      <c r="AQ195" s="128"/>
      <c r="AR195" s="128"/>
      <c r="AS195" s="128"/>
    </row>
    <row r="196" spans="1:45" s="60" customFormat="1" ht="15" customHeight="1" x14ac:dyDescent="0.2">
      <c r="A196" s="116" t="s">
        <v>709</v>
      </c>
      <c r="B196" s="117">
        <v>333</v>
      </c>
      <c r="C196" s="116" t="s">
        <v>47</v>
      </c>
      <c r="D196" s="88" t="s">
        <v>452</v>
      </c>
      <c r="E196" s="88" t="s">
        <v>48</v>
      </c>
      <c r="F196" s="88" t="s">
        <v>228</v>
      </c>
      <c r="G196" s="88" t="s">
        <v>238</v>
      </c>
      <c r="H196" s="278"/>
      <c r="I196" s="278"/>
      <c r="J196" s="11">
        <v>1</v>
      </c>
      <c r="K196" s="1" t="s">
        <v>723</v>
      </c>
      <c r="L196" s="60" t="s">
        <v>52</v>
      </c>
      <c r="M196" s="90">
        <v>8.16</v>
      </c>
      <c r="N196" s="90">
        <v>1</v>
      </c>
      <c r="O196" s="90">
        <f>0.04+0.16+0.08+0.33+0.04+0.08+0.08+0.08</f>
        <v>0.89</v>
      </c>
      <c r="P196" s="90" t="s">
        <v>52</v>
      </c>
      <c r="Q196" s="90" t="s">
        <v>52</v>
      </c>
      <c r="R196" s="90">
        <f>10/24</f>
        <v>0.41666666666666669</v>
      </c>
      <c r="S196" s="90">
        <f>1-0.84</f>
        <v>0.16000000000000003</v>
      </c>
      <c r="T196" s="134" t="s">
        <v>69</v>
      </c>
      <c r="U196" s="181" t="s">
        <v>724</v>
      </c>
      <c r="V196" s="60" t="s">
        <v>464</v>
      </c>
      <c r="W196" s="60" t="s">
        <v>56</v>
      </c>
      <c r="X196" s="60" t="s">
        <v>57</v>
      </c>
      <c r="Y196" s="134" t="s">
        <v>58</v>
      </c>
      <c r="Z196" s="60">
        <f>40*60</f>
        <v>2400</v>
      </c>
      <c r="AA196" s="214">
        <v>25</v>
      </c>
      <c r="AB196" s="214">
        <v>120</v>
      </c>
      <c r="AC196" s="60" t="s">
        <v>59</v>
      </c>
      <c r="AD196" s="60" t="s">
        <v>725</v>
      </c>
      <c r="AE196" s="99" t="s">
        <v>61</v>
      </c>
      <c r="AF196" s="60" t="s">
        <v>726</v>
      </c>
      <c r="AG196" s="152" t="s">
        <v>52</v>
      </c>
      <c r="AH196" s="120">
        <v>7.75</v>
      </c>
      <c r="AI196" s="120">
        <v>2.41</v>
      </c>
      <c r="AJ196" s="120">
        <v>12</v>
      </c>
      <c r="AK196" s="120">
        <v>7.75</v>
      </c>
      <c r="AL196" s="120">
        <v>2.56</v>
      </c>
      <c r="AM196" s="127">
        <v>12</v>
      </c>
      <c r="AN196" s="127"/>
      <c r="AO196" s="127"/>
      <c r="AP196" s="127"/>
      <c r="AQ196" s="127"/>
      <c r="AR196" s="127"/>
      <c r="AS196" s="127"/>
    </row>
    <row r="197" spans="1:45" s="63" customFormat="1" ht="15" customHeight="1" x14ac:dyDescent="0.2">
      <c r="A197" s="122"/>
      <c r="B197" s="123"/>
      <c r="C197" s="122"/>
      <c r="D197" s="89"/>
      <c r="E197" s="89"/>
      <c r="F197" s="89"/>
      <c r="G197" s="89"/>
      <c r="H197" s="279"/>
      <c r="I197" s="279"/>
      <c r="J197" s="31">
        <v>2</v>
      </c>
      <c r="K197" s="34" t="s">
        <v>126</v>
      </c>
      <c r="L197" s="63" t="s">
        <v>52</v>
      </c>
      <c r="M197" s="93">
        <v>8.16</v>
      </c>
      <c r="N197" s="93">
        <v>1</v>
      </c>
      <c r="O197" s="93">
        <f>0.04+0.16+0.08+0.33+0.04+0.08+0.08+0.08</f>
        <v>0.89</v>
      </c>
      <c r="P197" s="93" t="s">
        <v>52</v>
      </c>
      <c r="Q197" s="93" t="s">
        <v>52</v>
      </c>
      <c r="R197" s="93">
        <f>10/24</f>
        <v>0.41666666666666669</v>
      </c>
      <c r="S197" s="93">
        <f>1-0.84</f>
        <v>0.16000000000000003</v>
      </c>
      <c r="T197" s="138" t="s">
        <v>69</v>
      </c>
      <c r="U197" s="182" t="s">
        <v>727</v>
      </c>
      <c r="V197" s="63" t="s">
        <v>464</v>
      </c>
      <c r="W197" s="63" t="s">
        <v>56</v>
      </c>
      <c r="X197" s="63" t="s">
        <v>57</v>
      </c>
      <c r="Y197" s="138" t="s">
        <v>58</v>
      </c>
      <c r="Z197" s="63">
        <f>40*60</f>
        <v>2400</v>
      </c>
      <c r="AA197" s="111">
        <v>25</v>
      </c>
      <c r="AB197" s="111">
        <v>120</v>
      </c>
      <c r="AC197" s="63" t="s">
        <v>59</v>
      </c>
      <c r="AD197" s="63" t="s">
        <v>725</v>
      </c>
      <c r="AE197" s="183" t="s">
        <v>61</v>
      </c>
      <c r="AF197" s="63" t="s">
        <v>726</v>
      </c>
      <c r="AG197" s="153" t="s">
        <v>52</v>
      </c>
      <c r="AH197" s="124">
        <v>8.25</v>
      </c>
      <c r="AI197" s="124">
        <v>2.41</v>
      </c>
      <c r="AJ197" s="124">
        <v>12</v>
      </c>
      <c r="AK197" s="124">
        <v>8.5</v>
      </c>
      <c r="AL197" s="124">
        <v>2.2799999999999998</v>
      </c>
      <c r="AM197" s="128">
        <v>12</v>
      </c>
      <c r="AN197" s="128"/>
      <c r="AO197" s="128"/>
      <c r="AP197" s="128"/>
      <c r="AQ197" s="128"/>
      <c r="AR197" s="128"/>
      <c r="AS197" s="128"/>
    </row>
    <row r="198" spans="1:45" s="60" customFormat="1" ht="15.75" customHeight="1" x14ac:dyDescent="0.2">
      <c r="A198" s="116" t="s">
        <v>710</v>
      </c>
      <c r="B198" s="117">
        <v>334</v>
      </c>
      <c r="C198" s="116" t="s">
        <v>47</v>
      </c>
      <c r="D198" s="88" t="s">
        <v>452</v>
      </c>
      <c r="E198" s="88" t="s">
        <v>66</v>
      </c>
      <c r="F198" s="88" t="s">
        <v>49</v>
      </c>
      <c r="G198" s="88" t="s">
        <v>50</v>
      </c>
      <c r="H198" s="278"/>
      <c r="I198" s="278"/>
      <c r="J198" s="11">
        <v>1</v>
      </c>
      <c r="K198" s="1" t="s">
        <v>728</v>
      </c>
      <c r="L198" s="60">
        <v>3</v>
      </c>
      <c r="M198" s="90" t="s">
        <v>52</v>
      </c>
      <c r="N198" s="90">
        <v>1</v>
      </c>
      <c r="O198" s="90">
        <v>0.13</v>
      </c>
      <c r="P198" s="90">
        <v>0.47</v>
      </c>
      <c r="Q198" s="90">
        <v>0.25</v>
      </c>
      <c r="R198" s="90">
        <v>0.56000000000000005</v>
      </c>
      <c r="S198" s="90">
        <f>1-0.12-0.07</f>
        <v>0.81</v>
      </c>
      <c r="T198" s="60" t="s">
        <v>92</v>
      </c>
      <c r="U198" s="181" t="s">
        <v>729</v>
      </c>
      <c r="V198" s="60" t="s">
        <v>456</v>
      </c>
      <c r="W198" s="60" t="s">
        <v>56</v>
      </c>
      <c r="X198" s="134" t="s">
        <v>730</v>
      </c>
      <c r="Y198" s="134" t="s">
        <v>58</v>
      </c>
      <c r="Z198" s="60">
        <f>29*17.85</f>
        <v>517.65000000000009</v>
      </c>
      <c r="AA198" s="60">
        <v>29</v>
      </c>
      <c r="AB198" s="60">
        <v>17.850000000000001</v>
      </c>
      <c r="AC198" s="60" t="s">
        <v>59</v>
      </c>
      <c r="AD198" s="60" t="s">
        <v>731</v>
      </c>
      <c r="AE198" s="60" t="s">
        <v>61</v>
      </c>
      <c r="AF198" s="60" t="s">
        <v>726</v>
      </c>
      <c r="AG198" s="152" t="s">
        <v>732</v>
      </c>
      <c r="AH198" s="120">
        <v>86.56</v>
      </c>
      <c r="AI198" s="120">
        <v>7.88</v>
      </c>
      <c r="AJ198" s="120">
        <v>100</v>
      </c>
      <c r="AK198" s="120">
        <v>86.13</v>
      </c>
      <c r="AL198" s="120">
        <v>10.74</v>
      </c>
      <c r="AM198" s="184">
        <v>92</v>
      </c>
      <c r="AN198" s="112"/>
      <c r="AO198" s="112"/>
      <c r="AP198" s="112"/>
      <c r="AQ198" s="112"/>
      <c r="AR198" s="112"/>
      <c r="AS198" s="112"/>
    </row>
    <row r="199" spans="1:45" s="63" customFormat="1" ht="15" customHeight="1" x14ac:dyDescent="0.2">
      <c r="A199" s="122"/>
      <c r="B199" s="123"/>
      <c r="C199" s="122"/>
      <c r="D199" s="89"/>
      <c r="E199" s="89"/>
      <c r="F199" s="89"/>
      <c r="G199" s="89"/>
      <c r="H199" s="279"/>
      <c r="I199" s="279"/>
      <c r="J199" s="31">
        <v>2</v>
      </c>
      <c r="K199" s="34" t="s">
        <v>559</v>
      </c>
      <c r="L199" s="63">
        <v>3</v>
      </c>
      <c r="M199" s="93" t="s">
        <v>52</v>
      </c>
      <c r="N199" s="93">
        <v>1</v>
      </c>
      <c r="O199" s="93">
        <v>0.18</v>
      </c>
      <c r="P199" s="93">
        <v>0.52</v>
      </c>
      <c r="Q199" s="93">
        <v>0.27</v>
      </c>
      <c r="R199" s="93">
        <v>0.54</v>
      </c>
      <c r="S199" s="93">
        <f>1-0.23-0.11</f>
        <v>0.66</v>
      </c>
      <c r="T199" s="63" t="s">
        <v>78</v>
      </c>
      <c r="U199" s="182" t="s">
        <v>733</v>
      </c>
      <c r="V199" s="63" t="s">
        <v>235</v>
      </c>
      <c r="W199" s="63" t="s">
        <v>78</v>
      </c>
      <c r="X199" s="215" t="s">
        <v>511</v>
      </c>
      <c r="Y199" s="138" t="s">
        <v>58</v>
      </c>
      <c r="Z199" s="63" t="s">
        <v>78</v>
      </c>
      <c r="AA199" s="63" t="s">
        <v>78</v>
      </c>
      <c r="AB199" s="63" t="s">
        <v>78</v>
      </c>
      <c r="AC199" s="63" t="s">
        <v>59</v>
      </c>
      <c r="AD199" s="63" t="s">
        <v>731</v>
      </c>
      <c r="AE199" s="63" t="s">
        <v>61</v>
      </c>
      <c r="AF199" s="63" t="s">
        <v>726</v>
      </c>
      <c r="AG199" s="153" t="s">
        <v>732</v>
      </c>
      <c r="AH199" s="124">
        <v>84.64</v>
      </c>
      <c r="AI199" s="124">
        <v>8.6300000000000008</v>
      </c>
      <c r="AJ199" s="124">
        <v>100</v>
      </c>
      <c r="AK199" s="124">
        <v>85.14</v>
      </c>
      <c r="AL199" s="124">
        <v>12.78</v>
      </c>
      <c r="AM199" s="185">
        <v>92</v>
      </c>
      <c r="AN199" s="113"/>
      <c r="AO199" s="113"/>
      <c r="AP199" s="113"/>
      <c r="AQ199" s="113"/>
      <c r="AR199" s="113"/>
      <c r="AS199" s="113"/>
    </row>
    <row r="200" spans="1:45" s="60" customFormat="1" x14ac:dyDescent="0.2">
      <c r="A200" s="116" t="s">
        <v>711</v>
      </c>
      <c r="B200" s="117">
        <v>335</v>
      </c>
      <c r="C200" s="116" t="s">
        <v>47</v>
      </c>
      <c r="D200" s="88" t="s">
        <v>452</v>
      </c>
      <c r="E200" s="88" t="s">
        <v>66</v>
      </c>
      <c r="F200" s="88" t="s">
        <v>49</v>
      </c>
      <c r="G200" s="88" t="s">
        <v>238</v>
      </c>
      <c r="H200" s="278"/>
      <c r="I200" s="278"/>
      <c r="J200" s="11">
        <v>1</v>
      </c>
      <c r="K200" s="60" t="s">
        <v>734</v>
      </c>
      <c r="L200" s="60">
        <v>6</v>
      </c>
      <c r="M200" s="90" t="s">
        <v>52</v>
      </c>
      <c r="N200" s="90">
        <v>1</v>
      </c>
      <c r="O200" s="90">
        <v>1</v>
      </c>
      <c r="P200" s="90">
        <v>0.55000000000000004</v>
      </c>
      <c r="Q200" s="90" t="s">
        <v>52</v>
      </c>
      <c r="R200" s="90">
        <v>0.6</v>
      </c>
      <c r="S200" s="90">
        <v>0.35</v>
      </c>
      <c r="T200" s="60" t="s">
        <v>53</v>
      </c>
      <c r="U200" s="92" t="s">
        <v>735</v>
      </c>
      <c r="V200" s="60" t="s">
        <v>456</v>
      </c>
      <c r="W200" s="60" t="s">
        <v>153</v>
      </c>
      <c r="X200" s="60" t="s">
        <v>57</v>
      </c>
      <c r="Y200" s="134" t="s">
        <v>58</v>
      </c>
      <c r="Z200" s="60">
        <f>180*50</f>
        <v>9000</v>
      </c>
      <c r="AA200" s="60">
        <f>5*36</f>
        <v>180</v>
      </c>
      <c r="AB200" s="60">
        <v>50</v>
      </c>
      <c r="AC200" s="60" t="s">
        <v>59</v>
      </c>
      <c r="AD200" s="60" t="s">
        <v>736</v>
      </c>
      <c r="AE200" s="60" t="s">
        <v>61</v>
      </c>
      <c r="AF200" s="60" t="s">
        <v>726</v>
      </c>
      <c r="AG200" s="152" t="s">
        <v>737</v>
      </c>
      <c r="AH200" s="120">
        <v>4.8499999999999996</v>
      </c>
      <c r="AI200" s="120">
        <v>2.11</v>
      </c>
      <c r="AJ200" s="142">
        <v>20</v>
      </c>
      <c r="AK200" s="120">
        <v>7.8</v>
      </c>
      <c r="AL200" s="120">
        <v>2.61</v>
      </c>
      <c r="AM200" s="142">
        <v>20</v>
      </c>
      <c r="AN200" s="120"/>
      <c r="AO200" s="120"/>
      <c r="AP200" s="120"/>
      <c r="AQ200" s="120"/>
      <c r="AR200" s="120"/>
      <c r="AS200" s="120"/>
    </row>
    <row r="201" spans="1:45" s="60" customFormat="1" x14ac:dyDescent="0.2">
      <c r="A201" s="116"/>
      <c r="B201" s="117"/>
      <c r="C201" s="116"/>
      <c r="D201" s="88"/>
      <c r="E201" s="88"/>
      <c r="F201" s="88"/>
      <c r="G201" s="88"/>
      <c r="H201" s="278"/>
      <c r="I201" s="278"/>
      <c r="J201" s="11"/>
      <c r="M201" s="90"/>
      <c r="N201" s="90"/>
      <c r="O201" s="90"/>
      <c r="P201" s="90"/>
      <c r="Q201" s="90"/>
      <c r="R201" s="90"/>
      <c r="S201" s="90"/>
      <c r="U201" s="92"/>
      <c r="AD201" s="60" t="s">
        <v>738</v>
      </c>
      <c r="AE201" s="60" t="s">
        <v>61</v>
      </c>
      <c r="AF201" s="60" t="s">
        <v>726</v>
      </c>
      <c r="AG201" s="152" t="s">
        <v>737</v>
      </c>
      <c r="AH201" s="120">
        <v>7.65</v>
      </c>
      <c r="AI201" s="120">
        <v>2.5</v>
      </c>
      <c r="AJ201" s="120">
        <v>20</v>
      </c>
      <c r="AK201" s="120">
        <v>12</v>
      </c>
      <c r="AL201" s="120">
        <v>4.4400000000000004</v>
      </c>
      <c r="AM201" s="120">
        <v>20</v>
      </c>
      <c r="AN201" s="120"/>
      <c r="AO201" s="120"/>
      <c r="AP201" s="120"/>
      <c r="AQ201" s="120"/>
      <c r="AR201" s="120"/>
      <c r="AS201" s="120"/>
    </row>
    <row r="202" spans="1:45" s="60" customFormat="1" x14ac:dyDescent="0.2">
      <c r="A202" s="116"/>
      <c r="B202" s="117"/>
      <c r="C202" s="116"/>
      <c r="D202" s="88"/>
      <c r="E202" s="88"/>
      <c r="F202" s="88"/>
      <c r="G202" s="88"/>
      <c r="H202" s="278"/>
      <c r="I202" s="278"/>
      <c r="J202" s="11"/>
      <c r="K202" s="1"/>
      <c r="M202" s="90"/>
      <c r="N202" s="90"/>
      <c r="O202" s="90"/>
      <c r="P202" s="90"/>
      <c r="Q202" s="90"/>
      <c r="R202" s="90"/>
      <c r="S202" s="90"/>
      <c r="U202" s="92"/>
      <c r="AD202" s="60" t="s">
        <v>739</v>
      </c>
      <c r="AE202" s="60" t="s">
        <v>61</v>
      </c>
      <c r="AF202" s="60" t="s">
        <v>726</v>
      </c>
      <c r="AG202" s="152" t="s">
        <v>740</v>
      </c>
      <c r="AH202" s="120">
        <v>186.2</v>
      </c>
      <c r="AI202" s="120">
        <v>11.12</v>
      </c>
      <c r="AJ202" s="120">
        <v>20</v>
      </c>
      <c r="AK202" s="120">
        <v>195.79</v>
      </c>
      <c r="AL202" s="120">
        <v>6.9</v>
      </c>
      <c r="AM202" s="120">
        <v>20</v>
      </c>
      <c r="AN202" s="120"/>
      <c r="AO202" s="120"/>
      <c r="AP202" s="120"/>
      <c r="AQ202" s="120"/>
      <c r="AR202" s="120"/>
      <c r="AS202" s="120"/>
    </row>
    <row r="203" spans="1:45" s="60" customFormat="1" ht="18" customHeight="1" x14ac:dyDescent="0.2">
      <c r="A203" s="116"/>
      <c r="B203" s="117"/>
      <c r="C203" s="116"/>
      <c r="D203" s="88"/>
      <c r="E203" s="88"/>
      <c r="F203" s="88"/>
      <c r="G203" s="88"/>
      <c r="H203" s="278"/>
      <c r="I203" s="278"/>
      <c r="J203" s="11">
        <v>2</v>
      </c>
      <c r="K203" s="60" t="s">
        <v>741</v>
      </c>
      <c r="L203" s="60">
        <v>6</v>
      </c>
      <c r="M203" s="90" t="s">
        <v>52</v>
      </c>
      <c r="N203" s="90">
        <v>1</v>
      </c>
      <c r="O203" s="90">
        <v>1</v>
      </c>
      <c r="P203" s="90">
        <v>0.55000000000000004</v>
      </c>
      <c r="Q203" s="90" t="s">
        <v>52</v>
      </c>
      <c r="R203" s="90">
        <v>0.75</v>
      </c>
      <c r="S203" s="90">
        <v>0.35</v>
      </c>
      <c r="T203" s="60" t="s">
        <v>69</v>
      </c>
      <c r="U203" s="92" t="s">
        <v>742</v>
      </c>
      <c r="V203" s="60" t="s">
        <v>80</v>
      </c>
      <c r="W203" s="60" t="s">
        <v>56</v>
      </c>
      <c r="X203" s="60" t="s">
        <v>57</v>
      </c>
      <c r="Y203" s="134" t="s">
        <v>58</v>
      </c>
      <c r="Z203" s="60" t="s">
        <v>78</v>
      </c>
      <c r="AA203" s="60" t="s">
        <v>78</v>
      </c>
      <c r="AB203" s="60" t="s">
        <v>78</v>
      </c>
      <c r="AC203" s="60" t="s">
        <v>59</v>
      </c>
      <c r="AD203" s="60" t="s">
        <v>736</v>
      </c>
      <c r="AE203" s="60" t="s">
        <v>61</v>
      </c>
      <c r="AF203" s="60" t="s">
        <v>726</v>
      </c>
      <c r="AG203" s="152" t="s">
        <v>737</v>
      </c>
      <c r="AH203" s="120">
        <v>4.4000000000000004</v>
      </c>
      <c r="AI203" s="120">
        <v>2.19</v>
      </c>
      <c r="AJ203" s="120">
        <v>20</v>
      </c>
      <c r="AK203" s="120">
        <v>5.2</v>
      </c>
      <c r="AL203" s="120">
        <v>1.85</v>
      </c>
      <c r="AM203" s="120">
        <v>20</v>
      </c>
      <c r="AN203" s="120"/>
      <c r="AO203" s="120"/>
      <c r="AP203" s="120"/>
      <c r="AQ203" s="120"/>
      <c r="AR203" s="120"/>
      <c r="AS203" s="120"/>
    </row>
    <row r="204" spans="1:45" s="60" customFormat="1" x14ac:dyDescent="0.2">
      <c r="A204" s="116"/>
      <c r="B204" s="117"/>
      <c r="C204" s="116"/>
      <c r="D204" s="88"/>
      <c r="E204" s="88"/>
      <c r="F204" s="88"/>
      <c r="G204" s="88"/>
      <c r="H204" s="278"/>
      <c r="I204" s="278"/>
      <c r="J204" s="11"/>
      <c r="K204" s="1"/>
      <c r="M204" s="90"/>
      <c r="N204" s="90"/>
      <c r="O204" s="90"/>
      <c r="P204" s="90"/>
      <c r="Q204" s="90"/>
      <c r="R204" s="90"/>
      <c r="S204" s="90"/>
      <c r="U204" s="92"/>
      <c r="AD204" s="60" t="s">
        <v>738</v>
      </c>
      <c r="AE204" s="60" t="s">
        <v>61</v>
      </c>
      <c r="AF204" s="60" t="s">
        <v>726</v>
      </c>
      <c r="AG204" s="152" t="s">
        <v>737</v>
      </c>
      <c r="AH204" s="120">
        <v>8.5</v>
      </c>
      <c r="AI204" s="120">
        <v>3.02</v>
      </c>
      <c r="AJ204" s="120">
        <v>20</v>
      </c>
      <c r="AK204" s="120">
        <v>7.8</v>
      </c>
      <c r="AL204" s="120">
        <v>4.7</v>
      </c>
      <c r="AM204" s="120">
        <v>20</v>
      </c>
      <c r="AN204" s="120"/>
      <c r="AO204" s="120"/>
      <c r="AP204" s="120"/>
      <c r="AQ204" s="120"/>
      <c r="AR204" s="120"/>
      <c r="AS204" s="120"/>
    </row>
    <row r="205" spans="1:45" s="63" customFormat="1" x14ac:dyDescent="0.2">
      <c r="A205" s="122"/>
      <c r="B205" s="123"/>
      <c r="C205" s="122"/>
      <c r="D205" s="89"/>
      <c r="E205" s="89"/>
      <c r="F205" s="89"/>
      <c r="G205" s="89"/>
      <c r="H205" s="279"/>
      <c r="I205" s="279"/>
      <c r="J205" s="31"/>
      <c r="K205" s="34"/>
      <c r="M205" s="93"/>
      <c r="N205" s="93"/>
      <c r="O205" s="93"/>
      <c r="P205" s="93"/>
      <c r="Q205" s="93"/>
      <c r="R205" s="93"/>
      <c r="S205" s="93"/>
      <c r="U205" s="95"/>
      <c r="AD205" s="63" t="s">
        <v>739</v>
      </c>
      <c r="AE205" s="63" t="s">
        <v>61</v>
      </c>
      <c r="AF205" s="63" t="s">
        <v>726</v>
      </c>
      <c r="AG205" s="153" t="s">
        <v>740</v>
      </c>
      <c r="AH205" s="124">
        <v>185.47</v>
      </c>
      <c r="AI205" s="124">
        <v>9.02</v>
      </c>
      <c r="AJ205" s="124">
        <v>20</v>
      </c>
      <c r="AK205" s="124">
        <v>188.94</v>
      </c>
      <c r="AL205" s="124">
        <v>9.4</v>
      </c>
      <c r="AM205" s="124">
        <v>20</v>
      </c>
      <c r="AN205" s="124"/>
      <c r="AO205" s="124"/>
      <c r="AP205" s="124"/>
      <c r="AQ205" s="124"/>
      <c r="AR205" s="124"/>
      <c r="AS205" s="124"/>
    </row>
    <row r="206" spans="1:45" x14ac:dyDescent="0.2">
      <c r="A206" s="13"/>
      <c r="B206" s="13"/>
      <c r="C206" s="13"/>
      <c r="D206" s="116"/>
      <c r="E206" s="13"/>
      <c r="F206" s="13"/>
      <c r="G206" s="13"/>
      <c r="AF206" s="134"/>
      <c r="AG206" s="134"/>
    </row>
    <row r="207" spans="1:45" x14ac:dyDescent="0.2">
      <c r="A207" s="13"/>
      <c r="B207" s="13"/>
      <c r="C207" s="13"/>
      <c r="D207" s="116"/>
      <c r="E207" s="13"/>
      <c r="F207" s="13"/>
      <c r="G207" s="13"/>
      <c r="AF207" s="134"/>
      <c r="AG207" s="134"/>
    </row>
    <row r="208" spans="1:45" x14ac:dyDescent="0.2">
      <c r="A208" s="13"/>
      <c r="B208" s="13"/>
      <c r="C208" s="13"/>
      <c r="D208" s="116"/>
      <c r="E208" s="13"/>
      <c r="F208" s="13"/>
      <c r="G208" s="13"/>
      <c r="AF208" s="134"/>
      <c r="AG208" s="134"/>
    </row>
    <row r="209" spans="1:33" x14ac:dyDescent="0.2">
      <c r="A209" s="13"/>
      <c r="B209" s="13"/>
      <c r="C209" s="13"/>
      <c r="D209" s="116"/>
      <c r="E209" s="13"/>
      <c r="F209" s="13"/>
      <c r="G209" s="13"/>
      <c r="AF209" s="134"/>
      <c r="AG209" s="134"/>
    </row>
    <row r="210" spans="1:33" x14ac:dyDescent="0.2">
      <c r="A210" s="13"/>
      <c r="B210" s="13"/>
      <c r="C210" s="13"/>
      <c r="D210" s="116"/>
      <c r="E210" s="13"/>
      <c r="F210" s="13"/>
      <c r="G210" s="13"/>
      <c r="AF210" s="134"/>
      <c r="AG210" s="134"/>
    </row>
    <row r="211" spans="1:33" x14ac:dyDescent="0.2">
      <c r="A211" s="13"/>
      <c r="B211" s="13"/>
      <c r="C211" s="13"/>
      <c r="D211" s="116"/>
      <c r="E211" s="13"/>
      <c r="F211" s="13"/>
      <c r="G211" s="13"/>
      <c r="AF211" s="134"/>
      <c r="AG211" s="134"/>
    </row>
    <row r="212" spans="1:33" x14ac:dyDescent="0.2">
      <c r="A212" s="13"/>
      <c r="B212" s="13"/>
      <c r="C212" s="13"/>
      <c r="D212" s="116"/>
      <c r="E212" s="13"/>
      <c r="F212" s="13"/>
      <c r="G212" s="13"/>
      <c r="AF212" s="134"/>
      <c r="AG212" s="134"/>
    </row>
    <row r="213" spans="1:33" x14ac:dyDescent="0.2">
      <c r="A213" s="13"/>
      <c r="B213" s="13"/>
      <c r="C213" s="13"/>
      <c r="D213" s="116"/>
      <c r="E213" s="13"/>
      <c r="F213" s="13"/>
      <c r="G213" s="13"/>
      <c r="AF213" s="134"/>
      <c r="AG213" s="134"/>
    </row>
    <row r="214" spans="1:33" x14ac:dyDescent="0.2">
      <c r="A214" s="13"/>
      <c r="B214" s="13"/>
      <c r="C214" s="13"/>
      <c r="D214" s="116"/>
      <c r="E214" s="13"/>
      <c r="F214" s="13"/>
      <c r="G214" s="13"/>
      <c r="AF214" s="134"/>
      <c r="AG214" s="134"/>
    </row>
    <row r="215" spans="1:33" x14ac:dyDescent="0.2">
      <c r="A215" s="13"/>
      <c r="B215" s="13"/>
      <c r="C215" s="13"/>
      <c r="D215" s="116"/>
      <c r="E215" s="13"/>
      <c r="F215" s="13"/>
      <c r="G215" s="13"/>
      <c r="AF215" s="134"/>
      <c r="AG215" s="134"/>
    </row>
    <row r="216" spans="1:33" x14ac:dyDescent="0.2">
      <c r="A216" s="13"/>
      <c r="B216" s="13"/>
      <c r="C216" s="13"/>
      <c r="D216" s="116"/>
      <c r="E216" s="13"/>
      <c r="F216" s="13"/>
      <c r="G216" s="13"/>
      <c r="AF216" s="134"/>
      <c r="AG216" s="134"/>
    </row>
    <row r="217" spans="1:33" x14ac:dyDescent="0.2">
      <c r="A217" s="13"/>
      <c r="B217" s="13"/>
      <c r="C217" s="13"/>
      <c r="D217" s="116"/>
      <c r="E217" s="13"/>
      <c r="F217" s="13"/>
      <c r="G217" s="13"/>
      <c r="AF217" s="134"/>
      <c r="AG217" s="134"/>
    </row>
    <row r="218" spans="1:33" x14ac:dyDescent="0.2">
      <c r="A218" s="13"/>
      <c r="B218" s="13"/>
      <c r="C218" s="13"/>
      <c r="D218" s="116"/>
      <c r="E218" s="13"/>
      <c r="F218" s="13"/>
      <c r="G218" s="13"/>
      <c r="AF218" s="134"/>
      <c r="AG218" s="134"/>
    </row>
    <row r="219" spans="1:33" x14ac:dyDescent="0.2">
      <c r="A219" s="13"/>
      <c r="B219" s="13"/>
      <c r="C219" s="13"/>
      <c r="D219" s="116"/>
      <c r="E219" s="13"/>
      <c r="F219" s="13"/>
      <c r="G219" s="13"/>
      <c r="AF219" s="134"/>
      <c r="AG219" s="134"/>
    </row>
    <row r="220" spans="1:33" x14ac:dyDescent="0.2">
      <c r="A220" s="13"/>
      <c r="B220" s="13"/>
      <c r="C220" s="13"/>
      <c r="D220" s="116"/>
      <c r="E220" s="13"/>
      <c r="F220" s="13"/>
      <c r="G220" s="13"/>
      <c r="AF220" s="134"/>
      <c r="AG220" s="134"/>
    </row>
    <row r="221" spans="1:33" x14ac:dyDescent="0.2">
      <c r="A221" s="13"/>
      <c r="B221" s="13"/>
      <c r="C221" s="13"/>
      <c r="D221" s="116"/>
      <c r="E221" s="13"/>
      <c r="F221" s="13"/>
      <c r="G221" s="13"/>
      <c r="AF221" s="134"/>
      <c r="AG221" s="134"/>
    </row>
    <row r="222" spans="1:33" x14ac:dyDescent="0.2">
      <c r="A222" s="13"/>
      <c r="B222" s="13"/>
      <c r="C222" s="13"/>
      <c r="D222" s="116"/>
      <c r="E222" s="13"/>
      <c r="F222" s="13"/>
      <c r="G222" s="13"/>
      <c r="AF222" s="134"/>
      <c r="AG222" s="134"/>
    </row>
    <row r="223" spans="1:33" x14ac:dyDescent="0.2">
      <c r="A223" s="13"/>
      <c r="B223" s="13"/>
      <c r="C223" s="13"/>
      <c r="D223" s="116"/>
      <c r="E223" s="13"/>
      <c r="F223" s="13"/>
      <c r="G223" s="13"/>
      <c r="AF223" s="134"/>
      <c r="AG223" s="134"/>
    </row>
    <row r="224" spans="1:33" x14ac:dyDescent="0.2">
      <c r="A224" s="13"/>
      <c r="B224" s="13"/>
      <c r="C224" s="13"/>
      <c r="D224" s="116"/>
      <c r="E224" s="13"/>
      <c r="F224" s="13"/>
      <c r="G224" s="13"/>
      <c r="AF224" s="134"/>
      <c r="AG224" s="134"/>
    </row>
    <row r="225" spans="1:33" x14ac:dyDescent="0.2">
      <c r="A225" s="13"/>
      <c r="B225" s="13"/>
      <c r="C225" s="13"/>
      <c r="D225" s="116"/>
      <c r="E225" s="13"/>
      <c r="F225" s="13"/>
      <c r="G225" s="13"/>
      <c r="AF225" s="134"/>
      <c r="AG225" s="134"/>
    </row>
    <row r="226" spans="1:33" x14ac:dyDescent="0.2">
      <c r="A226" s="13"/>
      <c r="B226" s="13"/>
      <c r="C226" s="13"/>
      <c r="D226" s="116"/>
      <c r="E226" s="13"/>
      <c r="F226" s="13"/>
      <c r="G226" s="13"/>
      <c r="AF226" s="134"/>
      <c r="AG226" s="134"/>
    </row>
    <row r="227" spans="1:33" x14ac:dyDescent="0.2">
      <c r="A227" s="13"/>
      <c r="B227" s="13"/>
      <c r="C227" s="13"/>
      <c r="D227" s="116"/>
      <c r="E227" s="13"/>
      <c r="F227" s="13"/>
      <c r="G227" s="13"/>
      <c r="AF227" s="134"/>
      <c r="AG227" s="134"/>
    </row>
    <row r="228" spans="1:33" x14ac:dyDescent="0.2">
      <c r="A228" s="13"/>
      <c r="B228" s="13"/>
      <c r="C228" s="13"/>
      <c r="D228" s="116"/>
      <c r="E228" s="13"/>
      <c r="F228" s="13"/>
      <c r="G228" s="13"/>
      <c r="AF228" s="134"/>
      <c r="AG228" s="134"/>
    </row>
    <row r="229" spans="1:33" x14ac:dyDescent="0.2">
      <c r="A229" s="13"/>
      <c r="B229" s="13"/>
      <c r="C229" s="13"/>
      <c r="D229" s="116"/>
      <c r="E229" s="13"/>
      <c r="F229" s="13"/>
      <c r="G229" s="13"/>
      <c r="AF229" s="134"/>
      <c r="AG229" s="134"/>
    </row>
    <row r="230" spans="1:33" x14ac:dyDescent="0.2">
      <c r="A230" s="13"/>
      <c r="B230" s="13"/>
      <c r="C230" s="13"/>
      <c r="D230" s="116"/>
      <c r="E230" s="13"/>
      <c r="F230" s="13"/>
      <c r="G230" s="13"/>
      <c r="AF230" s="134"/>
      <c r="AG230" s="134"/>
    </row>
    <row r="231" spans="1:33" x14ac:dyDescent="0.2">
      <c r="A231" s="13"/>
      <c r="B231" s="13"/>
      <c r="C231" s="13"/>
      <c r="D231" s="116"/>
      <c r="E231" s="13"/>
      <c r="F231" s="13"/>
      <c r="G231" s="13"/>
      <c r="AF231" s="134"/>
      <c r="AG231" s="134"/>
    </row>
    <row r="232" spans="1:33" x14ac:dyDescent="0.2">
      <c r="A232" s="13"/>
      <c r="B232" s="13"/>
      <c r="C232" s="13"/>
      <c r="D232" s="116"/>
      <c r="E232" s="13"/>
      <c r="F232" s="13"/>
      <c r="G232" s="13"/>
      <c r="AF232" s="134"/>
      <c r="AG232" s="134"/>
    </row>
    <row r="233" spans="1:33" x14ac:dyDescent="0.2">
      <c r="A233" s="13"/>
      <c r="B233" s="13"/>
      <c r="C233" s="13"/>
      <c r="D233" s="116"/>
      <c r="E233" s="13"/>
      <c r="F233" s="13"/>
      <c r="G233" s="13"/>
      <c r="AF233" s="134"/>
      <c r="AG233" s="134"/>
    </row>
    <row r="234" spans="1:33" x14ac:dyDescent="0.2">
      <c r="A234" s="13"/>
      <c r="B234" s="13"/>
      <c r="C234" s="13"/>
      <c r="D234" s="116"/>
      <c r="E234" s="13"/>
      <c r="F234" s="13"/>
      <c r="G234" s="13"/>
      <c r="AF234" s="134"/>
      <c r="AG234" s="134"/>
    </row>
    <row r="235" spans="1:33" x14ac:dyDescent="0.2">
      <c r="A235" s="13"/>
      <c r="B235" s="13"/>
      <c r="C235" s="13"/>
      <c r="D235" s="116"/>
      <c r="E235" s="13"/>
      <c r="F235" s="13"/>
      <c r="G235" s="13"/>
      <c r="AF235" s="134"/>
      <c r="AG235" s="134"/>
    </row>
    <row r="236" spans="1:33" x14ac:dyDescent="0.2">
      <c r="A236" s="13"/>
      <c r="B236" s="13"/>
      <c r="C236" s="13"/>
      <c r="D236" s="116"/>
      <c r="E236" s="13"/>
      <c r="F236" s="13"/>
      <c r="G236" s="13"/>
      <c r="AF236" s="134"/>
      <c r="AG236" s="134"/>
    </row>
    <row r="237" spans="1:33" x14ac:dyDescent="0.2">
      <c r="A237" s="13"/>
      <c r="B237" s="13"/>
      <c r="C237" s="13"/>
      <c r="D237" s="116"/>
      <c r="E237" s="13"/>
      <c r="F237" s="13"/>
      <c r="G237" s="13"/>
      <c r="AF237" s="134"/>
      <c r="AG237" s="134"/>
    </row>
    <row r="238" spans="1:33" x14ac:dyDescent="0.2">
      <c r="A238" s="13"/>
      <c r="B238" s="13"/>
      <c r="C238" s="13"/>
      <c r="D238" s="116"/>
      <c r="E238" s="13"/>
      <c r="F238" s="13"/>
      <c r="G238" s="13"/>
      <c r="AF238" s="134"/>
      <c r="AG238" s="134"/>
    </row>
    <row r="239" spans="1:33" x14ac:dyDescent="0.2">
      <c r="A239" s="13"/>
      <c r="B239" s="13"/>
      <c r="C239" s="13"/>
      <c r="D239" s="116"/>
      <c r="E239" s="13"/>
      <c r="F239" s="13"/>
      <c r="G239" s="13"/>
      <c r="AF239" s="134"/>
      <c r="AG239" s="134"/>
    </row>
    <row r="240" spans="1:33" x14ac:dyDescent="0.2">
      <c r="A240" s="13"/>
      <c r="B240" s="13"/>
      <c r="C240" s="13"/>
      <c r="D240" s="116"/>
      <c r="E240" s="13"/>
      <c r="F240" s="13"/>
      <c r="G240" s="13"/>
      <c r="AF240" s="134"/>
      <c r="AG240" s="134"/>
    </row>
    <row r="241" spans="1:33" x14ac:dyDescent="0.2">
      <c r="A241" s="13"/>
      <c r="B241" s="13"/>
      <c r="C241" s="13"/>
      <c r="D241" s="116"/>
      <c r="E241" s="13"/>
      <c r="F241" s="13"/>
      <c r="G241" s="13"/>
      <c r="AF241" s="134"/>
      <c r="AG241" s="134"/>
    </row>
    <row r="242" spans="1:33" x14ac:dyDescent="0.2">
      <c r="A242" s="13"/>
      <c r="B242" s="13"/>
      <c r="C242" s="13"/>
      <c r="D242" s="116"/>
      <c r="E242" s="13"/>
      <c r="F242" s="13"/>
      <c r="G242" s="13"/>
      <c r="AF242" s="134"/>
      <c r="AG242" s="134"/>
    </row>
    <row r="243" spans="1:33" x14ac:dyDescent="0.2">
      <c r="A243" s="13"/>
      <c r="B243" s="13"/>
      <c r="C243" s="13"/>
      <c r="D243" s="116"/>
      <c r="E243" s="13"/>
      <c r="F243" s="13"/>
      <c r="G243" s="13"/>
      <c r="AF243" s="134"/>
      <c r="AG243" s="134"/>
    </row>
    <row r="244" spans="1:33" x14ac:dyDescent="0.2">
      <c r="A244" s="13"/>
      <c r="B244" s="13"/>
      <c r="C244" s="13"/>
      <c r="D244" s="116"/>
      <c r="E244" s="13"/>
      <c r="F244" s="13"/>
      <c r="G244" s="13"/>
      <c r="AF244" s="134"/>
      <c r="AG244" s="134"/>
    </row>
    <row r="245" spans="1:33" x14ac:dyDescent="0.2">
      <c r="A245" s="13"/>
      <c r="B245" s="13"/>
      <c r="C245" s="13"/>
      <c r="D245" s="116"/>
      <c r="E245" s="13"/>
      <c r="F245" s="13"/>
      <c r="G245" s="13"/>
      <c r="AF245" s="134"/>
      <c r="AG245" s="134"/>
    </row>
    <row r="246" spans="1:33" x14ac:dyDescent="0.2">
      <c r="A246" s="13"/>
      <c r="B246" s="13"/>
      <c r="C246" s="13"/>
      <c r="D246" s="116"/>
      <c r="E246" s="13"/>
      <c r="F246" s="13"/>
      <c r="G246" s="13"/>
      <c r="AF246" s="134"/>
      <c r="AG246" s="134"/>
    </row>
    <row r="247" spans="1:33" x14ac:dyDescent="0.2">
      <c r="A247" s="13"/>
      <c r="B247" s="13"/>
      <c r="C247" s="13"/>
      <c r="D247" s="116"/>
      <c r="E247" s="13"/>
      <c r="F247" s="13"/>
      <c r="G247" s="13"/>
      <c r="AF247" s="134"/>
      <c r="AG247" s="134"/>
    </row>
    <row r="248" spans="1:33" x14ac:dyDescent="0.2">
      <c r="A248" s="13"/>
      <c r="B248" s="13"/>
      <c r="C248" s="13"/>
      <c r="D248" s="116"/>
      <c r="E248" s="13"/>
      <c r="F248" s="13"/>
      <c r="G248" s="13"/>
      <c r="AF248" s="134"/>
      <c r="AG248" s="134"/>
    </row>
    <row r="249" spans="1:33" x14ac:dyDescent="0.2">
      <c r="A249" s="13"/>
      <c r="B249" s="13"/>
      <c r="C249" s="13"/>
      <c r="D249" s="116"/>
      <c r="E249" s="13"/>
      <c r="F249" s="13"/>
      <c r="G249" s="13"/>
      <c r="AF249" s="134"/>
      <c r="AG249" s="134"/>
    </row>
    <row r="250" spans="1:33" x14ac:dyDescent="0.2">
      <c r="A250" s="13"/>
      <c r="B250" s="13"/>
      <c r="C250" s="13"/>
      <c r="D250" s="116"/>
      <c r="E250" s="13"/>
      <c r="F250" s="13"/>
      <c r="G250" s="13"/>
      <c r="AF250" s="134"/>
      <c r="AG250" s="134"/>
    </row>
    <row r="251" spans="1:33" x14ac:dyDescent="0.2">
      <c r="A251" s="13"/>
      <c r="B251" s="13"/>
      <c r="C251" s="13"/>
      <c r="D251" s="116"/>
      <c r="E251" s="13"/>
      <c r="F251" s="13"/>
      <c r="G251" s="13"/>
      <c r="AF251" s="134"/>
      <c r="AG251" s="134"/>
    </row>
    <row r="252" spans="1:33" x14ac:dyDescent="0.2">
      <c r="A252" s="13"/>
      <c r="B252" s="13"/>
      <c r="C252" s="13"/>
      <c r="D252" s="116"/>
      <c r="E252" s="13"/>
      <c r="F252" s="13"/>
      <c r="G252" s="13"/>
      <c r="AF252" s="134"/>
      <c r="AG252" s="134"/>
    </row>
    <row r="253" spans="1:33" x14ac:dyDescent="0.2">
      <c r="A253" s="13"/>
      <c r="B253" s="13"/>
      <c r="C253" s="13"/>
      <c r="D253" s="116"/>
      <c r="E253" s="13"/>
      <c r="F253" s="13"/>
      <c r="G253" s="13"/>
      <c r="AF253" s="134"/>
      <c r="AG253" s="134"/>
    </row>
    <row r="254" spans="1:33" x14ac:dyDescent="0.2">
      <c r="A254" s="13"/>
      <c r="B254" s="13"/>
      <c r="C254" s="13"/>
      <c r="D254" s="116"/>
      <c r="E254" s="13"/>
      <c r="F254" s="13"/>
      <c r="G254" s="13"/>
      <c r="AF254" s="134"/>
      <c r="AG254" s="134"/>
    </row>
    <row r="255" spans="1:33" x14ac:dyDescent="0.2">
      <c r="A255" s="13"/>
      <c r="B255" s="13"/>
      <c r="C255" s="13"/>
      <c r="D255" s="116"/>
      <c r="E255" s="13"/>
      <c r="F255" s="13"/>
      <c r="G255" s="13"/>
      <c r="AF255" s="134"/>
      <c r="AG255" s="134"/>
    </row>
    <row r="256" spans="1:33" x14ac:dyDescent="0.2">
      <c r="A256" s="13"/>
      <c r="B256" s="13"/>
      <c r="C256" s="13"/>
      <c r="D256" s="116"/>
      <c r="E256" s="13"/>
      <c r="F256" s="13"/>
      <c r="G256" s="13"/>
      <c r="AF256" s="134"/>
      <c r="AG256" s="134"/>
    </row>
    <row r="257" spans="1:33" x14ac:dyDescent="0.2">
      <c r="A257" s="13"/>
      <c r="B257" s="13"/>
      <c r="C257" s="13"/>
      <c r="D257" s="116"/>
      <c r="E257" s="13"/>
      <c r="F257" s="13"/>
      <c r="G257" s="13"/>
      <c r="AF257" s="134"/>
      <c r="AG257" s="134"/>
    </row>
    <row r="258" spans="1:33" x14ac:dyDescent="0.2">
      <c r="A258" s="13"/>
      <c r="B258" s="13"/>
      <c r="C258" s="13"/>
      <c r="D258" s="116"/>
      <c r="E258" s="13"/>
      <c r="F258" s="13"/>
      <c r="G258" s="13"/>
      <c r="AF258" s="134"/>
      <c r="AG258" s="134"/>
    </row>
    <row r="259" spans="1:33" x14ac:dyDescent="0.2">
      <c r="A259" s="13"/>
      <c r="B259" s="13"/>
      <c r="C259" s="13"/>
      <c r="D259" s="116"/>
      <c r="E259" s="13"/>
      <c r="F259" s="13"/>
      <c r="G259" s="13"/>
      <c r="AF259" s="134"/>
      <c r="AG259" s="134"/>
    </row>
    <row r="260" spans="1:33" x14ac:dyDescent="0.2">
      <c r="A260" s="13"/>
      <c r="B260" s="13"/>
      <c r="C260" s="13"/>
      <c r="D260" s="116"/>
      <c r="E260" s="13"/>
      <c r="F260" s="13"/>
      <c r="G260" s="13"/>
      <c r="AF260" s="134"/>
      <c r="AG260" s="134"/>
    </row>
    <row r="261" spans="1:33" x14ac:dyDescent="0.2">
      <c r="A261" s="13"/>
      <c r="B261" s="13"/>
      <c r="C261" s="13"/>
      <c r="D261" s="116"/>
      <c r="E261" s="13"/>
      <c r="F261" s="13"/>
      <c r="G261" s="13"/>
      <c r="AF261" s="134"/>
      <c r="AG261" s="134"/>
    </row>
    <row r="262" spans="1:33" x14ac:dyDescent="0.2">
      <c r="A262" s="13"/>
      <c r="B262" s="13"/>
      <c r="C262" s="13"/>
      <c r="D262" s="116"/>
      <c r="E262" s="13"/>
      <c r="F262" s="13"/>
      <c r="G262" s="13"/>
      <c r="AF262" s="134"/>
      <c r="AG262" s="134"/>
    </row>
    <row r="263" spans="1:33" x14ac:dyDescent="0.2">
      <c r="A263" s="13"/>
      <c r="B263" s="13"/>
      <c r="C263" s="13"/>
      <c r="D263" s="116"/>
      <c r="E263" s="13"/>
      <c r="F263" s="13"/>
      <c r="G263" s="13"/>
      <c r="AF263" s="134"/>
      <c r="AG263" s="134"/>
    </row>
    <row r="264" spans="1:33" x14ac:dyDescent="0.2">
      <c r="A264" s="13"/>
      <c r="B264" s="13"/>
      <c r="C264" s="13"/>
      <c r="D264" s="116"/>
      <c r="E264" s="13"/>
      <c r="F264" s="13"/>
      <c r="G264" s="13"/>
      <c r="AF264" s="134"/>
      <c r="AG264" s="134"/>
    </row>
    <row r="265" spans="1:33" x14ac:dyDescent="0.2">
      <c r="A265" s="13"/>
      <c r="B265" s="13"/>
      <c r="C265" s="13"/>
      <c r="D265" s="116"/>
      <c r="E265" s="13"/>
      <c r="F265" s="13"/>
      <c r="G265" s="13"/>
      <c r="AF265" s="134"/>
      <c r="AG265" s="134"/>
    </row>
    <row r="266" spans="1:33" x14ac:dyDescent="0.2">
      <c r="A266" s="13"/>
      <c r="B266" s="13"/>
      <c r="C266" s="13"/>
      <c r="D266" s="116"/>
      <c r="E266" s="13"/>
      <c r="F266" s="13"/>
      <c r="G266" s="13"/>
      <c r="AF266" s="134"/>
      <c r="AG266" s="134"/>
    </row>
    <row r="267" spans="1:33" x14ac:dyDescent="0.2">
      <c r="A267" s="13"/>
      <c r="B267" s="13"/>
      <c r="C267" s="13"/>
      <c r="D267" s="116"/>
      <c r="E267" s="13"/>
      <c r="F267" s="13"/>
      <c r="G267" s="13"/>
      <c r="AF267" s="134"/>
      <c r="AG267" s="134"/>
    </row>
    <row r="268" spans="1:33" x14ac:dyDescent="0.2">
      <c r="A268" s="13"/>
      <c r="B268" s="13"/>
      <c r="C268" s="13"/>
      <c r="D268" s="116"/>
      <c r="E268" s="13"/>
      <c r="F268" s="13"/>
      <c r="G268" s="13"/>
      <c r="AF268" s="134"/>
      <c r="AG268" s="134"/>
    </row>
    <row r="269" spans="1:33" x14ac:dyDescent="0.2">
      <c r="A269" s="13"/>
      <c r="B269" s="13"/>
      <c r="C269" s="13"/>
      <c r="D269" s="116"/>
      <c r="E269" s="13"/>
      <c r="F269" s="13"/>
      <c r="G269" s="13"/>
      <c r="AF269" s="134"/>
      <c r="AG269" s="134"/>
    </row>
    <row r="270" spans="1:33" x14ac:dyDescent="0.2">
      <c r="A270" s="13"/>
      <c r="B270" s="13"/>
      <c r="C270" s="13"/>
      <c r="D270" s="116"/>
      <c r="E270" s="13"/>
      <c r="F270" s="13"/>
      <c r="G270" s="13"/>
      <c r="AF270" s="134"/>
      <c r="AG270" s="134"/>
    </row>
    <row r="271" spans="1:33" x14ac:dyDescent="0.2">
      <c r="A271" s="13"/>
      <c r="B271" s="13"/>
      <c r="C271" s="13"/>
      <c r="D271" s="116"/>
      <c r="E271" s="13"/>
      <c r="F271" s="13"/>
      <c r="G271" s="13"/>
      <c r="AF271" s="134"/>
      <c r="AG271" s="134"/>
    </row>
    <row r="272" spans="1:33" x14ac:dyDescent="0.2">
      <c r="A272" s="13"/>
      <c r="B272" s="13"/>
      <c r="C272" s="13"/>
      <c r="D272" s="116"/>
      <c r="E272" s="13"/>
      <c r="F272" s="13"/>
      <c r="G272" s="13"/>
      <c r="AF272" s="134"/>
      <c r="AG272" s="134"/>
    </row>
    <row r="273" spans="1:33" x14ac:dyDescent="0.2">
      <c r="A273" s="13"/>
      <c r="B273" s="13"/>
      <c r="C273" s="13"/>
      <c r="D273" s="116"/>
      <c r="E273" s="13"/>
      <c r="F273" s="13"/>
      <c r="G273" s="13"/>
      <c r="AF273" s="134"/>
      <c r="AG273" s="134"/>
    </row>
    <row r="274" spans="1:33" x14ac:dyDescent="0.2">
      <c r="A274" s="13"/>
      <c r="B274" s="13"/>
      <c r="C274" s="13"/>
      <c r="D274" s="116"/>
      <c r="E274" s="13"/>
      <c r="F274" s="13"/>
      <c r="G274" s="13"/>
      <c r="AF274" s="134"/>
      <c r="AG274" s="134"/>
    </row>
    <row r="275" spans="1:33" x14ac:dyDescent="0.2">
      <c r="A275" s="13"/>
      <c r="B275" s="13"/>
      <c r="C275" s="13"/>
      <c r="D275" s="116"/>
      <c r="E275" s="13"/>
      <c r="F275" s="13"/>
      <c r="G275" s="13"/>
      <c r="AF275" s="134"/>
      <c r="AG275" s="134"/>
    </row>
    <row r="276" spans="1:33" x14ac:dyDescent="0.2">
      <c r="A276" s="13"/>
      <c r="B276" s="13"/>
      <c r="C276" s="13"/>
      <c r="D276" s="116"/>
      <c r="E276" s="13"/>
      <c r="F276" s="13"/>
      <c r="G276" s="13"/>
      <c r="AF276" s="134"/>
      <c r="AG276" s="134"/>
    </row>
    <row r="277" spans="1:33" x14ac:dyDescent="0.2">
      <c r="A277" s="13"/>
      <c r="B277" s="13"/>
      <c r="C277" s="13"/>
      <c r="D277" s="116"/>
      <c r="E277" s="13"/>
      <c r="F277" s="13"/>
      <c r="G277" s="13"/>
      <c r="AF277" s="134"/>
      <c r="AG277" s="134"/>
    </row>
    <row r="278" spans="1:33" x14ac:dyDescent="0.2">
      <c r="A278" s="13"/>
      <c r="B278" s="13"/>
      <c r="C278" s="13"/>
      <c r="D278" s="116"/>
      <c r="E278" s="13"/>
      <c r="F278" s="13"/>
      <c r="G278" s="13"/>
      <c r="AF278" s="134"/>
      <c r="AG278" s="134"/>
    </row>
    <row r="279" spans="1:33" x14ac:dyDescent="0.2">
      <c r="A279" s="13"/>
      <c r="B279" s="13"/>
      <c r="C279" s="13"/>
      <c r="D279" s="116"/>
      <c r="E279" s="13"/>
      <c r="F279" s="13"/>
      <c r="G279" s="13"/>
      <c r="AF279" s="134"/>
      <c r="AG279" s="134"/>
    </row>
    <row r="280" spans="1:33" x14ac:dyDescent="0.2">
      <c r="A280" s="13"/>
      <c r="B280" s="13"/>
      <c r="C280" s="13"/>
      <c r="D280" s="116"/>
      <c r="E280" s="13"/>
      <c r="F280" s="13"/>
      <c r="G280" s="13"/>
      <c r="AF280" s="134"/>
      <c r="AG280" s="134"/>
    </row>
    <row r="281" spans="1:33" x14ac:dyDescent="0.2">
      <c r="A281" s="13"/>
      <c r="B281" s="13"/>
      <c r="C281" s="13"/>
      <c r="D281" s="116"/>
      <c r="E281" s="13"/>
      <c r="F281" s="13"/>
      <c r="G281" s="13"/>
      <c r="AF281" s="134"/>
      <c r="AG281" s="134"/>
    </row>
    <row r="282" spans="1:33" x14ac:dyDescent="0.2">
      <c r="A282" s="13"/>
      <c r="B282" s="13"/>
      <c r="C282" s="13"/>
      <c r="D282" s="116"/>
      <c r="E282" s="13"/>
      <c r="F282" s="13"/>
      <c r="G282" s="13"/>
      <c r="AF282" s="134"/>
      <c r="AG282" s="134"/>
    </row>
    <row r="283" spans="1:33" x14ac:dyDescent="0.2">
      <c r="A283" s="13"/>
      <c r="B283" s="13"/>
      <c r="C283" s="13"/>
      <c r="D283" s="116"/>
      <c r="E283" s="13"/>
      <c r="F283" s="13"/>
      <c r="G283" s="13"/>
      <c r="AF283" s="134"/>
      <c r="AG283" s="134"/>
    </row>
    <row r="284" spans="1:33" x14ac:dyDescent="0.2">
      <c r="A284" s="13"/>
      <c r="B284" s="13"/>
      <c r="C284" s="13"/>
      <c r="D284" s="116"/>
      <c r="E284" s="13"/>
      <c r="F284" s="13"/>
      <c r="G284" s="13"/>
      <c r="AF284" s="134"/>
      <c r="AG284" s="134"/>
    </row>
    <row r="285" spans="1:33" x14ac:dyDescent="0.2">
      <c r="A285" s="13"/>
      <c r="B285" s="13"/>
      <c r="C285" s="13"/>
      <c r="D285" s="116"/>
      <c r="E285" s="13"/>
      <c r="F285" s="13"/>
      <c r="G285" s="13"/>
      <c r="AF285" s="134"/>
      <c r="AG285" s="134"/>
    </row>
    <row r="286" spans="1:33" x14ac:dyDescent="0.2">
      <c r="A286" s="13"/>
      <c r="B286" s="13"/>
      <c r="C286" s="13"/>
      <c r="D286" s="116"/>
      <c r="E286" s="13"/>
      <c r="F286" s="13"/>
      <c r="G286" s="13"/>
      <c r="AF286" s="134"/>
      <c r="AG286" s="134"/>
    </row>
    <row r="287" spans="1:33" x14ac:dyDescent="0.2">
      <c r="A287" s="13"/>
      <c r="B287" s="13"/>
      <c r="C287" s="13"/>
      <c r="D287" s="116"/>
      <c r="E287" s="13"/>
      <c r="F287" s="13"/>
      <c r="G287" s="13"/>
      <c r="AF287" s="134"/>
      <c r="AG287" s="134"/>
    </row>
    <row r="288" spans="1:33" x14ac:dyDescent="0.2">
      <c r="A288" s="13"/>
      <c r="B288" s="13"/>
      <c r="C288" s="13"/>
      <c r="D288" s="116"/>
      <c r="E288" s="13"/>
      <c r="F288" s="13"/>
      <c r="G288" s="13"/>
      <c r="AF288" s="134"/>
      <c r="AG288" s="134"/>
    </row>
    <row r="289" spans="1:33" x14ac:dyDescent="0.2">
      <c r="A289" s="13"/>
      <c r="B289" s="13"/>
      <c r="C289" s="13"/>
      <c r="D289" s="116"/>
      <c r="E289" s="13"/>
      <c r="F289" s="13"/>
      <c r="G289" s="13"/>
      <c r="AF289" s="134"/>
      <c r="AG289" s="134"/>
    </row>
    <row r="290" spans="1:33" x14ac:dyDescent="0.2">
      <c r="A290" s="13"/>
      <c r="B290" s="13"/>
      <c r="C290" s="13"/>
      <c r="D290" s="116"/>
      <c r="E290" s="13"/>
      <c r="F290" s="13"/>
      <c r="G290" s="13"/>
      <c r="AF290" s="134"/>
      <c r="AG290" s="134"/>
    </row>
    <row r="291" spans="1:33" x14ac:dyDescent="0.2">
      <c r="A291" s="13"/>
      <c r="B291" s="13"/>
      <c r="C291" s="13"/>
      <c r="D291" s="116"/>
      <c r="E291" s="13"/>
      <c r="F291" s="13"/>
      <c r="G291" s="13"/>
      <c r="AF291" s="134"/>
      <c r="AG291" s="134"/>
    </row>
    <row r="292" spans="1:33" x14ac:dyDescent="0.2">
      <c r="A292" s="13"/>
      <c r="B292" s="13"/>
      <c r="C292" s="13"/>
      <c r="D292" s="116"/>
      <c r="E292" s="13"/>
      <c r="F292" s="13"/>
      <c r="G292" s="13"/>
      <c r="AF292" s="134"/>
      <c r="AG292" s="134"/>
    </row>
    <row r="293" spans="1:33" x14ac:dyDescent="0.2">
      <c r="A293" s="13"/>
      <c r="B293" s="13"/>
      <c r="C293" s="13"/>
      <c r="D293" s="116"/>
      <c r="E293" s="13"/>
      <c r="F293" s="13"/>
      <c r="G293" s="13"/>
      <c r="AF293" s="134"/>
      <c r="AG293" s="134"/>
    </row>
    <row r="294" spans="1:33" x14ac:dyDescent="0.2">
      <c r="A294" s="13"/>
      <c r="B294" s="13"/>
      <c r="C294" s="13"/>
      <c r="D294" s="116"/>
      <c r="E294" s="13"/>
      <c r="F294" s="13"/>
      <c r="G294" s="13"/>
      <c r="AF294" s="134"/>
      <c r="AG294" s="134"/>
    </row>
    <row r="295" spans="1:33" x14ac:dyDescent="0.2">
      <c r="A295" s="13"/>
      <c r="B295" s="13"/>
      <c r="C295" s="13"/>
      <c r="D295" s="116"/>
      <c r="E295" s="13"/>
      <c r="F295" s="13"/>
      <c r="G295" s="13"/>
      <c r="AF295" s="134"/>
      <c r="AG295" s="134"/>
    </row>
    <row r="296" spans="1:33" x14ac:dyDescent="0.2">
      <c r="A296" s="13"/>
      <c r="B296" s="13"/>
      <c r="C296" s="13"/>
      <c r="D296" s="116"/>
      <c r="E296" s="13"/>
      <c r="F296" s="13"/>
      <c r="G296" s="13"/>
      <c r="AF296" s="134"/>
      <c r="AG296" s="134"/>
    </row>
    <row r="297" spans="1:33" x14ac:dyDescent="0.2">
      <c r="A297" s="13"/>
      <c r="B297" s="13"/>
      <c r="C297" s="13"/>
      <c r="D297" s="116"/>
      <c r="E297" s="13"/>
      <c r="F297" s="13"/>
      <c r="G297" s="13"/>
      <c r="AF297" s="134"/>
      <c r="AG297" s="134"/>
    </row>
    <row r="298" spans="1:33" x14ac:dyDescent="0.2">
      <c r="A298" s="13"/>
      <c r="B298" s="13"/>
      <c r="C298" s="13"/>
      <c r="D298" s="116"/>
      <c r="E298" s="13"/>
      <c r="F298" s="13"/>
      <c r="G298" s="13"/>
      <c r="AF298" s="134"/>
      <c r="AG298" s="134"/>
    </row>
    <row r="299" spans="1:33" x14ac:dyDescent="0.2">
      <c r="A299" s="13"/>
      <c r="B299" s="13"/>
      <c r="C299" s="13"/>
      <c r="D299" s="116"/>
      <c r="E299" s="13"/>
      <c r="F299" s="13"/>
      <c r="G299" s="13"/>
      <c r="AF299" s="134"/>
      <c r="AG299" s="134"/>
    </row>
    <row r="300" spans="1:33" x14ac:dyDescent="0.2">
      <c r="A300" s="13"/>
      <c r="B300" s="13"/>
      <c r="C300" s="13"/>
      <c r="D300" s="116"/>
      <c r="E300" s="13"/>
      <c r="F300" s="13"/>
      <c r="G300" s="13"/>
      <c r="AF300" s="134"/>
      <c r="AG300" s="134"/>
    </row>
    <row r="301" spans="1:33" x14ac:dyDescent="0.2">
      <c r="A301" s="13"/>
      <c r="B301" s="13"/>
      <c r="C301" s="13"/>
      <c r="D301" s="116"/>
      <c r="E301" s="13"/>
      <c r="F301" s="13"/>
      <c r="G301" s="13"/>
      <c r="AF301" s="134"/>
      <c r="AG301" s="134"/>
    </row>
    <row r="302" spans="1:33" x14ac:dyDescent="0.2">
      <c r="A302" s="13"/>
      <c r="B302" s="13"/>
      <c r="C302" s="13"/>
      <c r="D302" s="116"/>
      <c r="E302" s="13"/>
      <c r="F302" s="13"/>
      <c r="G302" s="13"/>
      <c r="AF302" s="134"/>
      <c r="AG302" s="134"/>
    </row>
    <row r="303" spans="1:33" x14ac:dyDescent="0.2">
      <c r="A303" s="13"/>
      <c r="B303" s="13"/>
      <c r="C303" s="13"/>
      <c r="D303" s="116"/>
      <c r="E303" s="13"/>
      <c r="F303" s="13"/>
      <c r="G303" s="13"/>
      <c r="AF303" s="134"/>
      <c r="AG303" s="134"/>
    </row>
    <row r="304" spans="1:33" x14ac:dyDescent="0.2">
      <c r="A304" s="13"/>
      <c r="B304" s="13"/>
      <c r="C304" s="13"/>
      <c r="D304" s="116"/>
      <c r="E304" s="13"/>
      <c r="F304" s="13"/>
      <c r="G304" s="13"/>
      <c r="AF304" s="134"/>
      <c r="AG304" s="134"/>
    </row>
    <row r="305" spans="1:33" x14ac:dyDescent="0.2">
      <c r="A305" s="13"/>
      <c r="B305" s="13"/>
      <c r="C305" s="13"/>
      <c r="D305" s="116"/>
      <c r="E305" s="13"/>
      <c r="F305" s="13"/>
      <c r="G305" s="13"/>
      <c r="AF305" s="134"/>
      <c r="AG305" s="134"/>
    </row>
    <row r="306" spans="1:33" x14ac:dyDescent="0.2">
      <c r="A306" s="13"/>
      <c r="B306" s="13"/>
      <c r="C306" s="13"/>
      <c r="D306" s="116"/>
      <c r="E306" s="13"/>
      <c r="F306" s="13"/>
      <c r="G306" s="13"/>
      <c r="AF306" s="134"/>
      <c r="AG306" s="134"/>
    </row>
    <row r="307" spans="1:33" x14ac:dyDescent="0.2">
      <c r="A307" s="13"/>
      <c r="B307" s="13"/>
      <c r="C307" s="13"/>
      <c r="D307" s="116"/>
      <c r="E307" s="13"/>
      <c r="F307" s="13"/>
      <c r="G307" s="13"/>
      <c r="AF307" s="134"/>
      <c r="AG307" s="134"/>
    </row>
    <row r="308" spans="1:33" x14ac:dyDescent="0.2">
      <c r="A308" s="13"/>
      <c r="B308" s="13"/>
      <c r="C308" s="13"/>
      <c r="D308" s="116"/>
      <c r="E308" s="13"/>
      <c r="F308" s="13"/>
      <c r="G308" s="13"/>
      <c r="AF308" s="134"/>
      <c r="AG308" s="134"/>
    </row>
    <row r="309" spans="1:33" x14ac:dyDescent="0.2">
      <c r="A309" s="13"/>
      <c r="B309" s="13"/>
      <c r="C309" s="13"/>
      <c r="D309" s="116"/>
      <c r="E309" s="13"/>
      <c r="F309" s="13"/>
      <c r="G309" s="13"/>
      <c r="AF309" s="134"/>
      <c r="AG309" s="134"/>
    </row>
    <row r="310" spans="1:33" x14ac:dyDescent="0.2">
      <c r="A310" s="13"/>
      <c r="B310" s="13"/>
      <c r="C310" s="13"/>
      <c r="D310" s="116"/>
      <c r="E310" s="13"/>
      <c r="F310" s="13"/>
      <c r="G310" s="13"/>
      <c r="AF310" s="134"/>
      <c r="AG310" s="134"/>
    </row>
    <row r="311" spans="1:33" x14ac:dyDescent="0.2">
      <c r="A311" s="13"/>
      <c r="B311" s="13"/>
      <c r="C311" s="13"/>
      <c r="D311" s="116"/>
      <c r="E311" s="13"/>
      <c r="F311" s="13"/>
      <c r="G311" s="13"/>
      <c r="AF311" s="134"/>
      <c r="AG311" s="134"/>
    </row>
    <row r="312" spans="1:33" x14ac:dyDescent="0.2">
      <c r="A312" s="13"/>
      <c r="B312" s="13"/>
      <c r="C312" s="13"/>
      <c r="D312" s="116"/>
      <c r="E312" s="13"/>
      <c r="F312" s="13"/>
      <c r="G312" s="13"/>
      <c r="AF312" s="134"/>
      <c r="AG312" s="134"/>
    </row>
    <row r="313" spans="1:33" x14ac:dyDescent="0.2">
      <c r="A313" s="13"/>
      <c r="B313" s="13"/>
      <c r="C313" s="13"/>
      <c r="D313" s="116"/>
      <c r="E313" s="13"/>
      <c r="F313" s="13"/>
      <c r="G313" s="13"/>
      <c r="AF313" s="134"/>
      <c r="AG313" s="134"/>
    </row>
    <row r="314" spans="1:33" x14ac:dyDescent="0.2">
      <c r="A314" s="13"/>
      <c r="B314" s="13"/>
      <c r="C314" s="13"/>
      <c r="D314" s="116"/>
      <c r="E314" s="13"/>
      <c r="F314" s="13"/>
      <c r="G314" s="13"/>
      <c r="AF314" s="134"/>
      <c r="AG314" s="134"/>
    </row>
    <row r="315" spans="1:33" x14ac:dyDescent="0.2">
      <c r="A315" s="13"/>
      <c r="B315" s="13"/>
      <c r="C315" s="13"/>
      <c r="D315" s="116"/>
      <c r="E315" s="13"/>
      <c r="F315" s="13"/>
      <c r="G315" s="13"/>
      <c r="AF315" s="134"/>
      <c r="AG315" s="134"/>
    </row>
    <row r="316" spans="1:33" x14ac:dyDescent="0.2">
      <c r="A316" s="13"/>
      <c r="B316" s="13"/>
      <c r="C316" s="13"/>
      <c r="D316" s="116"/>
      <c r="E316" s="13"/>
      <c r="F316" s="13"/>
      <c r="G316" s="13"/>
      <c r="AF316" s="134"/>
      <c r="AG316" s="134"/>
    </row>
    <row r="317" spans="1:33" x14ac:dyDescent="0.2">
      <c r="A317" s="13"/>
      <c r="B317" s="13"/>
      <c r="C317" s="13"/>
      <c r="D317" s="116"/>
      <c r="E317" s="13"/>
      <c r="F317" s="13"/>
      <c r="G317" s="13"/>
      <c r="AF317" s="134"/>
      <c r="AG317" s="134"/>
    </row>
    <row r="318" spans="1:33" x14ac:dyDescent="0.2">
      <c r="A318" s="13"/>
      <c r="B318" s="13"/>
      <c r="C318" s="13"/>
      <c r="D318" s="116"/>
      <c r="E318" s="13"/>
      <c r="F318" s="13"/>
      <c r="G318" s="13"/>
      <c r="AF318" s="134"/>
      <c r="AG318" s="134"/>
    </row>
    <row r="319" spans="1:33" x14ac:dyDescent="0.2">
      <c r="A319" s="13"/>
      <c r="B319" s="13"/>
      <c r="C319" s="13"/>
      <c r="D319" s="116"/>
      <c r="E319" s="13"/>
      <c r="F319" s="13"/>
      <c r="G319" s="13"/>
      <c r="AF319" s="134"/>
      <c r="AG319" s="134"/>
    </row>
    <row r="320" spans="1:33" x14ac:dyDescent="0.2">
      <c r="A320" s="13"/>
      <c r="B320" s="13"/>
      <c r="C320" s="13"/>
      <c r="D320" s="116"/>
      <c r="E320" s="13"/>
      <c r="F320" s="13"/>
      <c r="G320" s="13"/>
      <c r="AF320" s="134"/>
      <c r="AG320" s="134"/>
    </row>
    <row r="321" spans="1:33" x14ac:dyDescent="0.2">
      <c r="A321" s="13"/>
      <c r="B321" s="13"/>
      <c r="C321" s="13"/>
      <c r="D321" s="116"/>
      <c r="E321" s="13"/>
      <c r="F321" s="13"/>
      <c r="G321" s="13"/>
      <c r="AF321" s="134"/>
      <c r="AG321" s="134"/>
    </row>
    <row r="322" spans="1:33" x14ac:dyDescent="0.2">
      <c r="A322" s="13"/>
      <c r="B322" s="13"/>
      <c r="C322" s="13"/>
      <c r="D322" s="116"/>
      <c r="E322" s="13"/>
      <c r="F322" s="13"/>
      <c r="G322" s="13"/>
      <c r="AF322" s="134"/>
      <c r="AG322" s="134"/>
    </row>
    <row r="323" spans="1:33" x14ac:dyDescent="0.2">
      <c r="A323" s="13"/>
      <c r="B323" s="13"/>
      <c r="C323" s="13"/>
      <c r="D323" s="116"/>
      <c r="E323" s="13"/>
      <c r="F323" s="13"/>
      <c r="G323" s="13"/>
      <c r="AF323" s="134"/>
      <c r="AG323" s="134"/>
    </row>
    <row r="324" spans="1:33" x14ac:dyDescent="0.2">
      <c r="A324" s="13"/>
      <c r="B324" s="13"/>
      <c r="C324" s="13"/>
      <c r="D324" s="116"/>
      <c r="E324" s="13"/>
      <c r="F324" s="13"/>
      <c r="G324" s="13"/>
      <c r="AF324" s="134"/>
      <c r="AG324" s="134"/>
    </row>
    <row r="325" spans="1:33" x14ac:dyDescent="0.2">
      <c r="A325" s="13"/>
      <c r="B325" s="13"/>
      <c r="C325" s="13"/>
      <c r="D325" s="116"/>
      <c r="E325" s="13"/>
      <c r="F325" s="13"/>
      <c r="G325" s="13"/>
      <c r="AF325" s="134"/>
      <c r="AG325" s="134"/>
    </row>
    <row r="326" spans="1:33" x14ac:dyDescent="0.2">
      <c r="A326" s="13"/>
      <c r="B326" s="13"/>
      <c r="C326" s="13"/>
      <c r="D326" s="116"/>
      <c r="E326" s="13"/>
      <c r="F326" s="13"/>
      <c r="G326" s="13"/>
      <c r="AF326" s="134"/>
      <c r="AG326" s="134"/>
    </row>
    <row r="327" spans="1:33" x14ac:dyDescent="0.2">
      <c r="A327" s="13"/>
      <c r="B327" s="13"/>
      <c r="C327" s="13"/>
      <c r="D327" s="116"/>
      <c r="E327" s="13"/>
      <c r="F327" s="13"/>
      <c r="G327" s="13"/>
      <c r="AF327" s="134"/>
      <c r="AG327" s="134"/>
    </row>
    <row r="328" spans="1:33" x14ac:dyDescent="0.2">
      <c r="A328" s="13"/>
      <c r="B328" s="13"/>
      <c r="C328" s="13"/>
      <c r="D328" s="116"/>
      <c r="E328" s="13"/>
      <c r="F328" s="13"/>
      <c r="G328" s="13"/>
      <c r="AF328" s="134"/>
      <c r="AG328" s="134"/>
    </row>
    <row r="329" spans="1:33" x14ac:dyDescent="0.2">
      <c r="A329" s="13"/>
      <c r="B329" s="13"/>
      <c r="C329" s="13"/>
      <c r="D329" s="116"/>
      <c r="E329" s="13"/>
      <c r="F329" s="13"/>
      <c r="G329" s="13"/>
      <c r="AF329" s="134"/>
      <c r="AG329" s="134"/>
    </row>
    <row r="330" spans="1:33" x14ac:dyDescent="0.2">
      <c r="A330" s="13"/>
      <c r="B330" s="13"/>
      <c r="C330" s="13"/>
      <c r="D330" s="116"/>
      <c r="E330" s="13"/>
      <c r="F330" s="13"/>
      <c r="G330" s="13"/>
      <c r="AF330" s="134"/>
      <c r="AG330" s="134"/>
    </row>
    <row r="331" spans="1:33" x14ac:dyDescent="0.2">
      <c r="A331" s="13"/>
      <c r="B331" s="13"/>
      <c r="C331" s="13"/>
      <c r="D331" s="116"/>
      <c r="E331" s="13"/>
      <c r="F331" s="13"/>
      <c r="G331" s="13"/>
      <c r="AF331" s="134"/>
      <c r="AG331" s="134"/>
    </row>
    <row r="332" spans="1:33" x14ac:dyDescent="0.2">
      <c r="A332" s="13"/>
      <c r="B332" s="13"/>
      <c r="C332" s="13"/>
      <c r="D332" s="116"/>
      <c r="E332" s="13"/>
      <c r="F332" s="13"/>
      <c r="G332" s="13"/>
      <c r="AF332" s="134"/>
      <c r="AG332" s="134"/>
    </row>
    <row r="333" spans="1:33" x14ac:dyDescent="0.2">
      <c r="A333" s="13"/>
      <c r="B333" s="13"/>
      <c r="C333" s="13"/>
      <c r="D333" s="116"/>
      <c r="E333" s="13"/>
      <c r="F333" s="13"/>
      <c r="G333" s="13"/>
      <c r="AF333" s="134"/>
      <c r="AG333" s="134"/>
    </row>
    <row r="334" spans="1:33" x14ac:dyDescent="0.2">
      <c r="A334" s="13"/>
      <c r="B334" s="13"/>
      <c r="C334" s="13"/>
      <c r="D334" s="116"/>
      <c r="E334" s="13"/>
      <c r="F334" s="13"/>
      <c r="G334" s="13"/>
      <c r="AF334" s="134"/>
      <c r="AG334" s="134"/>
    </row>
    <row r="335" spans="1:33" x14ac:dyDescent="0.2">
      <c r="A335" s="13"/>
      <c r="B335" s="13"/>
      <c r="C335" s="13"/>
      <c r="D335" s="116"/>
      <c r="E335" s="13"/>
      <c r="F335" s="13"/>
      <c r="G335" s="13"/>
      <c r="AF335" s="134"/>
      <c r="AG335" s="134"/>
    </row>
    <row r="336" spans="1:33" x14ac:dyDescent="0.2">
      <c r="A336" s="13"/>
      <c r="B336" s="13"/>
      <c r="C336" s="13"/>
      <c r="D336" s="116"/>
      <c r="E336" s="13"/>
      <c r="F336" s="13"/>
      <c r="G336" s="13"/>
      <c r="AF336" s="134"/>
      <c r="AG336" s="134"/>
    </row>
    <row r="337" spans="1:33" x14ac:dyDescent="0.2">
      <c r="A337" s="13"/>
      <c r="B337" s="13"/>
      <c r="C337" s="13"/>
      <c r="D337" s="116"/>
      <c r="E337" s="13"/>
      <c r="F337" s="13"/>
      <c r="G337" s="13"/>
      <c r="AF337" s="134"/>
      <c r="AG337" s="134"/>
    </row>
    <row r="338" spans="1:33" x14ac:dyDescent="0.2">
      <c r="A338" s="13"/>
      <c r="B338" s="13"/>
      <c r="C338" s="13"/>
      <c r="D338" s="116"/>
      <c r="E338" s="13"/>
      <c r="F338" s="13"/>
      <c r="G338" s="13"/>
      <c r="AF338" s="134"/>
      <c r="AG338" s="134"/>
    </row>
    <row r="339" spans="1:33" x14ac:dyDescent="0.2">
      <c r="A339" s="13"/>
      <c r="B339" s="13"/>
      <c r="C339" s="13"/>
      <c r="D339" s="116"/>
      <c r="E339" s="13"/>
      <c r="F339" s="13"/>
      <c r="G339" s="13"/>
      <c r="AF339" s="134"/>
      <c r="AG339" s="134"/>
    </row>
    <row r="340" spans="1:33" x14ac:dyDescent="0.2">
      <c r="A340" s="13"/>
      <c r="B340" s="13"/>
      <c r="C340" s="13"/>
      <c r="D340" s="116"/>
      <c r="E340" s="13"/>
      <c r="F340" s="13"/>
      <c r="G340" s="13"/>
      <c r="AF340" s="134"/>
      <c r="AG340" s="134"/>
    </row>
    <row r="341" spans="1:33" x14ac:dyDescent="0.2">
      <c r="A341" s="13"/>
      <c r="B341" s="13"/>
      <c r="C341" s="13"/>
      <c r="D341" s="116"/>
      <c r="E341" s="13"/>
      <c r="F341" s="13"/>
      <c r="G341" s="13"/>
      <c r="AF341" s="134"/>
      <c r="AG341" s="134"/>
    </row>
    <row r="342" spans="1:33" x14ac:dyDescent="0.2">
      <c r="A342" s="13"/>
      <c r="B342" s="13"/>
      <c r="C342" s="13"/>
      <c r="D342" s="116"/>
      <c r="E342" s="13"/>
      <c r="F342" s="13"/>
      <c r="G342" s="13"/>
      <c r="AF342" s="134"/>
      <c r="AG342" s="134"/>
    </row>
    <row r="343" spans="1:33" x14ac:dyDescent="0.2">
      <c r="A343" s="13"/>
      <c r="B343" s="13"/>
      <c r="C343" s="13"/>
      <c r="D343" s="116"/>
      <c r="E343" s="13"/>
      <c r="F343" s="13"/>
      <c r="G343" s="13"/>
      <c r="AF343" s="134"/>
      <c r="AG343" s="134"/>
    </row>
    <row r="344" spans="1:33" x14ac:dyDescent="0.2">
      <c r="A344" s="13"/>
      <c r="B344" s="13"/>
      <c r="C344" s="13"/>
      <c r="D344" s="116"/>
      <c r="E344" s="13"/>
      <c r="F344" s="13"/>
      <c r="G344" s="13"/>
      <c r="AF344" s="134"/>
      <c r="AG344" s="134"/>
    </row>
    <row r="345" spans="1:33" x14ac:dyDescent="0.2">
      <c r="A345" s="13"/>
      <c r="B345" s="13"/>
      <c r="C345" s="13"/>
      <c r="D345" s="116"/>
      <c r="E345" s="13"/>
      <c r="F345" s="13"/>
      <c r="G345" s="13"/>
      <c r="AF345" s="134"/>
      <c r="AG345" s="134"/>
    </row>
    <row r="346" spans="1:33" x14ac:dyDescent="0.2">
      <c r="A346" s="13"/>
      <c r="B346" s="13"/>
      <c r="C346" s="13"/>
      <c r="D346" s="116"/>
      <c r="E346" s="13"/>
      <c r="F346" s="13"/>
      <c r="G346" s="13"/>
      <c r="AF346" s="134"/>
      <c r="AG346" s="134"/>
    </row>
    <row r="347" spans="1:33" x14ac:dyDescent="0.2">
      <c r="A347" s="13"/>
      <c r="B347" s="13"/>
      <c r="C347" s="13"/>
      <c r="D347" s="116"/>
      <c r="E347" s="13"/>
      <c r="F347" s="13"/>
      <c r="G347" s="13"/>
      <c r="AF347" s="134"/>
      <c r="AG347" s="134"/>
    </row>
    <row r="348" spans="1:33" x14ac:dyDescent="0.2">
      <c r="A348" s="13"/>
      <c r="B348" s="13"/>
      <c r="C348" s="13"/>
      <c r="D348" s="116"/>
      <c r="E348" s="13"/>
      <c r="F348" s="13"/>
      <c r="G348" s="13"/>
      <c r="AF348" s="134"/>
      <c r="AG348" s="134"/>
    </row>
    <row r="349" spans="1:33" x14ac:dyDescent="0.2">
      <c r="A349" s="13"/>
      <c r="B349" s="13"/>
      <c r="C349" s="13"/>
      <c r="D349" s="116"/>
      <c r="E349" s="13"/>
      <c r="F349" s="13"/>
      <c r="G349" s="13"/>
      <c r="AF349" s="134"/>
      <c r="AG349" s="134"/>
    </row>
    <row r="350" spans="1:33" x14ac:dyDescent="0.2">
      <c r="A350" s="13"/>
      <c r="B350" s="13"/>
      <c r="C350" s="13"/>
      <c r="D350" s="116"/>
      <c r="E350" s="13"/>
      <c r="F350" s="13"/>
      <c r="G350" s="13"/>
      <c r="AF350" s="134"/>
      <c r="AG350" s="134"/>
    </row>
    <row r="351" spans="1:33" x14ac:dyDescent="0.2">
      <c r="A351" s="13"/>
      <c r="B351" s="13"/>
      <c r="C351" s="13"/>
      <c r="D351" s="116"/>
      <c r="E351" s="13"/>
      <c r="F351" s="13"/>
      <c r="G351" s="13"/>
      <c r="AF351" s="134"/>
      <c r="AG351" s="134"/>
    </row>
    <row r="352" spans="1:33" x14ac:dyDescent="0.2">
      <c r="A352" s="13"/>
      <c r="B352" s="13"/>
      <c r="C352" s="13"/>
      <c r="D352" s="116"/>
      <c r="E352" s="13"/>
      <c r="F352" s="13"/>
      <c r="G352" s="13"/>
      <c r="AF352" s="134"/>
      <c r="AG352" s="134"/>
    </row>
    <row r="353" spans="1:33" x14ac:dyDescent="0.2">
      <c r="A353" s="13"/>
      <c r="B353" s="13"/>
      <c r="C353" s="13"/>
      <c r="D353" s="116"/>
      <c r="E353" s="13"/>
      <c r="F353" s="13"/>
      <c r="G353" s="13"/>
      <c r="AF353" s="134"/>
      <c r="AG353" s="134"/>
    </row>
    <row r="354" spans="1:33" x14ac:dyDescent="0.2">
      <c r="A354" s="13"/>
      <c r="B354" s="13"/>
      <c r="C354" s="13"/>
      <c r="D354" s="116"/>
      <c r="E354" s="13"/>
      <c r="F354" s="13"/>
      <c r="G354" s="13"/>
      <c r="AF354" s="134"/>
      <c r="AG354" s="134"/>
    </row>
    <row r="355" spans="1:33" x14ac:dyDescent="0.2">
      <c r="A355" s="13"/>
      <c r="B355" s="13"/>
      <c r="C355" s="13"/>
      <c r="D355" s="116"/>
      <c r="E355" s="13"/>
      <c r="F355" s="13"/>
      <c r="G355" s="13"/>
      <c r="AF355" s="134"/>
      <c r="AG355" s="134"/>
    </row>
    <row r="356" spans="1:33" x14ac:dyDescent="0.2">
      <c r="A356" s="13"/>
      <c r="B356" s="13"/>
      <c r="C356" s="13"/>
      <c r="D356" s="116"/>
      <c r="E356" s="13"/>
      <c r="F356" s="13"/>
      <c r="G356" s="13"/>
      <c r="AF356" s="134"/>
      <c r="AG356" s="134"/>
    </row>
    <row r="357" spans="1:33" x14ac:dyDescent="0.2">
      <c r="A357" s="13"/>
      <c r="B357" s="13"/>
      <c r="C357" s="13"/>
      <c r="D357" s="116"/>
      <c r="E357" s="13"/>
      <c r="F357" s="13"/>
      <c r="G357" s="13"/>
      <c r="AF357" s="134"/>
      <c r="AG357" s="134"/>
    </row>
    <row r="358" spans="1:33" x14ac:dyDescent="0.2">
      <c r="A358" s="13"/>
      <c r="B358" s="13"/>
      <c r="C358" s="13"/>
      <c r="D358" s="116"/>
      <c r="E358" s="13"/>
      <c r="F358" s="13"/>
      <c r="G358" s="13"/>
      <c r="AF358" s="134"/>
      <c r="AG358" s="134"/>
    </row>
    <row r="359" spans="1:33" x14ac:dyDescent="0.2">
      <c r="A359" s="13"/>
      <c r="B359" s="13"/>
      <c r="C359" s="13"/>
      <c r="D359" s="116"/>
      <c r="E359" s="13"/>
      <c r="F359" s="13"/>
      <c r="G359" s="13"/>
      <c r="AF359" s="134"/>
      <c r="AG359" s="134"/>
    </row>
    <row r="360" spans="1:33" x14ac:dyDescent="0.2">
      <c r="A360" s="13"/>
      <c r="B360" s="13"/>
      <c r="C360" s="13"/>
      <c r="D360" s="116"/>
      <c r="E360" s="13"/>
      <c r="F360" s="13"/>
      <c r="G360" s="13"/>
      <c r="AF360" s="134"/>
      <c r="AG360" s="134"/>
    </row>
    <row r="361" spans="1:33" x14ac:dyDescent="0.2">
      <c r="A361" s="13"/>
      <c r="B361" s="13"/>
      <c r="C361" s="13"/>
      <c r="D361" s="116"/>
      <c r="E361" s="13"/>
      <c r="F361" s="13"/>
      <c r="G361" s="13"/>
      <c r="AF361" s="134"/>
      <c r="AG361" s="134"/>
    </row>
    <row r="362" spans="1:33" x14ac:dyDescent="0.2">
      <c r="A362" s="13"/>
      <c r="B362" s="13"/>
      <c r="C362" s="13"/>
      <c r="D362" s="116"/>
      <c r="E362" s="13"/>
      <c r="F362" s="13"/>
      <c r="G362" s="13"/>
      <c r="AF362" s="134"/>
      <c r="AG362" s="134"/>
    </row>
    <row r="363" spans="1:33" x14ac:dyDescent="0.2">
      <c r="A363" s="13"/>
      <c r="B363" s="13"/>
      <c r="C363" s="13"/>
      <c r="D363" s="116"/>
      <c r="E363" s="13"/>
      <c r="F363" s="13"/>
      <c r="G363" s="13"/>
      <c r="AF363" s="134"/>
      <c r="AG363" s="134"/>
    </row>
    <row r="364" spans="1:33" x14ac:dyDescent="0.2">
      <c r="A364" s="13"/>
      <c r="B364" s="13"/>
      <c r="C364" s="13"/>
      <c r="D364" s="116"/>
      <c r="E364" s="13"/>
      <c r="F364" s="13"/>
      <c r="G364" s="13"/>
      <c r="AF364" s="134"/>
      <c r="AG364" s="134"/>
    </row>
    <row r="365" spans="1:33" x14ac:dyDescent="0.2">
      <c r="A365" s="13"/>
      <c r="B365" s="13"/>
      <c r="C365" s="13"/>
      <c r="D365" s="116"/>
      <c r="E365" s="13"/>
      <c r="F365" s="13"/>
      <c r="G365" s="13"/>
      <c r="AF365" s="134"/>
      <c r="AG365" s="134"/>
    </row>
    <row r="366" spans="1:33" x14ac:dyDescent="0.2">
      <c r="A366" s="13"/>
      <c r="B366" s="13"/>
      <c r="C366" s="13"/>
      <c r="D366" s="116"/>
      <c r="E366" s="13"/>
      <c r="F366" s="13"/>
      <c r="G366" s="13"/>
      <c r="AF366" s="134"/>
      <c r="AG366" s="134"/>
    </row>
    <row r="367" spans="1:33" x14ac:dyDescent="0.2">
      <c r="A367" s="13"/>
      <c r="B367" s="13"/>
      <c r="C367" s="13"/>
      <c r="D367" s="116"/>
      <c r="E367" s="13"/>
      <c r="F367" s="13"/>
      <c r="G367" s="13"/>
      <c r="AF367" s="134"/>
      <c r="AG367" s="134"/>
    </row>
    <row r="368" spans="1:33" x14ac:dyDescent="0.2">
      <c r="A368" s="13"/>
      <c r="B368" s="13"/>
      <c r="C368" s="13"/>
      <c r="D368" s="116"/>
      <c r="E368" s="13"/>
      <c r="F368" s="13"/>
      <c r="G368" s="13"/>
      <c r="AF368" s="134"/>
      <c r="AG368" s="134"/>
    </row>
    <row r="369" spans="1:33" x14ac:dyDescent="0.2">
      <c r="A369" s="13"/>
      <c r="B369" s="13"/>
      <c r="C369" s="13"/>
      <c r="D369" s="116"/>
      <c r="E369" s="13"/>
      <c r="F369" s="13"/>
      <c r="G369" s="13"/>
      <c r="AF369" s="134"/>
      <c r="AG369" s="134"/>
    </row>
    <row r="370" spans="1:33" x14ac:dyDescent="0.2">
      <c r="A370" s="13"/>
      <c r="B370" s="13"/>
      <c r="C370" s="13"/>
      <c r="D370" s="116"/>
      <c r="E370" s="13"/>
      <c r="F370" s="13"/>
      <c r="G370" s="13"/>
      <c r="AF370" s="134"/>
      <c r="AG370" s="134"/>
    </row>
    <row r="371" spans="1:33" x14ac:dyDescent="0.2">
      <c r="A371" s="13"/>
      <c r="B371" s="13"/>
      <c r="C371" s="13"/>
      <c r="D371" s="116"/>
      <c r="E371" s="13"/>
      <c r="F371" s="13"/>
      <c r="G371" s="13"/>
      <c r="AF371" s="134"/>
      <c r="AG371" s="134"/>
    </row>
    <row r="372" spans="1:33" x14ac:dyDescent="0.2">
      <c r="A372" s="13"/>
      <c r="B372" s="13"/>
      <c r="C372" s="13"/>
      <c r="D372" s="116"/>
      <c r="E372" s="13"/>
      <c r="F372" s="13"/>
      <c r="G372" s="13"/>
      <c r="AF372" s="134"/>
      <c r="AG372" s="134"/>
    </row>
    <row r="373" spans="1:33" x14ac:dyDescent="0.2">
      <c r="A373" s="13"/>
      <c r="B373" s="13"/>
      <c r="C373" s="13"/>
      <c r="D373" s="116"/>
      <c r="E373" s="13"/>
      <c r="F373" s="13"/>
      <c r="G373" s="13"/>
      <c r="AF373" s="134"/>
      <c r="AG373" s="134"/>
    </row>
    <row r="374" spans="1:33" x14ac:dyDescent="0.2">
      <c r="A374" s="13"/>
      <c r="B374" s="13"/>
      <c r="C374" s="13"/>
      <c r="D374" s="116"/>
      <c r="E374" s="13"/>
      <c r="F374" s="13"/>
      <c r="G374" s="13"/>
      <c r="AF374" s="134"/>
      <c r="AG374" s="134"/>
    </row>
    <row r="375" spans="1:33" x14ac:dyDescent="0.2">
      <c r="A375" s="13"/>
      <c r="B375" s="13"/>
      <c r="C375" s="13"/>
      <c r="D375" s="116"/>
      <c r="E375" s="13"/>
      <c r="F375" s="13"/>
      <c r="G375" s="13"/>
      <c r="AF375" s="134"/>
      <c r="AG375" s="134"/>
    </row>
    <row r="376" spans="1:33" x14ac:dyDescent="0.2">
      <c r="A376" s="13"/>
      <c r="B376" s="13"/>
      <c r="C376" s="13"/>
      <c r="D376" s="116"/>
      <c r="E376" s="13"/>
      <c r="F376" s="13"/>
      <c r="G376" s="13"/>
      <c r="AF376" s="134"/>
      <c r="AG376" s="134"/>
    </row>
    <row r="377" spans="1:33" x14ac:dyDescent="0.2">
      <c r="A377" s="13"/>
      <c r="B377" s="13"/>
      <c r="C377" s="13"/>
      <c r="D377" s="116"/>
      <c r="E377" s="13"/>
      <c r="F377" s="13"/>
      <c r="G377" s="13"/>
      <c r="AF377" s="134"/>
      <c r="AG377" s="134"/>
    </row>
    <row r="378" spans="1:33" x14ac:dyDescent="0.2">
      <c r="A378" s="13"/>
      <c r="B378" s="13"/>
      <c r="C378" s="13"/>
      <c r="D378" s="116"/>
      <c r="E378" s="13"/>
      <c r="F378" s="13"/>
      <c r="G378" s="13"/>
      <c r="AF378" s="134"/>
      <c r="AG378" s="134"/>
    </row>
    <row r="379" spans="1:33" x14ac:dyDescent="0.2">
      <c r="A379" s="13"/>
      <c r="B379" s="13"/>
      <c r="C379" s="13"/>
      <c r="D379" s="116"/>
      <c r="E379" s="13"/>
      <c r="F379" s="13"/>
      <c r="G379" s="13"/>
      <c r="AF379" s="134"/>
      <c r="AG379" s="134"/>
    </row>
    <row r="380" spans="1:33" x14ac:dyDescent="0.2">
      <c r="A380" s="13"/>
      <c r="B380" s="13"/>
      <c r="C380" s="13"/>
      <c r="D380" s="116"/>
      <c r="E380" s="13"/>
      <c r="F380" s="13"/>
      <c r="G380" s="13"/>
      <c r="AF380" s="134"/>
      <c r="AG380" s="134"/>
    </row>
    <row r="381" spans="1:33" x14ac:dyDescent="0.2">
      <c r="A381" s="13"/>
      <c r="B381" s="13"/>
      <c r="C381" s="13"/>
      <c r="D381" s="116"/>
      <c r="E381" s="13"/>
      <c r="F381" s="13"/>
      <c r="G381" s="13"/>
      <c r="AF381" s="134"/>
      <c r="AG381" s="134"/>
    </row>
    <row r="382" spans="1:33" x14ac:dyDescent="0.2">
      <c r="A382" s="13"/>
      <c r="B382" s="13"/>
      <c r="C382" s="13"/>
      <c r="D382" s="116"/>
      <c r="E382" s="13"/>
      <c r="F382" s="13"/>
      <c r="G382" s="13"/>
      <c r="AF382" s="134"/>
      <c r="AG382" s="134"/>
    </row>
    <row r="383" spans="1:33" x14ac:dyDescent="0.2">
      <c r="A383" s="13"/>
      <c r="B383" s="13"/>
      <c r="C383" s="13"/>
      <c r="D383" s="116"/>
      <c r="E383" s="13"/>
      <c r="F383" s="13"/>
      <c r="G383" s="13"/>
      <c r="AF383" s="134"/>
      <c r="AG383" s="134"/>
    </row>
    <row r="384" spans="1:33" x14ac:dyDescent="0.2">
      <c r="A384" s="13"/>
      <c r="B384" s="13"/>
      <c r="C384" s="13"/>
      <c r="D384" s="116"/>
      <c r="E384" s="13"/>
      <c r="F384" s="13"/>
      <c r="G384" s="13"/>
      <c r="AF384" s="134"/>
      <c r="AG384" s="134"/>
    </row>
    <row r="385" spans="1:33" x14ac:dyDescent="0.2">
      <c r="A385" s="13"/>
      <c r="B385" s="13"/>
      <c r="C385" s="13"/>
      <c r="D385" s="116"/>
      <c r="E385" s="13"/>
      <c r="F385" s="13"/>
      <c r="G385" s="13"/>
      <c r="AF385" s="134"/>
      <c r="AG385" s="134"/>
    </row>
    <row r="386" spans="1:33" x14ac:dyDescent="0.2">
      <c r="A386" s="13"/>
      <c r="B386" s="13"/>
      <c r="C386" s="13"/>
      <c r="D386" s="116"/>
      <c r="E386" s="13"/>
      <c r="F386" s="13"/>
      <c r="G386" s="13"/>
      <c r="AF386" s="134"/>
      <c r="AG386" s="134"/>
    </row>
    <row r="387" spans="1:33" x14ac:dyDescent="0.2">
      <c r="A387" s="13"/>
      <c r="B387" s="13"/>
      <c r="C387" s="13"/>
      <c r="D387" s="116"/>
      <c r="E387" s="13"/>
      <c r="F387" s="13"/>
      <c r="G387" s="13"/>
      <c r="AF387" s="134"/>
      <c r="AG387" s="134"/>
    </row>
    <row r="388" spans="1:33" x14ac:dyDescent="0.2">
      <c r="A388" s="13"/>
      <c r="B388" s="13"/>
      <c r="C388" s="13"/>
      <c r="D388" s="116"/>
      <c r="E388" s="13"/>
      <c r="F388" s="13"/>
      <c r="G388" s="13"/>
      <c r="AF388" s="134"/>
      <c r="AG388" s="134"/>
    </row>
    <row r="389" spans="1:33" x14ac:dyDescent="0.2">
      <c r="A389" s="13"/>
      <c r="B389" s="13"/>
      <c r="C389" s="13"/>
      <c r="D389" s="116"/>
      <c r="E389" s="13"/>
      <c r="F389" s="13"/>
      <c r="G389" s="13"/>
      <c r="AF389" s="134"/>
      <c r="AG389" s="134"/>
    </row>
    <row r="390" spans="1:33" x14ac:dyDescent="0.2">
      <c r="A390" s="13"/>
      <c r="B390" s="13"/>
      <c r="C390" s="13"/>
      <c r="D390" s="116"/>
      <c r="E390" s="13"/>
      <c r="F390" s="13"/>
      <c r="G390" s="13"/>
      <c r="AF390" s="134"/>
      <c r="AG390" s="134"/>
    </row>
    <row r="391" spans="1:33" x14ac:dyDescent="0.2">
      <c r="A391" s="13"/>
      <c r="B391" s="13"/>
      <c r="C391" s="13"/>
      <c r="D391" s="116"/>
      <c r="E391" s="13"/>
      <c r="F391" s="13"/>
      <c r="G391" s="13"/>
      <c r="AF391" s="134"/>
      <c r="AG391" s="134"/>
    </row>
    <row r="392" spans="1:33" x14ac:dyDescent="0.2">
      <c r="A392" s="13"/>
      <c r="B392" s="13"/>
      <c r="C392" s="13"/>
      <c r="D392" s="116"/>
      <c r="E392" s="13"/>
      <c r="F392" s="13"/>
      <c r="G392" s="13"/>
      <c r="AF392" s="134"/>
      <c r="AG392" s="134"/>
    </row>
    <row r="393" spans="1:33" x14ac:dyDescent="0.2">
      <c r="A393" s="13"/>
      <c r="B393" s="13"/>
      <c r="C393" s="13"/>
      <c r="D393" s="116"/>
      <c r="E393" s="13"/>
      <c r="F393" s="13"/>
      <c r="G393" s="13"/>
      <c r="AF393" s="134"/>
      <c r="AG393" s="134"/>
    </row>
    <row r="394" spans="1:33" x14ac:dyDescent="0.2">
      <c r="A394" s="13"/>
      <c r="B394" s="13"/>
      <c r="C394" s="13"/>
      <c r="D394" s="116"/>
      <c r="E394" s="13"/>
      <c r="F394" s="13"/>
      <c r="G394" s="13"/>
      <c r="AF394" s="134"/>
      <c r="AG394" s="134"/>
    </row>
    <row r="395" spans="1:33" x14ac:dyDescent="0.2">
      <c r="A395" s="13"/>
      <c r="B395" s="13"/>
      <c r="C395" s="13"/>
      <c r="D395" s="116"/>
      <c r="E395" s="13"/>
      <c r="F395" s="13"/>
      <c r="G395" s="13"/>
      <c r="AF395" s="134"/>
      <c r="AG395" s="134"/>
    </row>
    <row r="396" spans="1:33" x14ac:dyDescent="0.2">
      <c r="A396" s="13"/>
      <c r="B396" s="13"/>
      <c r="C396" s="13"/>
      <c r="D396" s="116"/>
      <c r="E396" s="13"/>
      <c r="F396" s="13"/>
      <c r="G396" s="13"/>
      <c r="AF396" s="134"/>
      <c r="AG396" s="134"/>
    </row>
    <row r="397" spans="1:33" x14ac:dyDescent="0.2">
      <c r="A397" s="13"/>
      <c r="B397" s="13"/>
      <c r="C397" s="13"/>
      <c r="D397" s="116"/>
      <c r="E397" s="13"/>
      <c r="F397" s="13"/>
      <c r="G397" s="13"/>
      <c r="AF397" s="134"/>
      <c r="AG397" s="134"/>
    </row>
    <row r="398" spans="1:33" x14ac:dyDescent="0.2">
      <c r="A398" s="13"/>
      <c r="B398" s="13"/>
      <c r="C398" s="13"/>
      <c r="D398" s="116"/>
      <c r="E398" s="13"/>
      <c r="F398" s="13"/>
      <c r="G398" s="13"/>
      <c r="AF398" s="134"/>
      <c r="AG398" s="134"/>
    </row>
    <row r="399" spans="1:33" x14ac:dyDescent="0.2">
      <c r="A399" s="13"/>
      <c r="B399" s="13"/>
      <c r="C399" s="13"/>
      <c r="D399" s="116"/>
      <c r="E399" s="13"/>
      <c r="F399" s="13"/>
      <c r="G399" s="13"/>
      <c r="AF399" s="134"/>
      <c r="AG399" s="134"/>
    </row>
    <row r="400" spans="1:33" x14ac:dyDescent="0.2">
      <c r="A400" s="13"/>
      <c r="B400" s="13"/>
      <c r="C400" s="13"/>
      <c r="D400" s="116"/>
      <c r="E400" s="13"/>
      <c r="F400" s="13"/>
      <c r="G400" s="13"/>
      <c r="AF400" s="134"/>
      <c r="AG400" s="134"/>
    </row>
    <row r="401" spans="1:33" x14ac:dyDescent="0.2">
      <c r="A401" s="13"/>
      <c r="B401" s="13"/>
      <c r="C401" s="13"/>
      <c r="D401" s="116"/>
      <c r="E401" s="13"/>
      <c r="F401" s="13"/>
      <c r="G401" s="13"/>
      <c r="AF401" s="134"/>
      <c r="AG401" s="134"/>
    </row>
    <row r="402" spans="1:33" x14ac:dyDescent="0.2">
      <c r="A402" s="13"/>
      <c r="B402" s="13"/>
      <c r="C402" s="13"/>
      <c r="D402" s="116"/>
      <c r="E402" s="13"/>
      <c r="F402" s="13"/>
      <c r="G402" s="13"/>
      <c r="AF402" s="134"/>
      <c r="AG402" s="134"/>
    </row>
    <row r="403" spans="1:33" x14ac:dyDescent="0.2">
      <c r="A403" s="13"/>
      <c r="B403" s="13"/>
      <c r="C403" s="13"/>
      <c r="D403" s="116"/>
      <c r="E403" s="13"/>
      <c r="F403" s="13"/>
      <c r="G403" s="13"/>
      <c r="AF403" s="134"/>
      <c r="AG403" s="134"/>
    </row>
    <row r="404" spans="1:33" x14ac:dyDescent="0.2">
      <c r="A404" s="13"/>
      <c r="B404" s="13"/>
      <c r="C404" s="13"/>
      <c r="D404" s="116"/>
      <c r="E404" s="13"/>
      <c r="F404" s="13"/>
      <c r="G404" s="13"/>
      <c r="AF404" s="134"/>
      <c r="AG404" s="134"/>
    </row>
    <row r="405" spans="1:33" x14ac:dyDescent="0.2">
      <c r="A405" s="13"/>
      <c r="B405" s="13"/>
      <c r="C405" s="13"/>
      <c r="D405" s="116"/>
      <c r="E405" s="13"/>
      <c r="F405" s="13"/>
      <c r="G405" s="13"/>
      <c r="AF405" s="134"/>
      <c r="AG405" s="134"/>
    </row>
    <row r="406" spans="1:33" x14ac:dyDescent="0.2">
      <c r="A406" s="13"/>
      <c r="B406" s="13"/>
      <c r="C406" s="13"/>
      <c r="D406" s="116"/>
      <c r="E406" s="13"/>
      <c r="F406" s="13"/>
      <c r="G406" s="13"/>
      <c r="AF406" s="134"/>
      <c r="AG406" s="134"/>
    </row>
    <row r="407" spans="1:33" x14ac:dyDescent="0.2">
      <c r="A407" s="13"/>
      <c r="B407" s="13"/>
      <c r="C407" s="13"/>
      <c r="D407" s="116"/>
      <c r="E407" s="13"/>
      <c r="F407" s="13"/>
      <c r="G407" s="13"/>
      <c r="AF407" s="134"/>
      <c r="AG407" s="134"/>
    </row>
    <row r="408" spans="1:33" x14ac:dyDescent="0.2">
      <c r="A408" s="13"/>
      <c r="B408" s="13"/>
      <c r="C408" s="13"/>
      <c r="D408" s="116"/>
      <c r="E408" s="13"/>
      <c r="F408" s="13"/>
      <c r="G408" s="13"/>
      <c r="AF408" s="134"/>
      <c r="AG408" s="134"/>
    </row>
    <row r="409" spans="1:33" x14ac:dyDescent="0.2">
      <c r="A409" s="13"/>
      <c r="B409" s="13"/>
      <c r="C409" s="13"/>
      <c r="D409" s="116"/>
      <c r="E409" s="13"/>
      <c r="F409" s="13"/>
      <c r="G409" s="13"/>
      <c r="AF409" s="134"/>
      <c r="AG409" s="134"/>
    </row>
    <row r="410" spans="1:33" x14ac:dyDescent="0.2">
      <c r="A410" s="13"/>
      <c r="B410" s="13"/>
      <c r="C410" s="13"/>
      <c r="D410" s="116"/>
      <c r="E410" s="13"/>
      <c r="F410" s="13"/>
      <c r="G410" s="13"/>
      <c r="AF410" s="134"/>
      <c r="AG410" s="134"/>
    </row>
    <row r="411" spans="1:33" x14ac:dyDescent="0.2">
      <c r="A411" s="13"/>
      <c r="B411" s="13"/>
      <c r="C411" s="13"/>
      <c r="D411" s="116"/>
      <c r="E411" s="13"/>
      <c r="F411" s="13"/>
      <c r="G411" s="13"/>
      <c r="AF411" s="134"/>
      <c r="AG411" s="134"/>
    </row>
    <row r="412" spans="1:33" x14ac:dyDescent="0.2">
      <c r="A412" s="13"/>
      <c r="B412" s="13"/>
      <c r="C412" s="13"/>
      <c r="D412" s="116"/>
      <c r="E412" s="13"/>
      <c r="F412" s="13"/>
      <c r="G412" s="13"/>
      <c r="AF412" s="134"/>
      <c r="AG412" s="134"/>
    </row>
    <row r="413" spans="1:33" x14ac:dyDescent="0.2">
      <c r="A413" s="13"/>
      <c r="B413" s="13"/>
      <c r="C413" s="13"/>
      <c r="D413" s="116"/>
      <c r="E413" s="13"/>
      <c r="F413" s="13"/>
      <c r="G413" s="13"/>
      <c r="AF413" s="134"/>
      <c r="AG413" s="134"/>
    </row>
    <row r="414" spans="1:33" x14ac:dyDescent="0.2">
      <c r="A414" s="13"/>
      <c r="B414" s="13"/>
      <c r="C414" s="13"/>
      <c r="D414" s="116"/>
      <c r="E414" s="13"/>
      <c r="F414" s="13"/>
      <c r="G414" s="13"/>
      <c r="AF414" s="134"/>
      <c r="AG414" s="134"/>
    </row>
    <row r="415" spans="1:33" x14ac:dyDescent="0.2">
      <c r="A415" s="13"/>
      <c r="B415" s="13"/>
      <c r="C415" s="13"/>
      <c r="D415" s="116"/>
      <c r="E415" s="13"/>
      <c r="F415" s="13"/>
      <c r="G415" s="13"/>
      <c r="AF415" s="134"/>
      <c r="AG415" s="134"/>
    </row>
    <row r="416" spans="1:33" x14ac:dyDescent="0.2">
      <c r="A416" s="13"/>
      <c r="B416" s="13"/>
      <c r="C416" s="13"/>
      <c r="D416" s="116"/>
      <c r="E416" s="13"/>
      <c r="F416" s="13"/>
      <c r="G416" s="13"/>
      <c r="AF416" s="134"/>
      <c r="AG416" s="134"/>
    </row>
    <row r="417" spans="1:33" x14ac:dyDescent="0.2">
      <c r="A417" s="13"/>
      <c r="B417" s="13"/>
      <c r="C417" s="13"/>
      <c r="D417" s="116"/>
      <c r="E417" s="13"/>
      <c r="F417" s="13"/>
      <c r="G417" s="13"/>
      <c r="AF417" s="134"/>
      <c r="AG417" s="134"/>
    </row>
    <row r="418" spans="1:33" x14ac:dyDescent="0.2">
      <c r="A418" s="13"/>
      <c r="B418" s="13"/>
      <c r="C418" s="13"/>
      <c r="D418" s="116"/>
      <c r="E418" s="13"/>
      <c r="F418" s="13"/>
      <c r="G418" s="13"/>
      <c r="AF418" s="134"/>
      <c r="AG418" s="134"/>
    </row>
    <row r="419" spans="1:33" x14ac:dyDescent="0.2">
      <c r="A419" s="13"/>
      <c r="B419" s="13"/>
      <c r="C419" s="13"/>
      <c r="D419" s="116"/>
      <c r="E419" s="13"/>
      <c r="F419" s="13"/>
      <c r="G419" s="13"/>
      <c r="AF419" s="134"/>
      <c r="AG419" s="134"/>
    </row>
    <row r="420" spans="1:33" x14ac:dyDescent="0.2">
      <c r="A420" s="13"/>
      <c r="B420" s="13"/>
      <c r="C420" s="13"/>
      <c r="D420" s="116"/>
      <c r="E420" s="13"/>
      <c r="F420" s="13"/>
      <c r="G420" s="13"/>
      <c r="AF420" s="134"/>
      <c r="AG420" s="134"/>
    </row>
    <row r="421" spans="1:33" x14ac:dyDescent="0.2">
      <c r="A421" s="13"/>
      <c r="B421" s="13"/>
      <c r="C421" s="13"/>
      <c r="D421" s="116"/>
      <c r="E421" s="13"/>
      <c r="F421" s="13"/>
      <c r="G421" s="13"/>
      <c r="AF421" s="134"/>
      <c r="AG421" s="134"/>
    </row>
    <row r="422" spans="1:33" x14ac:dyDescent="0.2">
      <c r="A422" s="13"/>
      <c r="B422" s="13"/>
      <c r="C422" s="13"/>
      <c r="D422" s="116"/>
      <c r="E422" s="13"/>
      <c r="F422" s="13"/>
      <c r="G422" s="13"/>
      <c r="AF422" s="134"/>
      <c r="AG422" s="134"/>
    </row>
    <row r="423" spans="1:33" x14ac:dyDescent="0.2">
      <c r="A423" s="13"/>
      <c r="B423" s="13"/>
      <c r="C423" s="13"/>
      <c r="D423" s="116"/>
      <c r="E423" s="13"/>
      <c r="F423" s="13"/>
      <c r="G423" s="13"/>
      <c r="AF423" s="134"/>
      <c r="AG423" s="134"/>
    </row>
    <row r="424" spans="1:33" x14ac:dyDescent="0.2">
      <c r="A424" s="13"/>
      <c r="B424" s="13"/>
      <c r="C424" s="13"/>
      <c r="D424" s="116"/>
      <c r="E424" s="13"/>
      <c r="F424" s="13"/>
      <c r="G424" s="13"/>
      <c r="AF424" s="134"/>
      <c r="AG424" s="134"/>
    </row>
    <row r="425" spans="1:33" x14ac:dyDescent="0.2">
      <c r="A425" s="13"/>
      <c r="B425" s="13"/>
      <c r="C425" s="13"/>
      <c r="D425" s="116"/>
      <c r="E425" s="13"/>
      <c r="F425" s="13"/>
      <c r="G425" s="13"/>
      <c r="AF425" s="134"/>
      <c r="AG425" s="134"/>
    </row>
    <row r="426" spans="1:33" x14ac:dyDescent="0.2">
      <c r="A426" s="13"/>
      <c r="B426" s="13"/>
      <c r="C426" s="13"/>
      <c r="D426" s="116"/>
      <c r="E426" s="13"/>
      <c r="F426" s="13"/>
      <c r="G426" s="13"/>
      <c r="AF426" s="134"/>
      <c r="AG426" s="134"/>
    </row>
    <row r="427" spans="1:33" x14ac:dyDescent="0.2">
      <c r="A427" s="13"/>
      <c r="B427" s="13"/>
      <c r="C427" s="13"/>
      <c r="D427" s="116"/>
      <c r="E427" s="13"/>
      <c r="F427" s="13"/>
      <c r="G427" s="13"/>
      <c r="AF427" s="134"/>
      <c r="AG427" s="134"/>
    </row>
    <row r="428" spans="1:33" x14ac:dyDescent="0.2">
      <c r="A428" s="13"/>
      <c r="B428" s="13"/>
      <c r="C428" s="13"/>
      <c r="D428" s="116"/>
      <c r="E428" s="13"/>
      <c r="F428" s="13"/>
      <c r="G428" s="13"/>
      <c r="AF428" s="134"/>
      <c r="AG428" s="134"/>
    </row>
    <row r="429" spans="1:33" x14ac:dyDescent="0.2">
      <c r="A429" s="13"/>
      <c r="B429" s="13"/>
      <c r="C429" s="13"/>
      <c r="D429" s="116"/>
      <c r="E429" s="13"/>
      <c r="F429" s="13"/>
      <c r="G429" s="13"/>
      <c r="AF429" s="134"/>
      <c r="AG429" s="134"/>
    </row>
    <row r="430" spans="1:33" x14ac:dyDescent="0.2">
      <c r="A430" s="13"/>
      <c r="B430" s="13"/>
      <c r="C430" s="13"/>
      <c r="D430" s="116"/>
      <c r="E430" s="13"/>
      <c r="F430" s="13"/>
      <c r="G430" s="13"/>
      <c r="AF430" s="134"/>
      <c r="AG430" s="134"/>
    </row>
    <row r="431" spans="1:33" x14ac:dyDescent="0.2">
      <c r="A431" s="13"/>
      <c r="B431" s="13"/>
      <c r="C431" s="13"/>
      <c r="D431" s="116"/>
      <c r="E431" s="13"/>
      <c r="F431" s="13"/>
      <c r="G431" s="13"/>
      <c r="AF431" s="134"/>
      <c r="AG431" s="134"/>
    </row>
    <row r="432" spans="1:33" x14ac:dyDescent="0.2">
      <c r="A432" s="13"/>
      <c r="B432" s="13"/>
      <c r="C432" s="13"/>
      <c r="D432" s="116"/>
      <c r="E432" s="13"/>
      <c r="F432" s="13"/>
      <c r="G432" s="13"/>
      <c r="AF432" s="134"/>
      <c r="AG432" s="134"/>
    </row>
    <row r="433" spans="1:33" x14ac:dyDescent="0.2">
      <c r="A433" s="13"/>
      <c r="B433" s="13"/>
      <c r="C433" s="13"/>
      <c r="D433" s="116"/>
      <c r="E433" s="13"/>
      <c r="F433" s="13"/>
      <c r="G433" s="13"/>
      <c r="AF433" s="134"/>
      <c r="AG433" s="134"/>
    </row>
    <row r="434" spans="1:33" x14ac:dyDescent="0.2">
      <c r="A434" s="13"/>
      <c r="B434" s="13"/>
      <c r="C434" s="13"/>
      <c r="D434" s="116"/>
      <c r="E434" s="13"/>
      <c r="F434" s="13"/>
      <c r="G434" s="13"/>
      <c r="AF434" s="134"/>
      <c r="AG434" s="134"/>
    </row>
    <row r="435" spans="1:33" x14ac:dyDescent="0.2">
      <c r="A435" s="13"/>
      <c r="B435" s="13"/>
      <c r="C435" s="13"/>
      <c r="D435" s="116"/>
      <c r="E435" s="13"/>
      <c r="F435" s="13"/>
      <c r="G435" s="13"/>
      <c r="AF435" s="134"/>
      <c r="AG435" s="134"/>
    </row>
    <row r="436" spans="1:33" x14ac:dyDescent="0.2">
      <c r="A436" s="13"/>
      <c r="B436" s="13"/>
      <c r="C436" s="13"/>
      <c r="D436" s="116"/>
      <c r="E436" s="13"/>
      <c r="F436" s="13"/>
      <c r="G436" s="13"/>
      <c r="AF436" s="134"/>
      <c r="AG436" s="134"/>
    </row>
    <row r="437" spans="1:33" x14ac:dyDescent="0.2">
      <c r="A437" s="13"/>
      <c r="B437" s="13"/>
      <c r="C437" s="13"/>
      <c r="D437" s="116"/>
      <c r="E437" s="13"/>
      <c r="F437" s="13"/>
      <c r="G437" s="13"/>
      <c r="AF437" s="134"/>
      <c r="AG437" s="134"/>
    </row>
    <row r="438" spans="1:33" x14ac:dyDescent="0.2">
      <c r="A438" s="13"/>
      <c r="B438" s="13"/>
      <c r="C438" s="13"/>
      <c r="D438" s="116"/>
      <c r="E438" s="13"/>
      <c r="F438" s="13"/>
      <c r="G438" s="13"/>
      <c r="AF438" s="134"/>
      <c r="AG438" s="134"/>
    </row>
    <row r="439" spans="1:33" x14ac:dyDescent="0.2">
      <c r="A439" s="13"/>
      <c r="B439" s="13"/>
      <c r="C439" s="13"/>
      <c r="D439" s="116"/>
      <c r="E439" s="13"/>
      <c r="F439" s="13"/>
      <c r="G439" s="13"/>
      <c r="AF439" s="134"/>
      <c r="AG439" s="134"/>
    </row>
    <row r="440" spans="1:33" x14ac:dyDescent="0.2">
      <c r="A440" s="13"/>
      <c r="B440" s="13"/>
      <c r="C440" s="13"/>
      <c r="D440" s="116"/>
      <c r="E440" s="13"/>
      <c r="F440" s="13"/>
      <c r="G440" s="13"/>
      <c r="AF440" s="134"/>
      <c r="AG440" s="134"/>
    </row>
    <row r="441" spans="1:33" x14ac:dyDescent="0.2">
      <c r="A441" s="13"/>
      <c r="B441" s="13"/>
      <c r="C441" s="13"/>
      <c r="D441" s="116"/>
      <c r="E441" s="13"/>
      <c r="F441" s="13"/>
      <c r="G441" s="13"/>
      <c r="AF441" s="134"/>
      <c r="AG441" s="134"/>
    </row>
    <row r="442" spans="1:33" x14ac:dyDescent="0.2">
      <c r="A442" s="13"/>
      <c r="B442" s="13"/>
      <c r="C442" s="13"/>
      <c r="D442" s="116"/>
      <c r="E442" s="13"/>
      <c r="F442" s="13"/>
      <c r="G442" s="13"/>
      <c r="AF442" s="134"/>
      <c r="AG442" s="134"/>
    </row>
    <row r="443" spans="1:33" x14ac:dyDescent="0.2">
      <c r="A443" s="13"/>
      <c r="B443" s="13"/>
      <c r="C443" s="13"/>
      <c r="D443" s="116"/>
      <c r="E443" s="13"/>
      <c r="F443" s="13"/>
      <c r="G443" s="13"/>
      <c r="AF443" s="134"/>
      <c r="AG443" s="134"/>
    </row>
    <row r="444" spans="1:33" x14ac:dyDescent="0.2">
      <c r="A444" s="13"/>
      <c r="B444" s="13"/>
      <c r="C444" s="13"/>
      <c r="D444" s="116"/>
      <c r="E444" s="13"/>
      <c r="F444" s="13"/>
      <c r="G444" s="13"/>
      <c r="AF444" s="134"/>
      <c r="AG444" s="134"/>
    </row>
    <row r="445" spans="1:33" x14ac:dyDescent="0.2">
      <c r="A445" s="13"/>
      <c r="B445" s="13"/>
      <c r="C445" s="13"/>
      <c r="D445" s="116"/>
      <c r="E445" s="13"/>
      <c r="F445" s="13"/>
      <c r="G445" s="13"/>
      <c r="AF445" s="134"/>
      <c r="AG445" s="134"/>
    </row>
    <row r="446" spans="1:33" x14ac:dyDescent="0.2">
      <c r="A446" s="13"/>
      <c r="B446" s="13"/>
      <c r="C446" s="13"/>
      <c r="D446" s="116"/>
      <c r="E446" s="13"/>
      <c r="F446" s="13"/>
      <c r="G446" s="13"/>
      <c r="AF446" s="134"/>
      <c r="AG446" s="134"/>
    </row>
    <row r="447" spans="1:33" x14ac:dyDescent="0.2">
      <c r="A447" s="13"/>
      <c r="B447" s="13"/>
      <c r="C447" s="13"/>
      <c r="D447" s="116"/>
      <c r="E447" s="13"/>
      <c r="F447" s="13"/>
      <c r="G447" s="13"/>
      <c r="AF447" s="134"/>
      <c r="AG447" s="134"/>
    </row>
    <row r="448" spans="1:33" x14ac:dyDescent="0.2">
      <c r="A448" s="13"/>
      <c r="B448" s="13"/>
      <c r="C448" s="13"/>
      <c r="D448" s="116"/>
      <c r="E448" s="13"/>
      <c r="F448" s="13"/>
      <c r="G448" s="13"/>
      <c r="AF448" s="134"/>
      <c r="AG448" s="134"/>
    </row>
    <row r="449" spans="1:33" x14ac:dyDescent="0.2">
      <c r="A449" s="13"/>
      <c r="B449" s="13"/>
      <c r="C449" s="13"/>
      <c r="D449" s="116"/>
      <c r="E449" s="13"/>
      <c r="F449" s="13"/>
      <c r="G449" s="13"/>
      <c r="AF449" s="134"/>
      <c r="AG449" s="134"/>
    </row>
    <row r="450" spans="1:33" x14ac:dyDescent="0.2">
      <c r="A450" s="13"/>
      <c r="B450" s="13"/>
      <c r="C450" s="13"/>
      <c r="D450" s="116"/>
      <c r="E450" s="13"/>
      <c r="F450" s="13"/>
      <c r="G450" s="13"/>
      <c r="AF450" s="134"/>
      <c r="AG450" s="134"/>
    </row>
    <row r="451" spans="1:33" x14ac:dyDescent="0.2">
      <c r="A451" s="13"/>
      <c r="B451" s="13"/>
      <c r="C451" s="13"/>
      <c r="D451" s="116"/>
      <c r="E451" s="13"/>
      <c r="F451" s="13"/>
      <c r="G451" s="13"/>
      <c r="AF451" s="134"/>
      <c r="AG451" s="134"/>
    </row>
    <row r="452" spans="1:33" x14ac:dyDescent="0.2">
      <c r="A452" s="13"/>
      <c r="B452" s="13"/>
      <c r="C452" s="13"/>
      <c r="D452" s="116"/>
      <c r="E452" s="13"/>
      <c r="F452" s="13"/>
      <c r="G452" s="13"/>
      <c r="AF452" s="134"/>
      <c r="AG452" s="134"/>
    </row>
    <row r="453" spans="1:33" x14ac:dyDescent="0.2">
      <c r="A453" s="13"/>
      <c r="B453" s="13"/>
      <c r="C453" s="13"/>
      <c r="D453" s="116"/>
      <c r="E453" s="13"/>
      <c r="F453" s="13"/>
      <c r="G453" s="13"/>
      <c r="AF453" s="134"/>
      <c r="AG453" s="134"/>
    </row>
    <row r="454" spans="1:33" x14ac:dyDescent="0.2">
      <c r="A454" s="13"/>
      <c r="B454" s="13"/>
      <c r="C454" s="13"/>
      <c r="D454" s="116"/>
      <c r="E454" s="13"/>
      <c r="F454" s="13"/>
      <c r="G454" s="13"/>
      <c r="AF454" s="134"/>
      <c r="AG454" s="134"/>
    </row>
    <row r="455" spans="1:33" x14ac:dyDescent="0.2">
      <c r="A455" s="13"/>
      <c r="B455" s="13"/>
      <c r="C455" s="13"/>
      <c r="D455" s="116"/>
      <c r="E455" s="13"/>
      <c r="F455" s="13"/>
      <c r="G455" s="13"/>
      <c r="AF455" s="134"/>
      <c r="AG455" s="134"/>
    </row>
    <row r="456" spans="1:33" x14ac:dyDescent="0.2">
      <c r="A456" s="13"/>
      <c r="B456" s="13"/>
      <c r="C456" s="13"/>
      <c r="D456" s="116"/>
      <c r="E456" s="13"/>
      <c r="F456" s="13"/>
      <c r="G456" s="13"/>
      <c r="AF456" s="134"/>
      <c r="AG456" s="134"/>
    </row>
    <row r="457" spans="1:33" x14ac:dyDescent="0.2">
      <c r="A457" s="13"/>
      <c r="B457" s="13"/>
      <c r="C457" s="13"/>
      <c r="D457" s="116"/>
      <c r="E457" s="13"/>
      <c r="F457" s="13"/>
      <c r="G457" s="13"/>
      <c r="AF457" s="134"/>
      <c r="AG457" s="134"/>
    </row>
    <row r="458" spans="1:33" x14ac:dyDescent="0.2">
      <c r="A458" s="13"/>
      <c r="B458" s="13"/>
      <c r="C458" s="13"/>
      <c r="D458" s="116"/>
      <c r="E458" s="13"/>
      <c r="F458" s="13"/>
      <c r="G458" s="13"/>
      <c r="AF458" s="134"/>
      <c r="AG458" s="134"/>
    </row>
    <row r="459" spans="1:33" x14ac:dyDescent="0.2">
      <c r="A459" s="13"/>
      <c r="B459" s="13"/>
      <c r="C459" s="13"/>
      <c r="D459" s="116"/>
      <c r="E459" s="13"/>
      <c r="F459" s="13"/>
      <c r="G459" s="13"/>
      <c r="AF459" s="134"/>
      <c r="AG459" s="134"/>
    </row>
    <row r="460" spans="1:33" x14ac:dyDescent="0.2">
      <c r="A460" s="13"/>
      <c r="B460" s="13"/>
      <c r="C460" s="13"/>
      <c r="D460" s="116"/>
      <c r="E460" s="13"/>
      <c r="F460" s="13"/>
      <c r="G460" s="13"/>
      <c r="AF460" s="134"/>
      <c r="AG460" s="134"/>
    </row>
    <row r="461" spans="1:33" x14ac:dyDescent="0.2">
      <c r="A461" s="13"/>
      <c r="B461" s="13"/>
      <c r="C461" s="13"/>
      <c r="D461" s="116"/>
      <c r="E461" s="13"/>
      <c r="F461" s="13"/>
      <c r="G461" s="13"/>
      <c r="AF461" s="134"/>
      <c r="AG461" s="134"/>
    </row>
    <row r="462" spans="1:33" x14ac:dyDescent="0.2">
      <c r="A462" s="13"/>
      <c r="B462" s="13"/>
      <c r="C462" s="13"/>
      <c r="D462" s="116"/>
      <c r="E462" s="13"/>
      <c r="F462" s="13"/>
      <c r="G462" s="13"/>
      <c r="AF462" s="134"/>
      <c r="AG462" s="134"/>
    </row>
    <row r="463" spans="1:33" x14ac:dyDescent="0.2">
      <c r="A463" s="13"/>
      <c r="B463" s="13"/>
      <c r="C463" s="13"/>
      <c r="D463" s="116"/>
      <c r="E463" s="13"/>
      <c r="F463" s="13"/>
      <c r="G463" s="13"/>
      <c r="AF463" s="134"/>
      <c r="AG463" s="134"/>
    </row>
    <row r="464" spans="1:33" x14ac:dyDescent="0.2">
      <c r="A464" s="13"/>
      <c r="B464" s="13"/>
      <c r="C464" s="13"/>
      <c r="D464" s="116"/>
      <c r="E464" s="13"/>
      <c r="F464" s="13"/>
      <c r="G464" s="13"/>
      <c r="AF464" s="134"/>
      <c r="AG464" s="134"/>
    </row>
    <row r="465" spans="1:33" x14ac:dyDescent="0.2">
      <c r="A465" s="13"/>
      <c r="B465" s="13"/>
      <c r="C465" s="13"/>
      <c r="D465" s="116"/>
      <c r="E465" s="13"/>
      <c r="F465" s="13"/>
      <c r="G465" s="13"/>
      <c r="AF465" s="134"/>
      <c r="AG465" s="134"/>
    </row>
    <row r="466" spans="1:33" x14ac:dyDescent="0.2">
      <c r="A466" s="13"/>
      <c r="B466" s="13"/>
      <c r="C466" s="13"/>
      <c r="D466" s="116"/>
      <c r="E466" s="13"/>
      <c r="F466" s="13"/>
      <c r="G466" s="13"/>
      <c r="AF466" s="134"/>
      <c r="AG466" s="134"/>
    </row>
    <row r="467" spans="1:33" x14ac:dyDescent="0.2">
      <c r="A467" s="13"/>
      <c r="B467" s="13"/>
      <c r="C467" s="13"/>
      <c r="D467" s="116"/>
      <c r="E467" s="13"/>
      <c r="F467" s="13"/>
      <c r="G467" s="13"/>
      <c r="AF467" s="134"/>
      <c r="AG467" s="134"/>
    </row>
    <row r="468" spans="1:33" x14ac:dyDescent="0.2">
      <c r="A468" s="13"/>
      <c r="B468" s="13"/>
      <c r="C468" s="13"/>
      <c r="D468" s="116"/>
      <c r="E468" s="13"/>
      <c r="F468" s="13"/>
      <c r="G468" s="13"/>
      <c r="AF468" s="134"/>
      <c r="AG468" s="134"/>
    </row>
    <row r="469" spans="1:33" x14ac:dyDescent="0.2">
      <c r="A469" s="13"/>
      <c r="B469" s="13"/>
      <c r="C469" s="13"/>
      <c r="D469" s="116"/>
      <c r="E469" s="13"/>
      <c r="F469" s="13"/>
      <c r="G469" s="13"/>
      <c r="AF469" s="134"/>
      <c r="AG469" s="134"/>
    </row>
    <row r="470" spans="1:33" x14ac:dyDescent="0.2">
      <c r="A470" s="13"/>
      <c r="B470" s="13"/>
      <c r="C470" s="13"/>
      <c r="D470" s="116"/>
      <c r="E470" s="13"/>
      <c r="F470" s="13"/>
      <c r="G470" s="13"/>
      <c r="AF470" s="134"/>
      <c r="AG470" s="134"/>
    </row>
    <row r="471" spans="1:33" x14ac:dyDescent="0.2">
      <c r="D471" s="116"/>
      <c r="AF471" s="134"/>
      <c r="AG471" s="134"/>
    </row>
    <row r="472" spans="1:33" x14ac:dyDescent="0.2">
      <c r="D472" s="116"/>
      <c r="AF472" s="134"/>
      <c r="AG472" s="134"/>
    </row>
    <row r="473" spans="1:33" x14ac:dyDescent="0.2">
      <c r="D473" s="116"/>
      <c r="AF473" s="134"/>
      <c r="AG473" s="134"/>
    </row>
    <row r="474" spans="1:33" x14ac:dyDescent="0.2">
      <c r="D474" s="116"/>
      <c r="AF474" s="134"/>
      <c r="AG474" s="134"/>
    </row>
    <row r="475" spans="1:33" x14ac:dyDescent="0.2">
      <c r="D475" s="116"/>
      <c r="AF475" s="134"/>
      <c r="AG475" s="134"/>
    </row>
    <row r="476" spans="1:33" x14ac:dyDescent="0.2">
      <c r="D476" s="116"/>
      <c r="AF476" s="134"/>
      <c r="AG476" s="134"/>
    </row>
    <row r="477" spans="1:33" x14ac:dyDescent="0.2">
      <c r="D477" s="116"/>
      <c r="AF477" s="134"/>
      <c r="AG477" s="134"/>
    </row>
    <row r="478" spans="1:33" x14ac:dyDescent="0.2">
      <c r="D478" s="116"/>
      <c r="AF478" s="134"/>
      <c r="AG478" s="134"/>
    </row>
    <row r="479" spans="1:33" x14ac:dyDescent="0.2">
      <c r="D479" s="116"/>
      <c r="AF479" s="134"/>
      <c r="AG479" s="134"/>
    </row>
    <row r="480" spans="1:33" x14ac:dyDescent="0.2">
      <c r="D480" s="116"/>
      <c r="AF480" s="134"/>
      <c r="AG480" s="134"/>
    </row>
    <row r="481" spans="4:33" x14ac:dyDescent="0.2">
      <c r="D481" s="116"/>
      <c r="AF481" s="134"/>
      <c r="AG481" s="134"/>
    </row>
    <row r="482" spans="4:33" x14ac:dyDescent="0.2">
      <c r="D482" s="116"/>
      <c r="AF482" s="134"/>
      <c r="AG482" s="134"/>
    </row>
    <row r="483" spans="4:33" x14ac:dyDescent="0.2">
      <c r="D483" s="116"/>
      <c r="AF483" s="134"/>
      <c r="AG483" s="134"/>
    </row>
    <row r="484" spans="4:33" x14ac:dyDescent="0.2">
      <c r="D484" s="116"/>
      <c r="AF484" s="134"/>
      <c r="AG484" s="134"/>
    </row>
    <row r="485" spans="4:33" x14ac:dyDescent="0.2">
      <c r="D485" s="116"/>
      <c r="AF485" s="134"/>
      <c r="AG485" s="134"/>
    </row>
    <row r="486" spans="4:33" x14ac:dyDescent="0.2">
      <c r="D486" s="116"/>
      <c r="AF486" s="134"/>
      <c r="AG486" s="134"/>
    </row>
    <row r="487" spans="4:33" x14ac:dyDescent="0.2">
      <c r="D487" s="116"/>
      <c r="AF487" s="134"/>
      <c r="AG487" s="134"/>
    </row>
    <row r="488" spans="4:33" x14ac:dyDescent="0.2">
      <c r="D488" s="116"/>
      <c r="AF488" s="134"/>
      <c r="AG488" s="134"/>
    </row>
    <row r="489" spans="4:33" x14ac:dyDescent="0.2">
      <c r="D489" s="116"/>
      <c r="AF489" s="134"/>
      <c r="AG489" s="134"/>
    </row>
    <row r="490" spans="4:33" x14ac:dyDescent="0.2">
      <c r="D490" s="116"/>
      <c r="AF490" s="134"/>
      <c r="AG490" s="134"/>
    </row>
    <row r="491" spans="4:33" x14ac:dyDescent="0.2">
      <c r="D491" s="116"/>
      <c r="AF491" s="134"/>
      <c r="AG491" s="134"/>
    </row>
    <row r="492" spans="4:33" x14ac:dyDescent="0.2">
      <c r="D492" s="116"/>
      <c r="AF492" s="134"/>
      <c r="AG492" s="134"/>
    </row>
    <row r="493" spans="4:33" x14ac:dyDescent="0.2">
      <c r="D493" s="116"/>
      <c r="AF493" s="134"/>
      <c r="AG493" s="134"/>
    </row>
    <row r="494" spans="4:33" x14ac:dyDescent="0.2">
      <c r="D494" s="116"/>
      <c r="AF494" s="134"/>
      <c r="AG494" s="134"/>
    </row>
    <row r="495" spans="4:33" x14ac:dyDescent="0.2">
      <c r="D495" s="116"/>
      <c r="AF495" s="134"/>
      <c r="AG495" s="134"/>
    </row>
    <row r="496" spans="4:33" x14ac:dyDescent="0.2">
      <c r="D496" s="116"/>
      <c r="AF496" s="134"/>
      <c r="AG496" s="134"/>
    </row>
    <row r="497" spans="4:33" x14ac:dyDescent="0.2">
      <c r="D497" s="116"/>
      <c r="AF497" s="134"/>
      <c r="AG497" s="134"/>
    </row>
    <row r="498" spans="4:33" x14ac:dyDescent="0.2">
      <c r="D498" s="116"/>
      <c r="AF498" s="134"/>
      <c r="AG498" s="134"/>
    </row>
    <row r="499" spans="4:33" x14ac:dyDescent="0.2">
      <c r="D499" s="116"/>
      <c r="AF499" s="134"/>
      <c r="AG499" s="134"/>
    </row>
    <row r="500" spans="4:33" x14ac:dyDescent="0.2">
      <c r="D500" s="116"/>
      <c r="AF500" s="134"/>
      <c r="AG500" s="134"/>
    </row>
    <row r="501" spans="4:33" x14ac:dyDescent="0.2">
      <c r="D501" s="116"/>
      <c r="AF501" s="134"/>
      <c r="AG501" s="134"/>
    </row>
    <row r="502" spans="4:33" x14ac:dyDescent="0.2">
      <c r="D502" s="116"/>
      <c r="AF502" s="134"/>
      <c r="AG502" s="134"/>
    </row>
    <row r="503" spans="4:33" x14ac:dyDescent="0.2">
      <c r="D503" s="116"/>
      <c r="AF503" s="134"/>
      <c r="AG503" s="134"/>
    </row>
    <row r="504" spans="4:33" x14ac:dyDescent="0.2">
      <c r="D504" s="116"/>
      <c r="AF504" s="134"/>
      <c r="AG504" s="134"/>
    </row>
    <row r="505" spans="4:33" x14ac:dyDescent="0.2">
      <c r="D505" s="116"/>
      <c r="AF505" s="134"/>
      <c r="AG505" s="134"/>
    </row>
    <row r="506" spans="4:33" x14ac:dyDescent="0.2">
      <c r="D506" s="116"/>
      <c r="AF506" s="134"/>
      <c r="AG506" s="134"/>
    </row>
    <row r="507" spans="4:33" x14ac:dyDescent="0.2">
      <c r="D507" s="116"/>
      <c r="AF507" s="134"/>
      <c r="AG507" s="134"/>
    </row>
    <row r="508" spans="4:33" x14ac:dyDescent="0.2">
      <c r="D508" s="116"/>
      <c r="AF508" s="134"/>
      <c r="AG508" s="134"/>
    </row>
    <row r="509" spans="4:33" x14ac:dyDescent="0.2">
      <c r="D509" s="116"/>
      <c r="AF509" s="134"/>
      <c r="AG509" s="134"/>
    </row>
    <row r="510" spans="4:33" x14ac:dyDescent="0.2">
      <c r="D510" s="116"/>
      <c r="AF510" s="134"/>
      <c r="AG510" s="134"/>
    </row>
    <row r="511" spans="4:33" x14ac:dyDescent="0.2">
      <c r="D511" s="116"/>
      <c r="AF511" s="134"/>
      <c r="AG511" s="134"/>
    </row>
    <row r="512" spans="4:33" x14ac:dyDescent="0.2">
      <c r="D512" s="116"/>
      <c r="AF512" s="134"/>
      <c r="AG512" s="134"/>
    </row>
    <row r="513" spans="4:33" x14ac:dyDescent="0.2">
      <c r="D513" s="116"/>
      <c r="AF513" s="134"/>
      <c r="AG513" s="134"/>
    </row>
    <row r="514" spans="4:33" x14ac:dyDescent="0.2">
      <c r="D514" s="116"/>
      <c r="AF514" s="134"/>
      <c r="AG514" s="134"/>
    </row>
    <row r="515" spans="4:33" x14ac:dyDescent="0.2">
      <c r="D515" s="116"/>
      <c r="AF515" s="134"/>
      <c r="AG515" s="134"/>
    </row>
    <row r="516" spans="4:33" x14ac:dyDescent="0.2">
      <c r="D516" s="116"/>
      <c r="AF516" s="134"/>
      <c r="AG516" s="134"/>
    </row>
    <row r="517" spans="4:33" x14ac:dyDescent="0.2">
      <c r="D517" s="116"/>
      <c r="AF517" s="134"/>
      <c r="AG517" s="134"/>
    </row>
    <row r="518" spans="4:33" x14ac:dyDescent="0.2">
      <c r="D518" s="116"/>
      <c r="AF518" s="134"/>
      <c r="AG518" s="134"/>
    </row>
    <row r="519" spans="4:33" x14ac:dyDescent="0.2">
      <c r="D519" s="116"/>
      <c r="AF519" s="134"/>
      <c r="AG519" s="134"/>
    </row>
    <row r="520" spans="4:33" x14ac:dyDescent="0.2">
      <c r="D520" s="116"/>
      <c r="AF520" s="134"/>
      <c r="AG520" s="134"/>
    </row>
    <row r="521" spans="4:33" x14ac:dyDescent="0.2">
      <c r="D521" s="116"/>
      <c r="AF521" s="134"/>
      <c r="AG521" s="134"/>
    </row>
    <row r="522" spans="4:33" x14ac:dyDescent="0.2">
      <c r="D522" s="116"/>
      <c r="AF522" s="134"/>
      <c r="AG522" s="134"/>
    </row>
    <row r="523" spans="4:33" x14ac:dyDescent="0.2">
      <c r="D523" s="116"/>
      <c r="AF523" s="134"/>
      <c r="AG523" s="134"/>
    </row>
    <row r="524" spans="4:33" x14ac:dyDescent="0.2">
      <c r="D524" s="116"/>
      <c r="AF524" s="134"/>
      <c r="AG524" s="134"/>
    </row>
    <row r="525" spans="4:33" x14ac:dyDescent="0.2">
      <c r="D525" s="116"/>
      <c r="AF525" s="134"/>
      <c r="AG525" s="134"/>
    </row>
    <row r="526" spans="4:33" x14ac:dyDescent="0.2">
      <c r="D526" s="116"/>
      <c r="AF526" s="134"/>
      <c r="AG526" s="134"/>
    </row>
    <row r="527" spans="4:33" x14ac:dyDescent="0.2">
      <c r="D527" s="116"/>
      <c r="AF527" s="134"/>
      <c r="AG527" s="134"/>
    </row>
    <row r="528" spans="4:33" x14ac:dyDescent="0.2">
      <c r="D528" s="116"/>
      <c r="AF528" s="134"/>
      <c r="AG528" s="134"/>
    </row>
    <row r="529" spans="4:33" x14ac:dyDescent="0.2">
      <c r="D529" s="116"/>
      <c r="AF529" s="134"/>
      <c r="AG529" s="134"/>
    </row>
    <row r="530" spans="4:33" x14ac:dyDescent="0.2">
      <c r="D530" s="116"/>
      <c r="AF530" s="134"/>
      <c r="AG530" s="134"/>
    </row>
    <row r="531" spans="4:33" x14ac:dyDescent="0.2">
      <c r="D531" s="116"/>
      <c r="AF531" s="134"/>
      <c r="AG531" s="134"/>
    </row>
    <row r="532" spans="4:33" x14ac:dyDescent="0.2">
      <c r="D532" s="116"/>
      <c r="AF532" s="134"/>
      <c r="AG532" s="134"/>
    </row>
    <row r="533" spans="4:33" x14ac:dyDescent="0.2">
      <c r="D533" s="116"/>
      <c r="AF533" s="134"/>
      <c r="AG533" s="134"/>
    </row>
    <row r="534" spans="4:33" x14ac:dyDescent="0.2">
      <c r="D534" s="116"/>
      <c r="AF534" s="134"/>
      <c r="AG534" s="134"/>
    </row>
  </sheetData>
  <dataConsolidate/>
  <mergeCells count="7">
    <mergeCell ref="AG1:AG2"/>
    <mergeCell ref="AD1:AF1"/>
    <mergeCell ref="AH1:AM1"/>
    <mergeCell ref="A1:G1"/>
    <mergeCell ref="J1:S1"/>
    <mergeCell ref="T1:V1"/>
    <mergeCell ref="W1:AC1"/>
  </mergeCells>
  <conditionalFormatting sqref="A2:S2">
    <cfRule type="cellIs" dxfId="40" priority="7" operator="notEqual">
      <formula>#REF!</formula>
    </cfRule>
    <cfRule type="cellIs" dxfId="39" priority="8" operator="notEqual">
      <formula>#REF!+#REF!</formula>
    </cfRule>
  </conditionalFormatting>
  <conditionalFormatting sqref="W2:AF2">
    <cfRule type="cellIs" dxfId="38" priority="5" operator="notEqual">
      <formula>#REF!</formula>
    </cfRule>
    <cfRule type="cellIs" dxfId="37" priority="6" operator="notEqual">
      <formula>#REF!+#REF!</formula>
    </cfRule>
  </conditionalFormatting>
  <conditionalFormatting sqref="AG1">
    <cfRule type="cellIs" dxfId="36" priority="3" operator="notEqual">
      <formula>#REF!</formula>
    </cfRule>
    <cfRule type="cellIs" dxfId="35" priority="4" operator="notEqual">
      <formula>#REF!+#REF!</formula>
    </cfRule>
  </conditionalFormatting>
  <conditionalFormatting sqref="AK2:AU2">
    <cfRule type="cellIs" dxfId="34" priority="1" operator="notEqual">
      <formula>#REF!</formula>
    </cfRule>
    <cfRule type="cellIs" dxfId="33" priority="2" operator="notEqual">
      <formula>#REF!+#REF!</formula>
    </cfRule>
  </conditionalFormatting>
  <dataValidations count="17">
    <dataValidation type="list" allowBlank="1" showInputMessage="1" showErrorMessage="1" sqref="E3:E108 E206:E1048576" xr:uid="{23318C41-9F6B-9447-B038-4F10988B3F8C}">
      <formula1>"0=School Environment, 1=After school Program"</formula1>
    </dataValidation>
    <dataValidation type="list" allowBlank="1" showInputMessage="1" showErrorMessage="1" sqref="T3:T108 T206:T1048576" xr:uid="{05921470-C523-8947-A010-196E6A9BC91A}">
      <formula1>"BAU, AC (other area),... ,c = code-based,  m = meaning-based, cm = combined coding + meaning "</formula1>
    </dataValidation>
    <dataValidation type="list" allowBlank="1" showInputMessage="1" showErrorMessage="1" sqref="AC3:AC75 AC77:AC108 AC206:AC1048576" xr:uid="{10E71A17-83AE-9D40-BAFC-6E2B09762371}">
      <formula1>"BAU, 0 = Not reported , 1 = Reported"</formula1>
    </dataValidation>
    <dataValidation type="list" allowBlank="1" showInputMessage="1" showErrorMessage="1" sqref="W3:W45 W46:X108 X110 W206:W1048576" xr:uid="{14DD8782-6D25-2A49-B59E-981481D7D7D9}">
      <formula1>"BAU, 0 = No / Not reported,  1 = Yes (Including CAI)"</formula1>
    </dataValidation>
    <dataValidation type="list" allowBlank="1" showInputMessage="1" showErrorMessage="1" sqref="Y206:Y1048576" xr:uid="{5E7C646A-83E0-DA4D-82F1-ED9926A2E0DA}">
      <formula1>"BAU, NA, 0 = Research Staff,  1 = School Staff,  2 =  CAI,  3 = 50% T and 50% R"</formula1>
    </dataValidation>
    <dataValidation type="list" allowBlank="1" showInputMessage="1" showErrorMessage="1" sqref="Y44 X94 X1:X45 X107 X105 X103 X58 X66 X71 X81 X83 X85 X87 X89 X110 X206:X1048576" xr:uid="{0EEF0723-1568-9543-B307-36AE4E39F798}">
      <formula1>"BAU, NA, 0 = classroom/ large group,  1 = small group (3–7 students),  2 = individual  (1–2 students)"</formula1>
    </dataValidation>
    <dataValidation type="list" allowBlank="1" showInputMessage="1" showErrorMessage="1" sqref="F3:F108 F206:F1048576" xr:uid="{3048FF58-9184-FE4A-8F3D-9520CAB51A49}">
      <formula1>" 0 = peer reviewed paper,   1 = disseration,   2 = report/chapter/others"</formula1>
    </dataValidation>
    <dataValidation type="list" allowBlank="1" showInputMessage="1" showErrorMessage="1" sqref="Y3:Y22" xr:uid="{4133AA3F-9C30-4E45-A6D8-91A76C5F8247}">
      <formula1>"BAU, NR = Not Reported, 0 = Research Staff,  1 = School Staff,  2 =  CAI,  3 = 50% T and 50% R"</formula1>
    </dataValidation>
    <dataValidation type="list" allowBlank="1" showInputMessage="1" showErrorMessage="1" sqref="V1:V108 V206:V1048576" xr:uid="{368A1BEE-C05F-F844-8EBC-8CE208FBF4E8}">
      <formula1>"0 = Researcher-developed curriculum,   1 = Published or Commercially available curriculum,  2 = District/State curriculum, NA (for BAU/AC Condition)"</formula1>
    </dataValidation>
    <dataValidation type="list" allowBlank="1" showInputMessage="1" showErrorMessage="1" sqref="Y23:Y43 Y45:Y89" xr:uid="{E7716E2D-73DB-D840-8EE9-6A9A95B1CE80}">
      <formula1>"BAU, NA, 0 = Research Staff, 1 = School Staff, 2 = CAI, 3 = 50% R and 50% T"</formula1>
    </dataValidation>
    <dataValidation type="list" allowBlank="1" showInputMessage="1" showErrorMessage="1" sqref="AU3:AU108 AU206:AU1048576" xr:uid="{46B2CD3D-6974-3543-B4EB-A6A99EF1446B}">
      <formula1>"0,1,2,3,4,5"</formula1>
    </dataValidation>
    <dataValidation type="list" allowBlank="1" showInputMessage="1" showErrorMessage="1" sqref="AT3:AT57 AT206:AT1048576" xr:uid="{5AD9E967-50C1-E24F-A98F-01F57B45086C}">
      <formula1>"cohen's d,  Hedges' g,  T test,  F test , z score,  Other types"</formula1>
    </dataValidation>
    <dataValidation type="list" allowBlank="1" showInputMessage="1" showErrorMessage="1" sqref="AE3:AE108 AE206:AE1048576" xr:uid="{52117751-440D-8548-BE5A-EB2B8DB6B0A4}">
      <formula1>"0 = NO - Not standardized,  1 = YES - standardized"</formula1>
    </dataValidation>
    <dataValidation type="list" allowBlank="1" showInputMessage="1" showErrorMessage="1" sqref="X108 X106 X104 X46:X57 X59:X65 X67:X70 X72:X80 X82 X84 X86 X88 X90:X93 X95:X102" xr:uid="{C619DEAD-EEA7-234A-A841-FA11A87C2473}">
      <formula1>"BAU, NA, 0 = classroom setting,  1 = small group (3–7 students),  2 = individual  (1–2 students)"</formula1>
    </dataValidation>
    <dataValidation type="list" allowBlank="1" showInputMessage="1" showErrorMessage="1" sqref="Y90:Y108" xr:uid="{8DFE6D99-FD7F-FB40-A361-0E809A1FC3D9}">
      <formula1>"BAU, NA, 0 = Research Staff, 1 = School Staff, 2 = CAI, 3 = 50% R and 50% T, Other"</formula1>
    </dataValidation>
    <dataValidation type="list" allowBlank="1" showInputMessage="1" showErrorMessage="1" sqref="T189:T205 AE189:AF205 AC189:AC205 V189:W205 Y189:Y205 X189:X198 X200:X202 X204:X205 E189:I205" xr:uid="{36BD55D9-9118-6448-B657-32EBC08D054B}">
      <formula1>E$3:E$8</formula1>
    </dataValidation>
    <dataValidation type="list" allowBlank="1" showInputMessage="1" showErrorMessage="1" sqref="G206:I1048576 G3:I108" xr:uid="{FD4D7314-4FC2-FE4D-950D-58459A197998}">
      <formula1>" 0 = RCT,   1 = QED with matched group  "</formula1>
    </dataValidation>
  </dataValidations>
  <pageMargins left="0.7" right="0.7" top="0.75" bottom="0.75" header="0.3" footer="0.3"/>
  <ignoredErrors>
    <ignoredError sqref="L58:L108" numberStoredAsText="1"/>
  </ignoredErrors>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1327B-79B6-CF46-8649-3493A89390BF}">
  <dimension ref="A1:AN205"/>
  <sheetViews>
    <sheetView zoomScale="109" zoomScaleNormal="125" workbookViewId="0">
      <pane xSplit="9" ySplit="2" topLeftCell="J189" activePane="bottomRight" state="frozen"/>
      <selection pane="topRight" activeCell="H1" sqref="H1"/>
      <selection pane="bottomLeft" activeCell="A3" sqref="A3"/>
      <selection pane="bottomRight" activeCell="D210" sqref="D210"/>
    </sheetView>
  </sheetViews>
  <sheetFormatPr baseColWidth="10" defaultColWidth="11.5" defaultRowHeight="15" x14ac:dyDescent="0.2"/>
  <cols>
    <col min="1" max="1" width="17.83203125" style="11" customWidth="1"/>
    <col min="2" max="2" width="6.1640625" style="11" customWidth="1"/>
    <col min="3" max="4" width="6" style="11" customWidth="1"/>
    <col min="5" max="5" width="5.5" style="11" customWidth="1"/>
    <col min="6" max="6" width="4.5" style="11" customWidth="1"/>
    <col min="7" max="7" width="7.33203125" style="11" customWidth="1"/>
    <col min="8" max="8" width="9.33203125" style="11" customWidth="1"/>
    <col min="9" max="9" width="12.6640625" style="11" customWidth="1"/>
    <col min="10" max="10" width="6.5" style="11" customWidth="1"/>
    <col min="11" max="11" width="8.6640625" style="17" customWidth="1"/>
    <col min="12" max="12" width="14.33203125" style="17" customWidth="1"/>
    <col min="13" max="17" width="9.83203125" style="17" customWidth="1"/>
    <col min="18" max="18" width="15.6640625" style="11" customWidth="1"/>
    <col min="19" max="19" width="10.33203125" style="12" customWidth="1"/>
    <col min="20" max="20" width="16.33203125" style="11" customWidth="1"/>
    <col min="21" max="21" width="11.5" style="11" customWidth="1"/>
    <col min="22" max="22" width="13.83203125" style="11" customWidth="1"/>
    <col min="23" max="23" width="16.5" style="11" customWidth="1"/>
    <col min="24" max="25" width="13" style="11" customWidth="1"/>
    <col min="26" max="26" width="13.5" style="11" customWidth="1"/>
    <col min="27" max="27" width="11.5" style="11" customWidth="1"/>
    <col min="28" max="28" width="20.1640625" style="11" customWidth="1"/>
    <col min="29" max="29" width="12.5" style="11" customWidth="1"/>
    <col min="30" max="31" width="18.33203125" style="11" customWidth="1"/>
    <col min="32" max="34" width="12.33203125" style="11" customWidth="1"/>
    <col min="35" max="37" width="11.5" style="11"/>
    <col min="38" max="38" width="13.83203125" style="11" customWidth="1"/>
    <col min="39" max="39" width="20" style="11" customWidth="1"/>
    <col min="40" max="40" width="61.6640625" style="1" customWidth="1"/>
    <col min="41" max="16384" width="11.5" style="11"/>
  </cols>
  <sheetData>
    <row r="1" spans="1:40" ht="21" customHeight="1" x14ac:dyDescent="0.2">
      <c r="A1" s="411" t="s">
        <v>0</v>
      </c>
      <c r="B1" s="411"/>
      <c r="C1" s="411"/>
      <c r="D1" s="411"/>
      <c r="E1" s="411"/>
      <c r="F1" s="411"/>
      <c r="G1" s="411"/>
      <c r="H1" s="412" t="s">
        <v>1</v>
      </c>
      <c r="I1" s="412"/>
      <c r="J1" s="412"/>
      <c r="K1" s="412"/>
      <c r="L1" s="412"/>
      <c r="M1" s="412"/>
      <c r="N1" s="412"/>
      <c r="O1" s="412"/>
      <c r="P1" s="412"/>
      <c r="Q1" s="412"/>
      <c r="R1" s="413" t="s">
        <v>2</v>
      </c>
      <c r="S1" s="413"/>
      <c r="T1" s="413"/>
      <c r="U1" s="414" t="s">
        <v>3</v>
      </c>
      <c r="V1" s="414"/>
      <c r="W1" s="414"/>
      <c r="X1" s="414"/>
      <c r="Y1" s="414"/>
      <c r="Z1" s="414"/>
      <c r="AA1" s="414"/>
      <c r="AB1" s="410" t="s">
        <v>4</v>
      </c>
      <c r="AC1" s="410"/>
      <c r="AD1" s="57"/>
      <c r="AE1" s="415" t="s">
        <v>449</v>
      </c>
      <c r="AF1" s="410" t="s">
        <v>5</v>
      </c>
      <c r="AG1" s="410"/>
      <c r="AH1" s="410"/>
      <c r="AI1" s="410"/>
      <c r="AJ1" s="410"/>
      <c r="AK1" s="410"/>
      <c r="AL1" s="14" t="s">
        <v>6</v>
      </c>
      <c r="AM1" s="14" t="s">
        <v>7</v>
      </c>
      <c r="AN1" s="1" t="s">
        <v>127</v>
      </c>
    </row>
    <row r="2" spans="1:40" ht="38" customHeight="1" x14ac:dyDescent="0.2">
      <c r="A2" s="4" t="s">
        <v>10</v>
      </c>
      <c r="B2" s="4" t="s">
        <v>11</v>
      </c>
      <c r="C2" s="4" t="s">
        <v>12</v>
      </c>
      <c r="D2" s="159" t="s">
        <v>450</v>
      </c>
      <c r="E2" s="5" t="s">
        <v>13</v>
      </c>
      <c r="F2" s="5" t="s">
        <v>14</v>
      </c>
      <c r="G2" s="5" t="s">
        <v>15</v>
      </c>
      <c r="H2" s="6" t="s">
        <v>16</v>
      </c>
      <c r="I2" s="6" t="s">
        <v>17</v>
      </c>
      <c r="J2" s="6" t="s">
        <v>18</v>
      </c>
      <c r="K2" s="16" t="s">
        <v>19</v>
      </c>
      <c r="L2" s="6" t="s">
        <v>20</v>
      </c>
      <c r="M2" s="3" t="s">
        <v>21</v>
      </c>
      <c r="N2" s="3" t="s">
        <v>22</v>
      </c>
      <c r="O2" s="3" t="s">
        <v>23</v>
      </c>
      <c r="P2" s="3" t="s">
        <v>24</v>
      </c>
      <c r="Q2" s="3" t="s">
        <v>25</v>
      </c>
      <c r="R2" s="36" t="s">
        <v>26</v>
      </c>
      <c r="S2" s="37" t="s">
        <v>27</v>
      </c>
      <c r="T2" s="35" t="s">
        <v>28</v>
      </c>
      <c r="U2" s="8" t="s">
        <v>29</v>
      </c>
      <c r="V2" s="8" t="s">
        <v>30</v>
      </c>
      <c r="W2" s="8" t="s">
        <v>31</v>
      </c>
      <c r="X2" s="9" t="s">
        <v>444</v>
      </c>
      <c r="Y2" s="9" t="s">
        <v>443</v>
      </c>
      <c r="Z2" s="9" t="s">
        <v>445</v>
      </c>
      <c r="AA2" s="8" t="s">
        <v>34</v>
      </c>
      <c r="AB2" s="4" t="s">
        <v>35</v>
      </c>
      <c r="AC2" s="5" t="s">
        <v>36</v>
      </c>
      <c r="AD2" s="115" t="s">
        <v>451</v>
      </c>
      <c r="AE2" s="416"/>
      <c r="AF2" s="7" t="s">
        <v>38</v>
      </c>
      <c r="AG2" s="7" t="s">
        <v>39</v>
      </c>
      <c r="AH2" s="7" t="s">
        <v>40</v>
      </c>
      <c r="AI2" s="10" t="s">
        <v>41</v>
      </c>
      <c r="AJ2" s="10" t="s">
        <v>42</v>
      </c>
      <c r="AK2" s="10" t="s">
        <v>43</v>
      </c>
      <c r="AL2" s="15" t="s">
        <v>44</v>
      </c>
      <c r="AM2" s="15" t="s">
        <v>45</v>
      </c>
    </row>
    <row r="3" spans="1:40" s="20" customFormat="1" ht="17" hidden="1" customHeight="1" x14ac:dyDescent="0.2">
      <c r="A3" s="20">
        <f>IF(coder1_YH!G2="","",IF(coder1_YH!G2=coder2_NY_MT!A3,1,0))</f>
        <v>1</v>
      </c>
      <c r="B3" s="20">
        <f>IF(coder1_YH!H2="","",IF(RIGHT(coder1_YH!H2,2)=RIGHT(coder2_NY_MT!B3,2),1,0))</f>
        <v>1</v>
      </c>
      <c r="C3" s="20">
        <f>IF(coder1_YH!I2="","",IF(coder1_YH!I2=coder2_NY_MT!C3,1,0))</f>
        <v>1</v>
      </c>
      <c r="E3" s="20">
        <f>IF(coder1_YH!K2="","",IF(coder1_YH!K2=coder2_NY_MT!E3,1,0))</f>
        <v>1</v>
      </c>
      <c r="F3" s="20">
        <f>IF(coder1_YH!L2="","",IF(coder1_YH!L2=coder2_NY_MT!F3,1,0))</f>
        <v>1</v>
      </c>
      <c r="G3" s="20">
        <f>IF(coder1_YH!M2="","",IF(coder1_YH!M2=coder2_NY_MT!G3,1,0))</f>
        <v>1</v>
      </c>
      <c r="H3" s="20">
        <f>IF(coder1_YH!P2="","",IF(RIGHT(coder1_YH!P2,3)=RIGHT(coder2_NY_MT!J3,3),1,0))</f>
        <v>0</v>
      </c>
      <c r="I3" s="20">
        <f>IF(H3="","",IF(OR(coder2_NY_MT!K3="", coder1_YH!Q2 = ""),0,1))</f>
        <v>1</v>
      </c>
      <c r="J3" s="20">
        <f>IF(coder1_YH!R2="","",IF(coder1_YH!R2=coder2_NY_MT!L3,1,0))</f>
        <v>1</v>
      </c>
      <c r="K3" s="20">
        <f>IF(coder1_YH!S2="","",IF(coder1_YH!S2=coder2_NY_MT!M3,1,0))</f>
        <v>1</v>
      </c>
      <c r="L3" s="20">
        <f>IF(coder1_YH!T2="","",IF(coder1_YH!T2=coder2_NY_MT!N3,1,0))</f>
        <v>1</v>
      </c>
      <c r="M3" s="20">
        <f>IF(coder1_YH!U2="","",IF(coder1_YH!U2=coder2_NY_MT!O3,1,0))</f>
        <v>1</v>
      </c>
      <c r="N3" s="20">
        <f>IF(coder1_YH!V2="","",IF(coder1_YH!V2=coder2_NY_MT!P3,1,0))</f>
        <v>1</v>
      </c>
      <c r="O3" s="20">
        <f>IF(coder1_YH!W2="","",IF(coder1_YH!W2=coder2_NY_MT!Q3,1,0))</f>
        <v>1</v>
      </c>
      <c r="P3" s="20">
        <f>IF(coder1_YH!X2="","",IF(coder1_YH!X2=coder2_NY_MT!R3,1,0))</f>
        <v>1</v>
      </c>
      <c r="Q3" s="20">
        <f>IF(coder1_YH!Y2="","",IF(coder1_YH!Y2=coder2_NY_MT!S3,1,0))</f>
        <v>1</v>
      </c>
      <c r="R3" s="20">
        <f>IF(coder1_YH!Z2="","",IF(coder1_YH!Z2=coder2_NY_MT!T3,1,0))</f>
        <v>1</v>
      </c>
      <c r="S3" s="20">
        <f>IF(R3="","",IF(OR(coder2_NY_MT!U3="", coder1_YH!AA2 = ""),0,1))</f>
        <v>1</v>
      </c>
      <c r="T3" s="20">
        <f>IF(coder1_YH!AB2="","",IF(coder1_YH!AB2=coder2_NY_MT!V3,1,0))</f>
        <v>1</v>
      </c>
      <c r="U3" s="20">
        <f>IF(coder1_YH!AC2="","",IF(coder1_YH!AC2=coder2_NY_MT!W3,1,0))</f>
        <v>1</v>
      </c>
      <c r="V3" s="20">
        <f>IF(coder1_YH!AD2="","",IF(coder1_YH!AD2=coder2_NY_MT!X3,1,0))</f>
        <v>1</v>
      </c>
      <c r="W3" s="20">
        <f>IF(coder1_YH!AE2="","",IF(coder1_YH!AE2=coder2_NY_MT!Y3,1,0))</f>
        <v>1</v>
      </c>
      <c r="X3" s="20">
        <f>IF(coder1_YH!AF2="","",IF(coder1_YH!AF2=coder2_NY_MT!Z3,1,0))</f>
        <v>1</v>
      </c>
      <c r="Z3" s="20">
        <f>IF(coder1_YH!AH2="","",IF(coder1_YH!AH2=coder2_NY_MT!AB3,1,0))</f>
        <v>1</v>
      </c>
      <c r="AA3" s="20">
        <f>IF(coder1_YH!AI2="","",IF(coder1_YH!AI2=coder2_NY_MT!AC3,1,0))</f>
        <v>1</v>
      </c>
      <c r="AB3" s="20">
        <f>IF(OR(coder2_NY_MT!AD3="", coder1_YH!AJ2 = ""),0,1)</f>
        <v>1</v>
      </c>
      <c r="AC3" s="20">
        <f>IF(coder1_YH!AK2="","",IF(coder1_YH!AK2=coder2_NY_MT!AE3,1,0))</f>
        <v>1</v>
      </c>
      <c r="AD3" s="20">
        <f>IF(coder1_YH!AL2="","",IF(coder1_YH!AL2=coder2_NY_MT!AF3,1,0))</f>
        <v>0</v>
      </c>
      <c r="AF3" s="20">
        <f>IF(coder1_YH!AN2="","",IF(coder1_YH!AN2=coder2_NY_MT!AH3,1,0))</f>
        <v>1</v>
      </c>
      <c r="AG3" s="20">
        <f>IF(coder1_YH!AO2="","",IF(coder1_YH!AO2=coder2_NY_MT!AI3,1,0))</f>
        <v>1</v>
      </c>
      <c r="AH3" s="20">
        <f>IF(coder1_YH!AP2="","",IF(coder1_YH!AP2=coder2_NY_MT!AJ3,1,0))</f>
        <v>1</v>
      </c>
      <c r="AI3" s="20">
        <f>IF(coder1_YH!AQ2="","",IF(coder1_YH!AQ2=coder2_NY_MT!AK3,1,0))</f>
        <v>1</v>
      </c>
      <c r="AJ3" s="20">
        <f>IF(coder1_YH!AR2="","",IF(coder1_YH!AR2=coder2_NY_MT!AL3,1,0))</f>
        <v>1</v>
      </c>
      <c r="AK3" s="20">
        <f>IF(coder1_YH!AS2="","",IF(coder1_YH!AS2=coder2_NY_MT!AM3,1,0))</f>
        <v>1</v>
      </c>
      <c r="AL3" s="20">
        <f>IF(coder1_YH!AZ2=coder2_NY_MT!AT3, 1, 0)</f>
        <v>1</v>
      </c>
      <c r="AM3" s="20">
        <f>IF(coder1_YH!BA2=coder2_NY_MT!AU3, 1, 0)</f>
        <v>1</v>
      </c>
      <c r="AN3" s="2"/>
    </row>
    <row r="4" spans="1:40" s="21" customFormat="1" ht="17" hidden="1" customHeight="1" x14ac:dyDescent="0.2">
      <c r="A4" s="20" t="str">
        <f>IF(coder1_YH!G3="","",IF(coder1_YH!G3=coder2_NY_MT!A4,1,0))</f>
        <v/>
      </c>
      <c r="B4" s="20" t="str">
        <f>IF(coder1_YH!H3="","",IF(RIGHT(coder1_YH!H3,2)=RIGHT(coder2_NY_MT!B4,2),1,0))</f>
        <v/>
      </c>
      <c r="C4" s="20" t="str">
        <f>IF(coder1_YH!I3="","",IF(coder1_YH!I3=coder2_NY_MT!C4,1,0))</f>
        <v/>
      </c>
      <c r="D4" s="20"/>
      <c r="E4" s="20" t="str">
        <f>IF(coder1_YH!K3="","",IF(coder1_YH!K3=coder2_NY_MT!E4,1,0))</f>
        <v/>
      </c>
      <c r="F4" s="20" t="str">
        <f>IF(coder1_YH!L3="","",IF(coder1_YH!L3=coder2_NY_MT!F4,1,0))</f>
        <v/>
      </c>
      <c r="G4" s="20" t="str">
        <f>IF(coder1_YH!M3="","",IF(coder1_YH!M3=coder2_NY_MT!G4,1,0))</f>
        <v/>
      </c>
      <c r="H4" s="20">
        <f>IF(coder1_YH!P3="","",IF(RIGHT(coder1_YH!P3,3)=RIGHT(coder2_NY_MT!J4,3),1,0))</f>
        <v>0</v>
      </c>
      <c r="I4" s="20">
        <f>IF(H4="","",IF(OR(coder2_NY_MT!K4="", coder1_YH!Q3 = ""),0,1))</f>
        <v>1</v>
      </c>
      <c r="J4" s="20">
        <f>IF(coder1_YH!R3="","",IF(coder1_YH!R3=coder2_NY_MT!L4,1,0))</f>
        <v>1</v>
      </c>
      <c r="K4" s="20">
        <f>IF(coder1_YH!S3="","",IF(coder1_YH!S3=coder2_NY_MT!M4,1,0))</f>
        <v>1</v>
      </c>
      <c r="L4" s="20">
        <f>IF(coder1_YH!T3="","",IF(coder1_YH!T3=coder2_NY_MT!N4,1,0))</f>
        <v>1</v>
      </c>
      <c r="M4" s="20">
        <f>IF(coder1_YH!U3="","",IF(coder1_YH!U3=coder2_NY_MT!O4,1,0))</f>
        <v>1</v>
      </c>
      <c r="N4" s="20">
        <f>IF(coder1_YH!V3="","",IF(coder1_YH!V3=coder2_NY_MT!P4,1,0))</f>
        <v>1</v>
      </c>
      <c r="O4" s="20">
        <f>IF(coder1_YH!W3="","",IF(coder1_YH!W3=coder2_NY_MT!Q4,1,0))</f>
        <v>1</v>
      </c>
      <c r="P4" s="20">
        <f>IF(coder1_YH!X3="","",IF(coder1_YH!X3=coder2_NY_MT!R4,1,0))</f>
        <v>1</v>
      </c>
      <c r="Q4" s="20">
        <f>IF(coder1_YH!Y3="","",IF(coder1_YH!Y3=coder2_NY_MT!S4,1,0))</f>
        <v>1</v>
      </c>
      <c r="R4" s="20">
        <f>IF(coder1_YH!Z3="","",IF(coder1_YH!Z3=coder2_NY_MT!T4,1,0))</f>
        <v>1</v>
      </c>
      <c r="S4" s="20">
        <f>IF(R4="","",IF(OR(coder2_NY_MT!U4="", coder1_YH!AA3 = ""),0,1))</f>
        <v>1</v>
      </c>
      <c r="T4" s="20">
        <f>IF(coder1_YH!AB3="","",IF(coder1_YH!AB3=coder2_NY_MT!V4,1,0))</f>
        <v>1</v>
      </c>
      <c r="U4" s="20">
        <f>IF(coder1_YH!AC3="","",IF(coder1_YH!AC3=coder2_NY_MT!W4,1,0))</f>
        <v>1</v>
      </c>
      <c r="V4" s="20">
        <f>IF(coder1_YH!AD3="","",IF(coder1_YH!AD3=coder2_NY_MT!X4,1,0))</f>
        <v>1</v>
      </c>
      <c r="W4" s="20">
        <f>IF(coder1_YH!AE3="","",IF(coder1_YH!AE3=coder2_NY_MT!Y4,1,0))</f>
        <v>1</v>
      </c>
      <c r="X4" s="20">
        <f>IF(coder1_YH!AF3="","",IF(coder1_YH!AF3=coder2_NY_MT!Z4,1,0))</f>
        <v>1</v>
      </c>
      <c r="Y4" s="20"/>
      <c r="Z4" s="20">
        <f>IF(coder1_YH!AH3="","",IF(coder1_YH!AH3=coder2_NY_MT!AB4,1,0))</f>
        <v>1</v>
      </c>
      <c r="AA4" s="20">
        <f>IF(coder1_YH!AI3="","",IF(coder1_YH!AI3=coder2_NY_MT!AC4,1,0))</f>
        <v>1</v>
      </c>
      <c r="AB4" s="20">
        <f>IF(OR(coder2_NY_MT!AD4="", coder1_YH!AJ3 = ""),0,1)</f>
        <v>1</v>
      </c>
      <c r="AC4" s="20">
        <f>IF(coder1_YH!AK3="","",IF(coder1_YH!AK3=coder2_NY_MT!AE4,1,0))</f>
        <v>1</v>
      </c>
      <c r="AD4" s="20">
        <f>IF(coder1_YH!AL3="","",IF(coder1_YH!AL3=coder2_NY_MT!AF4,1,0))</f>
        <v>0</v>
      </c>
      <c r="AE4" s="20"/>
      <c r="AF4" s="20">
        <f>IF(coder1_YH!AN3="","",IF(coder1_YH!AN3=coder2_NY_MT!AH4,1,0))</f>
        <v>1</v>
      </c>
      <c r="AG4" s="20">
        <f>IF(coder1_YH!AO3="","",IF(coder1_YH!AO3=coder2_NY_MT!AI4,1,0))</f>
        <v>1</v>
      </c>
      <c r="AH4" s="20">
        <f>IF(coder1_YH!AP3="","",IF(coder1_YH!AP3=coder2_NY_MT!AJ4,1,0))</f>
        <v>1</v>
      </c>
      <c r="AI4" s="20">
        <f>IF(coder1_YH!AQ3="","",IF(coder1_YH!AQ3=coder2_NY_MT!AK4,1,0))</f>
        <v>1</v>
      </c>
      <c r="AJ4" s="20">
        <f>IF(coder1_YH!AR3="","",IF(coder1_YH!AR3=coder2_NY_MT!AL4,1,0))</f>
        <v>1</v>
      </c>
      <c r="AK4" s="20">
        <f>IF(coder1_YH!AS3="","",IF(coder1_YH!AS3=coder2_NY_MT!AM4,1,0))</f>
        <v>1</v>
      </c>
      <c r="AL4" s="20">
        <f>IF(coder1_YH!AZ3=coder2_NY_MT!AT4, 1, 0)</f>
        <v>1</v>
      </c>
      <c r="AM4" s="20">
        <f>IF(coder1_YH!BA3=coder2_NY_MT!AU4, 1, 0)</f>
        <v>1</v>
      </c>
      <c r="AN4" s="28"/>
    </row>
    <row r="5" spans="1:40" s="20" customFormat="1" ht="17" hidden="1" customHeight="1" x14ac:dyDescent="0.2">
      <c r="A5" s="20">
        <f>IF(coder1_YH!G4="","",IF(coder1_YH!G4=coder2_NY_MT!A5,1,0))</f>
        <v>1</v>
      </c>
      <c r="B5" s="20">
        <f>IF(coder1_YH!H4="","",IF(RIGHT(coder1_YH!H4,2)=RIGHT(coder2_NY_MT!B5,2),1,0))</f>
        <v>1</v>
      </c>
      <c r="C5" s="20">
        <f>IF(coder1_YH!I4="","",IF(coder1_YH!I4=coder2_NY_MT!C5,1,0))</f>
        <v>1</v>
      </c>
      <c r="E5" s="20">
        <f>IF(coder1_YH!K4="","",IF(coder1_YH!K4=coder2_NY_MT!E5,1,0))</f>
        <v>1</v>
      </c>
      <c r="F5" s="20">
        <f>IF(coder1_YH!L4="","",IF(coder1_YH!L4=coder2_NY_MT!F5,1,0))</f>
        <v>1</v>
      </c>
      <c r="G5" s="20">
        <f>IF(coder1_YH!M4="","",IF(coder1_YH!M4=coder2_NY_MT!G5,1,0))</f>
        <v>1</v>
      </c>
      <c r="H5" s="20">
        <f>IF(coder1_YH!P4="","",IF(RIGHT(coder1_YH!P4,3)=RIGHT(coder2_NY_MT!J5,3),1,0))</f>
        <v>0</v>
      </c>
      <c r="I5" s="20">
        <f>IF(H5="","",IF(OR(coder2_NY_MT!K5="", coder1_YH!Q4 = ""),0,1))</f>
        <v>1</v>
      </c>
      <c r="J5" s="20">
        <f>IF(coder1_YH!R4="","",IF(coder1_YH!R4=coder2_NY_MT!L5,1,0))</f>
        <v>1</v>
      </c>
      <c r="K5" s="20">
        <f>IF(coder1_YH!S4="","",IF(coder1_YH!S4=coder2_NY_MT!M5,1,0))</f>
        <v>1</v>
      </c>
      <c r="L5" s="20">
        <f>IF(coder1_YH!T4="","",IF(coder1_YH!T4=coder2_NY_MT!N5,1,0))</f>
        <v>1</v>
      </c>
      <c r="M5" s="20">
        <f>IF(coder1_YH!U4="","",IF(coder1_YH!U4=coder2_NY_MT!O5,1,0))</f>
        <v>1</v>
      </c>
      <c r="N5" s="20">
        <f>IF(coder1_YH!V4="","",IF(coder1_YH!V4=coder2_NY_MT!P5,1,0))</f>
        <v>1</v>
      </c>
      <c r="O5" s="20">
        <f>IF(coder1_YH!W4="","",IF(coder1_YH!W4=coder2_NY_MT!Q5,1,0))</f>
        <v>1</v>
      </c>
      <c r="P5" s="20">
        <f>IF(coder1_YH!X4="","",IF(coder1_YH!X4=coder2_NY_MT!R5,1,0))</f>
        <v>1</v>
      </c>
      <c r="Q5" s="20">
        <f>IF(coder1_YH!Y4="","",IF(coder1_YH!Y4=coder2_NY_MT!S5,1,0))</f>
        <v>1</v>
      </c>
      <c r="R5" s="20">
        <f>IF(coder1_YH!Z4="","",IF(coder1_YH!Z4=coder2_NY_MT!T5,1,0))</f>
        <v>1</v>
      </c>
      <c r="S5" s="20">
        <f>IF(R5="","",IF(OR(coder2_NY_MT!U5="", coder1_YH!AA4 = ""),0,1))</f>
        <v>1</v>
      </c>
      <c r="T5" s="20">
        <f>IF(coder1_YH!AB4="","",IF(coder1_YH!AB4=coder2_NY_MT!V5,1,0))</f>
        <v>1</v>
      </c>
      <c r="U5" s="20">
        <f>IF(coder1_YH!AC4="","",IF(coder1_YH!AC4=coder2_NY_MT!W5,1,0))</f>
        <v>1</v>
      </c>
      <c r="V5" s="20">
        <f>IF(coder1_YH!AD4="","",IF(coder1_YH!AD4=coder2_NY_MT!X5,1,0))</f>
        <v>1</v>
      </c>
      <c r="W5" s="20">
        <f>IF(coder1_YH!AE4="","",IF(coder1_YH!AE4=coder2_NY_MT!Y5,1,0))</f>
        <v>1</v>
      </c>
      <c r="X5" s="20">
        <f>IF(coder1_YH!AF4="","",IF(coder1_YH!AF4=coder2_NY_MT!Z5,1,0))</f>
        <v>1</v>
      </c>
      <c r="Z5" s="20">
        <f>IF(coder1_YH!AH4="","",IF(coder1_YH!AH4=coder2_NY_MT!AB5,1,0))</f>
        <v>1</v>
      </c>
      <c r="AA5" s="20">
        <f>IF(coder1_YH!AI4="","",IF(coder1_YH!AI4=coder2_NY_MT!AC5,1,0))</f>
        <v>1</v>
      </c>
      <c r="AB5" s="20">
        <f>IF(OR(coder2_NY_MT!AD5="", coder1_YH!AJ4 = ""),0,1)</f>
        <v>1</v>
      </c>
      <c r="AC5" s="20">
        <f>IF(coder1_YH!AK4="","",IF(coder1_YH!AK4=coder2_NY_MT!AE5,1,0))</f>
        <v>1</v>
      </c>
      <c r="AD5" s="20">
        <f>IF(coder1_YH!AL4="","",IF(coder1_YH!AL4=coder2_NY_MT!AF5,1,0))</f>
        <v>0</v>
      </c>
      <c r="AF5" s="20">
        <f>IF(coder1_YH!AN4="","",IF(coder1_YH!AN4=coder2_NY_MT!AH5,1,0))</f>
        <v>1</v>
      </c>
      <c r="AG5" s="20">
        <f>IF(coder1_YH!AO4="","",IF(coder1_YH!AO4=coder2_NY_MT!AI5,1,0))</f>
        <v>1</v>
      </c>
      <c r="AH5" s="20">
        <f>IF(coder1_YH!AP4="","",IF(coder1_YH!AP4=coder2_NY_MT!AJ5,1,0))</f>
        <v>1</v>
      </c>
      <c r="AI5" s="20">
        <f>IF(coder1_YH!AQ4="","",IF(coder1_YH!AQ4=coder2_NY_MT!AK5,1,0))</f>
        <v>1</v>
      </c>
      <c r="AJ5" s="20">
        <f>IF(coder1_YH!AR4="","",IF(coder1_YH!AR4=coder2_NY_MT!AL5,1,0))</f>
        <v>1</v>
      </c>
      <c r="AK5" s="20">
        <f>IF(coder1_YH!AS4="","",IF(coder1_YH!AS4=coder2_NY_MT!AM5,1,0))</f>
        <v>1</v>
      </c>
      <c r="AL5" s="20">
        <f>IF(coder1_YH!AZ4=coder2_NY_MT!AT5, 1, 0)</f>
        <v>1</v>
      </c>
      <c r="AM5" s="20">
        <f>IF(coder1_YH!BA4=coder2_NY_MT!AU5, 1, 0)</f>
        <v>1</v>
      </c>
      <c r="AN5" s="2"/>
    </row>
    <row r="6" spans="1:40" s="20" customFormat="1" ht="17" hidden="1" customHeight="1" x14ac:dyDescent="0.2">
      <c r="A6" s="20">
        <f>IF(coder1_YH!G5="","",IF(coder1_YH!G5=coder2_NY_MT!A6,1,0))</f>
        <v>0</v>
      </c>
      <c r="B6" s="20">
        <f>IF(coder1_YH!H5="","",IF(RIGHT(coder1_YH!H5,2)=RIGHT(coder2_NY_MT!B6,2),1,0))</f>
        <v>0</v>
      </c>
      <c r="C6" s="20">
        <f>IF(coder1_YH!I5="","",IF(coder1_YH!I5=coder2_NY_MT!C6,1,0))</f>
        <v>0</v>
      </c>
      <c r="E6" s="20">
        <f>IF(coder1_YH!K5="","",IF(coder1_YH!K5=coder2_NY_MT!E6,1,0))</f>
        <v>0</v>
      </c>
      <c r="F6" s="20">
        <f>IF(coder1_YH!L5="","",IF(coder1_YH!L5=coder2_NY_MT!F6,1,0))</f>
        <v>0</v>
      </c>
      <c r="G6" s="20">
        <f>IF(coder1_YH!M5="","",IF(coder1_YH!M5=coder2_NY_MT!G6,1,0))</f>
        <v>0</v>
      </c>
      <c r="H6" s="20" t="str">
        <f>IF(coder1_YH!P5="","",IF(RIGHT(coder1_YH!P5,3)=RIGHT(coder2_NY_MT!J6,3),1,0))</f>
        <v/>
      </c>
      <c r="I6" s="20" t="str">
        <f>IF(H6="","",IF(OR(coder2_NY_MT!K6="", coder1_YH!Q5 = ""),0,1))</f>
        <v/>
      </c>
      <c r="J6" s="20" t="str">
        <f>IF(coder1_YH!R5="","",IF(coder1_YH!R5=coder2_NY_MT!L6,1,0))</f>
        <v/>
      </c>
      <c r="K6" s="20" t="str">
        <f>IF(coder1_YH!S5="","",IF(coder1_YH!S5=coder2_NY_MT!M6,1,0))</f>
        <v/>
      </c>
      <c r="L6" s="20" t="str">
        <f>IF(coder1_YH!T5="","",IF(coder1_YH!T5=coder2_NY_MT!N6,1,0))</f>
        <v/>
      </c>
      <c r="M6" s="20" t="str">
        <f>IF(coder1_YH!U5="","",IF(coder1_YH!U5=coder2_NY_MT!O6,1,0))</f>
        <v/>
      </c>
      <c r="N6" s="20" t="str">
        <f>IF(coder1_YH!V5="","",IF(coder1_YH!V5=coder2_NY_MT!P6,1,0))</f>
        <v/>
      </c>
      <c r="O6" s="20" t="str">
        <f>IF(coder1_YH!W5="","",IF(coder1_YH!W5=coder2_NY_MT!Q6,1,0))</f>
        <v/>
      </c>
      <c r="P6" s="20" t="str">
        <f>IF(coder1_YH!X5="","",IF(coder1_YH!X5=coder2_NY_MT!R6,1,0))</f>
        <v/>
      </c>
      <c r="Q6" s="20" t="str">
        <f>IF(coder1_YH!Y5="","",IF(coder1_YH!Y5=coder2_NY_MT!S6,1,0))</f>
        <v/>
      </c>
      <c r="R6" s="20" t="str">
        <f>IF(coder1_YH!Z5="","",IF(coder1_YH!Z5=coder2_NY_MT!T6,1,0))</f>
        <v/>
      </c>
      <c r="S6" s="20" t="str">
        <f>IF(R6="","",IF(OR(coder2_NY_MT!U6="", coder1_YH!AA5 = ""),0,1))</f>
        <v/>
      </c>
      <c r="T6" s="20" t="str">
        <f>IF(coder1_YH!AB5="","",IF(coder1_YH!AB5=coder2_NY_MT!V6,1,0))</f>
        <v/>
      </c>
      <c r="U6" s="20" t="str">
        <f>IF(coder1_YH!AC5="","",IF(coder1_YH!AC5=coder2_NY_MT!W6,1,0))</f>
        <v/>
      </c>
      <c r="V6" s="20" t="str">
        <f>IF(coder1_YH!AD5="","",IF(coder1_YH!AD5=coder2_NY_MT!X6,1,0))</f>
        <v/>
      </c>
      <c r="W6" s="20" t="str">
        <f>IF(coder1_YH!AE5="","",IF(coder1_YH!AE5=coder2_NY_MT!Y6,1,0))</f>
        <v/>
      </c>
      <c r="X6" s="20" t="str">
        <f>IF(coder1_YH!AF5="","",IF(coder1_YH!AF5=coder2_NY_MT!Z6,1,0))</f>
        <v/>
      </c>
      <c r="Z6" s="20" t="str">
        <f>IF(coder1_YH!AH5="","",IF(coder1_YH!AH5=coder2_NY_MT!AB6,1,0))</f>
        <v/>
      </c>
      <c r="AA6" s="20" t="str">
        <f>IF(coder1_YH!AI5="","",IF(coder1_YH!AI5=coder2_NY_MT!AC6,1,0))</f>
        <v/>
      </c>
      <c r="AB6" s="20">
        <f>IF(OR(coder2_NY_MT!AD6="", coder1_YH!AJ5 = ""),0,1)</f>
        <v>1</v>
      </c>
      <c r="AC6" s="20">
        <f>IF(coder1_YH!AK5="","",IF(coder1_YH!AK5=coder2_NY_MT!AE6,1,0))</f>
        <v>1</v>
      </c>
      <c r="AD6" s="20">
        <f>IF(coder1_YH!AL5="","",IF(coder1_YH!AL5=coder2_NY_MT!AF6,1,0))</f>
        <v>0</v>
      </c>
      <c r="AF6" s="20">
        <f>IF(coder1_YH!AN5="","",IF(coder1_YH!AN5=coder2_NY_MT!AH6,1,0))</f>
        <v>1</v>
      </c>
      <c r="AG6" s="20">
        <f>IF(coder1_YH!AO5="","",IF(coder1_YH!AO5=coder2_NY_MT!AI6,1,0))</f>
        <v>1</v>
      </c>
      <c r="AH6" s="20">
        <f>IF(coder1_YH!AP5="","",IF(coder1_YH!AP5=coder2_NY_MT!AJ6,1,0))</f>
        <v>1</v>
      </c>
      <c r="AI6" s="20">
        <f>IF(coder1_YH!AQ5="","",IF(coder1_YH!AQ5=coder2_NY_MT!AK6,1,0))</f>
        <v>1</v>
      </c>
      <c r="AJ6" s="20">
        <f>IF(coder1_YH!AR5="","",IF(coder1_YH!AR5=coder2_NY_MT!AL6,1,0))</f>
        <v>1</v>
      </c>
      <c r="AK6" s="20">
        <f>IF(coder1_YH!AS5="","",IF(coder1_YH!AS5=coder2_NY_MT!AM6,1,0))</f>
        <v>1</v>
      </c>
      <c r="AL6" s="20">
        <f>IF(coder1_YH!AZ5=coder2_NY_MT!AT6, 1, 0)</f>
        <v>1</v>
      </c>
      <c r="AM6" s="20">
        <f>IF(coder1_YH!BA5=coder2_NY_MT!AU6, 1, 0)</f>
        <v>1</v>
      </c>
      <c r="AN6" s="2"/>
    </row>
    <row r="7" spans="1:40" s="20" customFormat="1" ht="17" hidden="1" customHeight="1" x14ac:dyDescent="0.2">
      <c r="A7" s="20">
        <f>IF(coder1_YH!G6="","",IF(coder1_YH!G6=coder2_NY_MT!A7,1,0))</f>
        <v>0</v>
      </c>
      <c r="B7" s="20">
        <f>IF(coder1_YH!H6="","",IF(RIGHT(coder1_YH!H6,2)=RIGHT(coder2_NY_MT!B7,2),1,0))</f>
        <v>0</v>
      </c>
      <c r="C7" s="20">
        <f>IF(coder1_YH!I6="","",IF(coder1_YH!I6=coder2_NY_MT!C7,1,0))</f>
        <v>0</v>
      </c>
      <c r="E7" s="20">
        <f>IF(coder1_YH!K6="","",IF(coder1_YH!K6=coder2_NY_MT!E7,1,0))</f>
        <v>0</v>
      </c>
      <c r="F7" s="20">
        <f>IF(coder1_YH!L6="","",IF(coder1_YH!L6=coder2_NY_MT!F7,1,0))</f>
        <v>0</v>
      </c>
      <c r="G7" s="20">
        <f>IF(coder1_YH!M6="","",IF(coder1_YH!M6=coder2_NY_MT!G7,1,0))</f>
        <v>0</v>
      </c>
      <c r="H7" s="20">
        <f>IF(coder1_YH!P6="","",IF(RIGHT(coder1_YH!P6,3)=RIGHT(coder2_NY_MT!J7,3),1,0))</f>
        <v>0</v>
      </c>
      <c r="I7" s="20">
        <f>IF(H7="","",IF(OR(coder2_NY_MT!K7="", coder1_YH!Q6 = ""),0,1))</f>
        <v>1</v>
      </c>
      <c r="J7" s="20">
        <f>IF(coder1_YH!R6="","",IF(coder1_YH!R6=coder2_NY_MT!L7,1,0))</f>
        <v>0</v>
      </c>
      <c r="K7" s="20">
        <f>IF(coder1_YH!S6="","",IF(coder1_YH!S6=coder2_NY_MT!M7,1,0))</f>
        <v>1</v>
      </c>
      <c r="L7" s="20">
        <f>IF(coder1_YH!T6="","",IF(coder1_YH!T6=coder2_NY_MT!N7,1,0))</f>
        <v>1</v>
      </c>
      <c r="M7" s="20">
        <f>IF(coder1_YH!U6="","",IF(coder1_YH!U6=coder2_NY_MT!O7,1,0))</f>
        <v>1</v>
      </c>
      <c r="N7" s="20">
        <f>IF(coder1_YH!V6="","",IF(coder1_YH!V6=coder2_NY_MT!P7,1,0))</f>
        <v>1</v>
      </c>
      <c r="O7" s="20">
        <f>IF(coder1_YH!W6="","",IF(coder1_YH!W6=coder2_NY_MT!Q7,1,0))</f>
        <v>1</v>
      </c>
      <c r="P7" s="20">
        <f>IF(coder1_YH!X6="","",IF(coder1_YH!X6=coder2_NY_MT!R7,1,0))</f>
        <v>1</v>
      </c>
      <c r="Q7" s="20">
        <f>IF(coder1_YH!Y6="","",IF(coder1_YH!Y6=coder2_NY_MT!S7,1,0))</f>
        <v>1</v>
      </c>
      <c r="R7" s="20">
        <f>IF(coder1_YH!Z6="","",IF(coder1_YH!Z6=coder2_NY_MT!T7,1,0))</f>
        <v>1</v>
      </c>
      <c r="S7" s="20">
        <f>IF(R7="","",IF(OR(coder2_NY_MT!U7="", coder1_YH!AA6 = ""),0,1))</f>
        <v>1</v>
      </c>
      <c r="T7" s="20">
        <f>IF(coder1_YH!AB6="","",IF(coder1_YH!AB6=coder2_NY_MT!V7,1,0))</f>
        <v>1</v>
      </c>
      <c r="U7" s="20">
        <f>IF(coder1_YH!AC6="","",IF(coder1_YH!AC6=coder2_NY_MT!W7,1,0))</f>
        <v>1</v>
      </c>
      <c r="V7" s="20">
        <f>IF(coder1_YH!AD6="","",IF(coder1_YH!AD6=coder2_NY_MT!X7,1,0))</f>
        <v>1</v>
      </c>
      <c r="W7" s="20">
        <f>IF(coder1_YH!AE6="","",IF(coder1_YH!AE6=coder2_NY_MT!Y7,1,0))</f>
        <v>1</v>
      </c>
      <c r="X7" s="20">
        <f>IF(coder1_YH!AF6="","",IF(coder1_YH!AF6=coder2_NY_MT!Z7,1,0))</f>
        <v>1</v>
      </c>
      <c r="Z7" s="20">
        <f>IF(coder1_YH!AH6="","",IF(coder1_YH!AH6=coder2_NY_MT!AB7,1,0))</f>
        <v>1</v>
      </c>
      <c r="AA7" s="20">
        <f>IF(coder1_YH!AI6="","",IF(coder1_YH!AI6=coder2_NY_MT!AC7,1,0))</f>
        <v>1</v>
      </c>
      <c r="AB7" s="20">
        <f>IF(OR(coder2_NY_MT!AD7="", coder1_YH!AJ6 = ""),0,1)</f>
        <v>1</v>
      </c>
      <c r="AC7" s="20">
        <f>IF(coder1_YH!AK6="","",IF(coder1_YH!AK6=coder2_NY_MT!AE7,1,0))</f>
        <v>1</v>
      </c>
      <c r="AD7" s="20">
        <f>IF(coder1_YH!AL6="","",IF(coder1_YH!AL6=coder2_NY_MT!AF7,1,0))</f>
        <v>0</v>
      </c>
      <c r="AF7" s="20">
        <f>IF(coder1_YH!AN6="","",IF(coder1_YH!AN6=coder2_NY_MT!AH7,1,0))</f>
        <v>1</v>
      </c>
      <c r="AG7" s="20">
        <f>IF(coder1_YH!AO6="","",IF(coder1_YH!AO6=coder2_NY_MT!AI7,1,0))</f>
        <v>1</v>
      </c>
      <c r="AH7" s="20">
        <f>IF(coder1_YH!AP6="","",IF(coder1_YH!AP6=coder2_NY_MT!AJ7,1,0))</f>
        <v>1</v>
      </c>
      <c r="AI7" s="20">
        <f>IF(coder1_YH!AQ6="","",IF(coder1_YH!AQ6=coder2_NY_MT!AK7,1,0))</f>
        <v>1</v>
      </c>
      <c r="AJ7" s="20">
        <f>IF(coder1_YH!AR6="","",IF(coder1_YH!AR6=coder2_NY_MT!AL7,1,0))</f>
        <v>1</v>
      </c>
      <c r="AK7" s="20">
        <f>IF(coder1_YH!AS6="","",IF(coder1_YH!AS6=coder2_NY_MT!AM7,1,0))</f>
        <v>1</v>
      </c>
      <c r="AL7" s="20">
        <f>IF(coder1_YH!AZ6=coder2_NY_MT!AT7, 1, 0)</f>
        <v>1</v>
      </c>
      <c r="AM7" s="20">
        <f>IF(coder1_YH!BA6=coder2_NY_MT!AU7, 1, 0)</f>
        <v>1</v>
      </c>
      <c r="AN7" s="2"/>
    </row>
    <row r="8" spans="1:40" s="20" customFormat="1" ht="17" hidden="1" customHeight="1" x14ac:dyDescent="0.2">
      <c r="A8" s="20">
        <f>IF(coder1_YH!G7="","",IF(coder1_YH!G7=coder2_NY_MT!A8,1,0))</f>
        <v>0</v>
      </c>
      <c r="B8" s="20">
        <f>IF(coder1_YH!H7="","",IF(RIGHT(coder1_YH!H7,2)=RIGHT(coder2_NY_MT!B8,2),1,0))</f>
        <v>0</v>
      </c>
      <c r="C8" s="20">
        <f>IF(coder1_YH!I7="","",IF(coder1_YH!I7=coder2_NY_MT!C8,1,0))</f>
        <v>0</v>
      </c>
      <c r="E8" s="20">
        <f>IF(coder1_YH!K7="","",IF(coder1_YH!K7=coder2_NY_MT!E8,1,0))</f>
        <v>0</v>
      </c>
      <c r="F8" s="20">
        <f>IF(coder1_YH!L7="","",IF(coder1_YH!L7=coder2_NY_MT!F8,1,0))</f>
        <v>0</v>
      </c>
      <c r="G8" s="20">
        <f>IF(coder1_YH!M7="","",IF(coder1_YH!M7=coder2_NY_MT!G8,1,0))</f>
        <v>0</v>
      </c>
      <c r="H8" s="20" t="str">
        <f>IF(coder1_YH!P7="","",IF(RIGHT(coder1_YH!P7,3)=RIGHT(coder2_NY_MT!J8,3),1,0))</f>
        <v/>
      </c>
      <c r="I8" s="20" t="str">
        <f>IF(H8="","",IF(OR(coder2_NY_MT!K8="", coder1_YH!Q7 = ""),0,1))</f>
        <v/>
      </c>
      <c r="J8" s="20" t="str">
        <f>IF(coder1_YH!R7="","",IF(coder1_YH!R7=coder2_NY_MT!L8,1,0))</f>
        <v/>
      </c>
      <c r="K8" s="20" t="str">
        <f>IF(coder1_YH!S7="","",IF(coder1_YH!S7=coder2_NY_MT!M8,1,0))</f>
        <v/>
      </c>
      <c r="L8" s="20" t="str">
        <f>IF(coder1_YH!T7="","",IF(coder1_YH!T7=coder2_NY_MT!N8,1,0))</f>
        <v/>
      </c>
      <c r="M8" s="20" t="str">
        <f>IF(coder1_YH!U7="","",IF(coder1_YH!U7=coder2_NY_MT!O8,1,0))</f>
        <v/>
      </c>
      <c r="N8" s="20" t="str">
        <f>IF(coder1_YH!V7="","",IF(coder1_YH!V7=coder2_NY_MT!P8,1,0))</f>
        <v/>
      </c>
      <c r="O8" s="20" t="str">
        <f>IF(coder1_YH!W7="","",IF(coder1_YH!W7=coder2_NY_MT!Q8,1,0))</f>
        <v/>
      </c>
      <c r="P8" s="20" t="str">
        <f>IF(coder1_YH!X7="","",IF(coder1_YH!X7=coder2_NY_MT!R8,1,0))</f>
        <v/>
      </c>
      <c r="Q8" s="20" t="str">
        <f>IF(coder1_YH!Y7="","",IF(coder1_YH!Y7=coder2_NY_MT!S8,1,0))</f>
        <v/>
      </c>
      <c r="R8" s="20" t="str">
        <f>IF(coder1_YH!Z7="","",IF(coder1_YH!Z7=coder2_NY_MT!T8,1,0))</f>
        <v/>
      </c>
      <c r="S8" s="20" t="str">
        <f>IF(R8="","",IF(OR(coder2_NY_MT!U8="", coder1_YH!AA7 = ""),0,1))</f>
        <v/>
      </c>
      <c r="T8" s="20" t="str">
        <f>IF(coder1_YH!AB7="","",IF(coder1_YH!AB7=coder2_NY_MT!V8,1,0))</f>
        <v/>
      </c>
      <c r="U8" s="20" t="str">
        <f>IF(coder1_YH!AC7="","",IF(coder1_YH!AC7=coder2_NY_MT!W8,1,0))</f>
        <v/>
      </c>
      <c r="V8" s="20" t="str">
        <f>IF(coder1_YH!AD7="","",IF(coder1_YH!AD7=coder2_NY_MT!X8,1,0))</f>
        <v/>
      </c>
      <c r="W8" s="20" t="str">
        <f>IF(coder1_YH!AE7="","",IF(coder1_YH!AE7=coder2_NY_MT!Y8,1,0))</f>
        <v/>
      </c>
      <c r="X8" s="20" t="str">
        <f>IF(coder1_YH!AF7="","",IF(coder1_YH!AF7=coder2_NY_MT!Z8,1,0))</f>
        <v/>
      </c>
      <c r="Z8" s="20" t="str">
        <f>IF(coder1_YH!AH7="","",IF(coder1_YH!AH7=coder2_NY_MT!AB8,1,0))</f>
        <v/>
      </c>
      <c r="AA8" s="20" t="str">
        <f>IF(coder1_YH!AI7="","",IF(coder1_YH!AI7=coder2_NY_MT!AC8,1,0))</f>
        <v/>
      </c>
      <c r="AB8" s="20">
        <f>IF(OR(coder2_NY_MT!AD8="", coder1_YH!AJ7 = ""),0,1)</f>
        <v>1</v>
      </c>
      <c r="AC8" s="20">
        <f>IF(coder1_YH!AK7="","",IF(coder1_YH!AK7=coder2_NY_MT!AE8,1,0))</f>
        <v>1</v>
      </c>
      <c r="AD8" s="20">
        <f>IF(coder1_YH!AL7="","",IF(coder1_YH!AL7=coder2_NY_MT!AF8,1,0))</f>
        <v>0</v>
      </c>
      <c r="AF8" s="20">
        <f>IF(coder1_YH!AN7="","",IF(coder1_YH!AN7=coder2_NY_MT!AH8,1,0))</f>
        <v>1</v>
      </c>
      <c r="AG8" s="20">
        <f>IF(coder1_YH!AO7="","",IF(coder1_YH!AO7=coder2_NY_MT!AI8,1,0))</f>
        <v>1</v>
      </c>
      <c r="AH8" s="20">
        <f>IF(coder1_YH!AP7="","",IF(coder1_YH!AP7=coder2_NY_MT!AJ8,1,0))</f>
        <v>1</v>
      </c>
      <c r="AI8" s="20">
        <f>IF(coder1_YH!AQ7="","",IF(coder1_YH!AQ7=coder2_NY_MT!AK8,1,0))</f>
        <v>1</v>
      </c>
      <c r="AJ8" s="20">
        <f>IF(coder1_YH!AR7="","",IF(coder1_YH!AR7=coder2_NY_MT!AL8,1,0))</f>
        <v>1</v>
      </c>
      <c r="AK8" s="20">
        <f>IF(coder1_YH!AS7="","",IF(coder1_YH!AS7=coder2_NY_MT!AM8,1,0))</f>
        <v>1</v>
      </c>
      <c r="AL8" s="20">
        <f>IF(coder1_YH!AZ7=coder2_NY_MT!AT8, 1, 0)</f>
        <v>1</v>
      </c>
      <c r="AM8" s="20">
        <f>IF(coder1_YH!BA7=coder2_NY_MT!AU8, 1, 0)</f>
        <v>1</v>
      </c>
      <c r="AN8" s="2"/>
    </row>
    <row r="9" spans="1:40" s="20" customFormat="1" ht="17" hidden="1" customHeight="1" x14ac:dyDescent="0.2">
      <c r="A9" s="20">
        <f>IF(coder1_YH!G8="","",IF(coder1_YH!G8=coder2_NY_MT!A9,1,0))</f>
        <v>0</v>
      </c>
      <c r="B9" s="20">
        <f>IF(coder1_YH!H8="","",IF(RIGHT(coder1_YH!H8,2)=RIGHT(coder2_NY_MT!B9,2),1,0))</f>
        <v>0</v>
      </c>
      <c r="C9" s="20">
        <f>IF(coder1_YH!I8="","",IF(coder1_YH!I8=coder2_NY_MT!C9,1,0))</f>
        <v>0</v>
      </c>
      <c r="E9" s="20">
        <f>IF(coder1_YH!K8="","",IF(coder1_YH!K8=coder2_NY_MT!E9,1,0))</f>
        <v>0</v>
      </c>
      <c r="F9" s="20">
        <f>IF(coder1_YH!L8="","",IF(coder1_YH!L8=coder2_NY_MT!F9,1,0))</f>
        <v>0</v>
      </c>
      <c r="G9" s="20">
        <f>IF(coder1_YH!M8="","",IF(coder1_YH!M8=coder2_NY_MT!G9,1,0))</f>
        <v>0</v>
      </c>
      <c r="H9" s="20">
        <f>IF(coder1_YH!P8="","",IF(RIGHT(coder1_YH!P8,3)=RIGHT(coder2_NY_MT!J9,3),1,0))</f>
        <v>0</v>
      </c>
      <c r="I9" s="20">
        <f>IF(H9="","",IF(OR(coder2_NY_MT!K9="", coder1_YH!Q8 = ""),0,1))</f>
        <v>1</v>
      </c>
      <c r="J9" s="20">
        <f>IF(coder1_YH!R8="","",IF(coder1_YH!R8=coder2_NY_MT!L9,1,0))</f>
        <v>0</v>
      </c>
      <c r="K9" s="20">
        <f>IF(coder1_YH!S8="","",IF(coder1_YH!S8=coder2_NY_MT!M9,1,0))</f>
        <v>1</v>
      </c>
      <c r="L9" s="20">
        <f>IF(coder1_YH!T8="","",IF(coder1_YH!T8=coder2_NY_MT!N9,1,0))</f>
        <v>1</v>
      </c>
      <c r="M9" s="20">
        <f>IF(coder1_YH!U8="","",IF(coder1_YH!U8=coder2_NY_MT!O9,1,0))</f>
        <v>1</v>
      </c>
      <c r="N9" s="20">
        <f>IF(coder1_YH!V8="","",IF(coder1_YH!V8=coder2_NY_MT!P9,1,0))</f>
        <v>1</v>
      </c>
      <c r="O9" s="20">
        <f>IF(coder1_YH!W8="","",IF(coder1_YH!W8=coder2_NY_MT!Q9,1,0))</f>
        <v>1</v>
      </c>
      <c r="P9" s="20">
        <f>IF(coder1_YH!X8="","",IF(coder1_YH!X8=coder2_NY_MT!R9,1,0))</f>
        <v>1</v>
      </c>
      <c r="Q9" s="20">
        <f>IF(coder1_YH!Y8="","",IF(coder1_YH!Y8=coder2_NY_MT!S9,1,0))</f>
        <v>1</v>
      </c>
      <c r="R9" s="20">
        <f>IF(coder1_YH!Z8="","",IF(coder1_YH!Z8=coder2_NY_MT!T9,1,0))</f>
        <v>1</v>
      </c>
      <c r="S9" s="20">
        <f>IF(R9="","",IF(OR(coder2_NY_MT!U9="", coder1_YH!AA8 = ""),0,1))</f>
        <v>1</v>
      </c>
      <c r="T9" s="20">
        <f>IF(coder1_YH!AB8="","",IF(coder1_YH!AB8=coder2_NY_MT!V9,1,0))</f>
        <v>1</v>
      </c>
      <c r="U9" s="20">
        <f>IF(coder1_YH!AC8="","",IF(coder1_YH!AC8=coder2_NY_MT!W9,1,0))</f>
        <v>1</v>
      </c>
      <c r="V9" s="20">
        <f>IF(coder1_YH!AD8="","",IF(coder1_YH!AD8=coder2_NY_MT!X9,1,0))</f>
        <v>1</v>
      </c>
      <c r="W9" s="20">
        <f>IF(coder1_YH!AE8="","",IF(coder1_YH!AE8=coder2_NY_MT!Y9,1,0))</f>
        <v>1</v>
      </c>
      <c r="X9" s="20">
        <f>IF(coder1_YH!AF8="","",IF(coder1_YH!AF8=coder2_NY_MT!Z9,1,0))</f>
        <v>1</v>
      </c>
      <c r="Z9" s="20">
        <f>IF(coder1_YH!AH8="","",IF(coder1_YH!AH8=coder2_NY_MT!AB9,1,0))</f>
        <v>1</v>
      </c>
      <c r="AA9" s="20">
        <f>IF(coder1_YH!AI8="","",IF(coder1_YH!AI8=coder2_NY_MT!AC9,1,0))</f>
        <v>1</v>
      </c>
      <c r="AB9" s="20">
        <f>IF(OR(coder2_NY_MT!AD9="", coder1_YH!AJ8 = ""),0,1)</f>
        <v>1</v>
      </c>
      <c r="AC9" s="20">
        <f>IF(coder1_YH!AK8="","",IF(coder1_YH!AK8=coder2_NY_MT!AE9,1,0))</f>
        <v>1</v>
      </c>
      <c r="AD9" s="20">
        <f>IF(coder1_YH!AL8="","",IF(coder1_YH!AL8=coder2_NY_MT!AF9,1,0))</f>
        <v>0</v>
      </c>
      <c r="AF9" s="20">
        <f>IF(coder1_YH!AN8="","",IF(coder1_YH!AN8=coder2_NY_MT!AH9,1,0))</f>
        <v>1</v>
      </c>
      <c r="AG9" s="20">
        <f>IF(coder1_YH!AO8="","",IF(coder1_YH!AO8=coder2_NY_MT!AI9,1,0))</f>
        <v>1</v>
      </c>
      <c r="AH9" s="20">
        <f>IF(coder1_YH!AP8="","",IF(coder1_YH!AP8=coder2_NY_MT!AJ9,1,0))</f>
        <v>1</v>
      </c>
      <c r="AI9" s="20">
        <f>IF(coder1_YH!AQ8="","",IF(coder1_YH!AQ8=coder2_NY_MT!AK9,1,0))</f>
        <v>1</v>
      </c>
      <c r="AJ9" s="20">
        <f>IF(coder1_YH!AR8="","",IF(coder1_YH!AR8=coder2_NY_MT!AL9,1,0))</f>
        <v>1</v>
      </c>
      <c r="AK9" s="20">
        <f>IF(coder1_YH!AS8="","",IF(coder1_YH!AS8=coder2_NY_MT!AM9,1,0))</f>
        <v>1</v>
      </c>
      <c r="AL9" s="20">
        <f>IF(coder1_YH!AZ8=coder2_NY_MT!AT9, 1, 0)</f>
        <v>1</v>
      </c>
      <c r="AM9" s="20">
        <f>IF(coder1_YH!BA8=coder2_NY_MT!AU9, 1, 0)</f>
        <v>1</v>
      </c>
      <c r="AN9" s="2"/>
    </row>
    <row r="10" spans="1:40" s="21" customFormat="1" ht="17" hidden="1" customHeight="1" x14ac:dyDescent="0.2">
      <c r="A10" s="20">
        <f>IF(coder1_YH!G9="","",IF(coder1_YH!G9=coder2_NY_MT!A10,1,0))</f>
        <v>0</v>
      </c>
      <c r="B10" s="20">
        <f>IF(coder1_YH!H9="","",IF(RIGHT(coder1_YH!H9,2)=RIGHT(coder2_NY_MT!B10,2),1,0))</f>
        <v>0</v>
      </c>
      <c r="C10" s="20">
        <f>IF(coder1_YH!I9="","",IF(coder1_YH!I9=coder2_NY_MT!C10,1,0))</f>
        <v>0</v>
      </c>
      <c r="D10" s="20"/>
      <c r="E10" s="20">
        <f>IF(coder1_YH!K9="","",IF(coder1_YH!K9=coder2_NY_MT!E10,1,0))</f>
        <v>0</v>
      </c>
      <c r="F10" s="20">
        <f>IF(coder1_YH!L9="","",IF(coder1_YH!L9=coder2_NY_MT!F10,1,0))</f>
        <v>0</v>
      </c>
      <c r="G10" s="20">
        <f>IF(coder1_YH!M9="","",IF(coder1_YH!M9=coder2_NY_MT!G10,1,0))</f>
        <v>0</v>
      </c>
      <c r="H10" s="20" t="str">
        <f>IF(coder1_YH!P9="","",IF(RIGHT(coder1_YH!P9,3)=RIGHT(coder2_NY_MT!J10,3),1,0))</f>
        <v/>
      </c>
      <c r="I10" s="20" t="str">
        <f>IF(H10="","",IF(OR(coder2_NY_MT!K10="", coder1_YH!Q9 = ""),0,1))</f>
        <v/>
      </c>
      <c r="J10" s="20" t="str">
        <f>IF(coder1_YH!R9="","",IF(coder1_YH!R9=coder2_NY_MT!L10,1,0))</f>
        <v/>
      </c>
      <c r="K10" s="20" t="str">
        <f>IF(coder1_YH!S9="","",IF(coder1_YH!S9=coder2_NY_MT!M10,1,0))</f>
        <v/>
      </c>
      <c r="L10" s="20" t="str">
        <f>IF(coder1_YH!T9="","",IF(coder1_YH!T9=coder2_NY_MT!N10,1,0))</f>
        <v/>
      </c>
      <c r="M10" s="20" t="str">
        <f>IF(coder1_YH!U9="","",IF(coder1_YH!U9=coder2_NY_MT!O10,1,0))</f>
        <v/>
      </c>
      <c r="N10" s="20" t="str">
        <f>IF(coder1_YH!V9="","",IF(coder1_YH!V9=coder2_NY_MT!P10,1,0))</f>
        <v/>
      </c>
      <c r="O10" s="20" t="str">
        <f>IF(coder1_YH!W9="","",IF(coder1_YH!W9=coder2_NY_MT!Q10,1,0))</f>
        <v/>
      </c>
      <c r="P10" s="20" t="str">
        <f>IF(coder1_YH!X9="","",IF(coder1_YH!X9=coder2_NY_MT!R10,1,0))</f>
        <v/>
      </c>
      <c r="Q10" s="20" t="str">
        <f>IF(coder1_YH!Y9="","",IF(coder1_YH!Y9=coder2_NY_MT!S10,1,0))</f>
        <v/>
      </c>
      <c r="R10" s="20" t="str">
        <f>IF(coder1_YH!Z9="","",IF(coder1_YH!Z9=coder2_NY_MT!T10,1,0))</f>
        <v/>
      </c>
      <c r="S10" s="20" t="str">
        <f>IF(R10="","",IF(OR(coder2_NY_MT!U10="", coder1_YH!AA9 = ""),0,1))</f>
        <v/>
      </c>
      <c r="T10" s="20" t="str">
        <f>IF(coder1_YH!AB9="","",IF(coder1_YH!AB9=coder2_NY_MT!V10,1,0))</f>
        <v/>
      </c>
      <c r="U10" s="20" t="str">
        <f>IF(coder1_YH!AC9="","",IF(coder1_YH!AC9=coder2_NY_MT!W10,1,0))</f>
        <v/>
      </c>
      <c r="V10" s="20" t="str">
        <f>IF(coder1_YH!AD9="","",IF(coder1_YH!AD9=coder2_NY_MT!X10,1,0))</f>
        <v/>
      </c>
      <c r="W10" s="20" t="str">
        <f>IF(coder1_YH!AE9="","",IF(coder1_YH!AE9=coder2_NY_MT!Y10,1,0))</f>
        <v/>
      </c>
      <c r="X10" s="20" t="str">
        <f>IF(coder1_YH!AF9="","",IF(coder1_YH!AF9=coder2_NY_MT!Z10,1,0))</f>
        <v/>
      </c>
      <c r="Y10" s="20"/>
      <c r="Z10" s="20" t="str">
        <f>IF(coder1_YH!AH9="","",IF(coder1_YH!AH9=coder2_NY_MT!AB10,1,0))</f>
        <v/>
      </c>
      <c r="AA10" s="20" t="str">
        <f>IF(coder1_YH!AI9="","",IF(coder1_YH!AI9=coder2_NY_MT!AC10,1,0))</f>
        <v/>
      </c>
      <c r="AB10" s="20">
        <f>IF(OR(coder2_NY_MT!AD10="", coder1_YH!AJ9 = ""),0,1)</f>
        <v>1</v>
      </c>
      <c r="AC10" s="20">
        <f>IF(coder1_YH!AK9="","",IF(coder1_YH!AK9=coder2_NY_MT!AE10,1,0))</f>
        <v>1</v>
      </c>
      <c r="AD10" s="20">
        <f>IF(coder1_YH!AL9="","",IF(coder1_YH!AL9=coder2_NY_MT!AF10,1,0))</f>
        <v>0</v>
      </c>
      <c r="AE10" s="20"/>
      <c r="AF10" s="20">
        <f>IF(coder1_YH!AN9="","",IF(coder1_YH!AN9=coder2_NY_MT!AH10,1,0))</f>
        <v>1</v>
      </c>
      <c r="AG10" s="20">
        <f>IF(coder1_YH!AO9="","",IF(coder1_YH!AO9=coder2_NY_MT!AI10,1,0))</f>
        <v>1</v>
      </c>
      <c r="AH10" s="20">
        <f>IF(coder1_YH!AP9="","",IF(coder1_YH!AP9=coder2_NY_MT!AJ10,1,0))</f>
        <v>1</v>
      </c>
      <c r="AI10" s="20">
        <f>IF(coder1_YH!AQ9="","",IF(coder1_YH!AQ9=coder2_NY_MT!AK10,1,0))</f>
        <v>1</v>
      </c>
      <c r="AJ10" s="20">
        <f>IF(coder1_YH!AR9="","",IF(coder1_YH!AR9=coder2_NY_MT!AL10,1,0))</f>
        <v>1</v>
      </c>
      <c r="AK10" s="20">
        <f>IF(coder1_YH!AS9="","",IF(coder1_YH!AS9=coder2_NY_MT!AM10,1,0))</f>
        <v>1</v>
      </c>
      <c r="AL10" s="20">
        <f>IF(coder1_YH!AZ9=coder2_NY_MT!AT10, 1, 0)</f>
        <v>1</v>
      </c>
      <c r="AM10" s="20">
        <f>IF(coder1_YH!BA9=coder2_NY_MT!AU10, 1, 0)</f>
        <v>1</v>
      </c>
      <c r="AN10" s="28"/>
    </row>
    <row r="11" spans="1:40" s="20" customFormat="1" ht="17" hidden="1" customHeight="1" x14ac:dyDescent="0.2">
      <c r="A11" s="20">
        <f>IF(coder1_YH!G10="","",IF(coder1_YH!G10=coder2_NY_MT!A11,1,0))</f>
        <v>1</v>
      </c>
      <c r="B11" s="20">
        <f>IF(coder1_YH!H10="","",IF(RIGHT(coder1_YH!H10,2)=RIGHT(coder2_NY_MT!B11,2),1,0))</f>
        <v>1</v>
      </c>
      <c r="C11" s="20">
        <f>IF(coder1_YH!I10="","",IF(coder1_YH!I10=coder2_NY_MT!C11,1,0))</f>
        <v>1</v>
      </c>
      <c r="E11" s="20">
        <f>IF(coder1_YH!K10="","",IF(coder1_YH!K10=coder2_NY_MT!E11,1,0))</f>
        <v>1</v>
      </c>
      <c r="F11" s="20">
        <f>IF(coder1_YH!L10="","",IF(coder1_YH!L10=coder2_NY_MT!F11,1,0))</f>
        <v>1</v>
      </c>
      <c r="G11" s="20">
        <f>IF(coder1_YH!M10="","",IF(coder1_YH!M10=coder2_NY_MT!G11,1,0))</f>
        <v>1</v>
      </c>
      <c r="H11" s="20">
        <f>IF(coder1_YH!P10="","",IF(RIGHT(coder1_YH!P10,3)=RIGHT(coder2_NY_MT!J11,3),1,0))</f>
        <v>0</v>
      </c>
      <c r="I11" s="20">
        <f>IF(H11="","",IF(OR(coder2_NY_MT!K11="", coder1_YH!Q10 = ""),0,1))</f>
        <v>1</v>
      </c>
      <c r="J11" s="20">
        <f>IF(coder1_YH!R10="","",IF(coder1_YH!R10=coder2_NY_MT!L11,1,0))</f>
        <v>1</v>
      </c>
      <c r="K11" s="20">
        <f>IF(coder1_YH!S10="","",IF(coder1_YH!S10=coder2_NY_MT!M11,1,0))</f>
        <v>1</v>
      </c>
      <c r="L11" s="20">
        <f>IF(coder1_YH!T10="","",IF(coder1_YH!T10=coder2_NY_MT!N11,1,0))</f>
        <v>1</v>
      </c>
      <c r="M11" s="20">
        <f>IF(coder1_YH!U10="","",IF(coder1_YH!U10=coder2_NY_MT!O11,1,0))</f>
        <v>1</v>
      </c>
      <c r="N11" s="20">
        <f>IF(coder1_YH!V10="","",IF(coder1_YH!V10=coder2_NY_MT!P11,1,0))</f>
        <v>1</v>
      </c>
      <c r="O11" s="20">
        <f>IF(coder1_YH!W10="","",IF(coder1_YH!W10=coder2_NY_MT!Q11,1,0))</f>
        <v>1</v>
      </c>
      <c r="P11" s="20">
        <f>IF(coder1_YH!X10="","",IF(coder1_YH!X10=coder2_NY_MT!R11,1,0))</f>
        <v>1</v>
      </c>
      <c r="Q11" s="20">
        <f>IF(coder1_YH!Y10="","",IF(coder1_YH!Y10=coder2_NY_MT!S11,1,0))</f>
        <v>1</v>
      </c>
      <c r="R11" s="20">
        <f>IF(coder1_YH!Z10="","",IF(coder1_YH!Z10=coder2_NY_MT!T11,1,0))</f>
        <v>1</v>
      </c>
      <c r="S11" s="20">
        <f>IF(R11="","",IF(OR(coder2_NY_MT!U11="", coder1_YH!AA10 = ""),0,1))</f>
        <v>1</v>
      </c>
      <c r="T11" s="20">
        <f>IF(coder1_YH!AB10="","",IF(coder1_YH!AB10=coder2_NY_MT!V11,1,0))</f>
        <v>1</v>
      </c>
      <c r="U11" s="20">
        <f>IF(coder1_YH!AC10="","",IF(coder1_YH!AC10=coder2_NY_MT!W11,1,0))</f>
        <v>1</v>
      </c>
      <c r="V11" s="20">
        <f>IF(coder1_YH!AD10="","",IF(coder1_YH!AD10=coder2_NY_MT!X11,1,0))</f>
        <v>1</v>
      </c>
      <c r="W11" s="20">
        <f>IF(coder1_YH!AE10="","",IF(coder1_YH!AE10=coder2_NY_MT!Y11,1,0))</f>
        <v>1</v>
      </c>
      <c r="X11" s="20">
        <f>IF(coder1_YH!AF10="","",IF(coder1_YH!AF10=coder2_NY_MT!Z11,1,0))</f>
        <v>1</v>
      </c>
      <c r="Z11" s="20">
        <f>IF(coder1_YH!AH10="","",IF(coder1_YH!AH10=coder2_NY_MT!AB11,1,0))</f>
        <v>1</v>
      </c>
      <c r="AA11" s="20">
        <f>IF(coder1_YH!AI10="","",IF(coder1_YH!AI10=coder2_NY_MT!AC11,1,0))</f>
        <v>1</v>
      </c>
      <c r="AB11" s="20">
        <f>IF(OR(coder2_NY_MT!AD11="", coder1_YH!AJ10 = ""),0,1)</f>
        <v>1</v>
      </c>
      <c r="AC11" s="20">
        <f>IF(coder1_YH!AK10="","",IF(coder1_YH!AK10=coder2_NY_MT!AE11,1,0))</f>
        <v>1</v>
      </c>
      <c r="AD11" s="20">
        <f>IF(coder1_YH!AL10="","",IF(coder1_YH!AL10=coder2_NY_MT!AF11,1,0))</f>
        <v>0</v>
      </c>
      <c r="AF11" s="20">
        <f>IF(coder1_YH!AN10="","",IF(coder1_YH!AN10=coder2_NY_MT!AH11,1,0))</f>
        <v>1</v>
      </c>
      <c r="AG11" s="20">
        <f>IF(coder1_YH!AO10="","",IF(coder1_YH!AO10=coder2_NY_MT!AI11,1,0))</f>
        <v>1</v>
      </c>
      <c r="AH11" s="20">
        <f>IF(coder1_YH!AP10="","",IF(coder1_YH!AP10=coder2_NY_MT!AJ11,1,0))</f>
        <v>1</v>
      </c>
      <c r="AI11" s="20">
        <f>IF(coder1_YH!AQ10="","",IF(coder1_YH!AQ10=coder2_NY_MT!AK11,1,0))</f>
        <v>1</v>
      </c>
      <c r="AJ11" s="20">
        <f>IF(coder1_YH!AR10="","",IF(coder1_YH!AR10=coder2_NY_MT!AL11,1,0))</f>
        <v>1</v>
      </c>
      <c r="AK11" s="20">
        <f>IF(coder1_YH!AS10="","",IF(coder1_YH!AS10=coder2_NY_MT!AM11,1,0))</f>
        <v>1</v>
      </c>
      <c r="AL11" s="20">
        <f>IF(coder1_YH!AZ10=coder2_NY_MT!AT11, 1, 0)</f>
        <v>1</v>
      </c>
      <c r="AM11" s="20">
        <f>IF(coder1_YH!BA10=coder2_NY_MT!AU11, 1, 0)</f>
        <v>1</v>
      </c>
      <c r="AN11" s="2"/>
    </row>
    <row r="12" spans="1:40" s="20" customFormat="1" ht="17" hidden="1" customHeight="1" x14ac:dyDescent="0.2">
      <c r="A12" s="20">
        <f>IF(coder1_YH!G11="","",IF(coder1_YH!G11=coder2_NY_MT!A12,1,0))</f>
        <v>0</v>
      </c>
      <c r="B12" s="20">
        <f>IF(coder1_YH!H11="","",IF(RIGHT(coder1_YH!H11,2)=RIGHT(coder2_NY_MT!B12,2),1,0))</f>
        <v>0</v>
      </c>
      <c r="C12" s="20">
        <f>IF(coder1_YH!I11="","",IF(coder1_YH!I11=coder2_NY_MT!C12,1,0))</f>
        <v>0</v>
      </c>
      <c r="E12" s="20">
        <f>IF(coder1_YH!K11="","",IF(coder1_YH!K11=coder2_NY_MT!E12,1,0))</f>
        <v>0</v>
      </c>
      <c r="F12" s="20">
        <f>IF(coder1_YH!L11="","",IF(coder1_YH!L11=coder2_NY_MT!F12,1,0))</f>
        <v>0</v>
      </c>
      <c r="G12" s="20">
        <f>IF(coder1_YH!M11="","",IF(coder1_YH!M11=coder2_NY_MT!G12,1,0))</f>
        <v>0</v>
      </c>
      <c r="H12" s="20">
        <f>IF(coder1_YH!P11="","",IF(RIGHT(coder1_YH!P11,3)=RIGHT(coder2_NY_MT!J12,3),1,0))</f>
        <v>0</v>
      </c>
      <c r="I12" s="20">
        <f>IF(H12="","",IF(OR(coder2_NY_MT!K12="", coder1_YH!Q11 = ""),0,1))</f>
        <v>1</v>
      </c>
      <c r="J12" s="20">
        <f>IF(coder1_YH!R11="","",IF(coder1_YH!R11=coder2_NY_MT!L12,1,0))</f>
        <v>1</v>
      </c>
      <c r="K12" s="20">
        <f>IF(coder1_YH!S11="","",IF(coder1_YH!S11=coder2_NY_MT!M12,1,0))</f>
        <v>1</v>
      </c>
      <c r="L12" s="20">
        <f>IF(coder1_YH!T11="","",IF(coder1_YH!T11=coder2_NY_MT!N12,1,0))</f>
        <v>1</v>
      </c>
      <c r="M12" s="20">
        <f>IF(coder1_YH!U11="","",IF(coder1_YH!U11=coder2_NY_MT!O12,1,0))</f>
        <v>1</v>
      </c>
      <c r="N12" s="20">
        <f>IF(coder1_YH!V11="","",IF(coder1_YH!V11=coder2_NY_MT!P12,1,0))</f>
        <v>1</v>
      </c>
      <c r="O12" s="20">
        <f>IF(coder1_YH!W11="","",IF(coder1_YH!W11=coder2_NY_MT!Q12,1,0))</f>
        <v>1</v>
      </c>
      <c r="P12" s="20">
        <f>IF(coder1_YH!X11="","",IF(coder1_YH!X11=coder2_NY_MT!R12,1,0))</f>
        <v>1</v>
      </c>
      <c r="Q12" s="20">
        <f>IF(coder1_YH!Y11="","",IF(coder1_YH!Y11=coder2_NY_MT!S12,1,0))</f>
        <v>1</v>
      </c>
      <c r="R12" s="20">
        <f>IF(coder1_YH!Z11="","",IF(coder1_YH!Z11=coder2_NY_MT!T12,1,0))</f>
        <v>1</v>
      </c>
      <c r="S12" s="20">
        <f>IF(R12="","",IF(OR(coder2_NY_MT!U12="", coder1_YH!AA11 = ""),0,1))</f>
        <v>1</v>
      </c>
      <c r="T12" s="20">
        <f>IF(coder1_YH!AB11="","",IF(coder1_YH!AB11=coder2_NY_MT!V12,1,0))</f>
        <v>1</v>
      </c>
      <c r="U12" s="20">
        <f>IF(coder1_YH!AC11="","",IF(coder1_YH!AC11=coder2_NY_MT!W12,1,0))</f>
        <v>1</v>
      </c>
      <c r="V12" s="20">
        <f>IF(coder1_YH!AD11="","",IF(coder1_YH!AD11=coder2_NY_MT!X12,1,0))</f>
        <v>1</v>
      </c>
      <c r="W12" s="20">
        <f>IF(coder1_YH!AE11="","",IF(coder1_YH!AE11=coder2_NY_MT!Y12,1,0))</f>
        <v>1</v>
      </c>
      <c r="X12" s="20">
        <f>IF(coder1_YH!AF11="","",IF(coder1_YH!AF11=coder2_NY_MT!Z12,1,0))</f>
        <v>1</v>
      </c>
      <c r="Z12" s="20">
        <f>IF(coder1_YH!AH11="","",IF(coder1_YH!AH11=coder2_NY_MT!AB12,1,0))</f>
        <v>1</v>
      </c>
      <c r="AA12" s="20">
        <f>IF(coder1_YH!AI11="","",IF(coder1_YH!AI11=coder2_NY_MT!AC12,1,0))</f>
        <v>1</v>
      </c>
      <c r="AB12" s="20">
        <f>IF(OR(coder2_NY_MT!AD12="", coder1_YH!AJ11 = ""),0,1)</f>
        <v>1</v>
      </c>
      <c r="AC12" s="20">
        <f>IF(coder1_YH!AK11="","",IF(coder1_YH!AK11=coder2_NY_MT!AE12,1,0))</f>
        <v>1</v>
      </c>
      <c r="AD12" s="20">
        <f>IF(coder1_YH!AL11="","",IF(coder1_YH!AL11=coder2_NY_MT!AF12,1,0))</f>
        <v>0</v>
      </c>
      <c r="AF12" s="20">
        <f>IF(coder1_YH!AN11="","",IF(coder1_YH!AN11=coder2_NY_MT!AH12,1,0))</f>
        <v>1</v>
      </c>
      <c r="AG12" s="20">
        <f>IF(coder1_YH!AO11="","",IF(coder1_YH!AO11=coder2_NY_MT!AI12,1,0))</f>
        <v>1</v>
      </c>
      <c r="AH12" s="20">
        <f>IF(coder1_YH!AP11="","",IF(coder1_YH!AP11=coder2_NY_MT!AJ12,1,0))</f>
        <v>1</v>
      </c>
      <c r="AI12" s="20">
        <f>IF(coder1_YH!AQ11="","",IF(coder1_YH!AQ11=coder2_NY_MT!AK12,1,0))</f>
        <v>1</v>
      </c>
      <c r="AJ12" s="20">
        <f>IF(coder1_YH!AR11="","",IF(coder1_YH!AR11=coder2_NY_MT!AL12,1,0))</f>
        <v>1</v>
      </c>
      <c r="AK12" s="20">
        <f>IF(coder1_YH!AS11="","",IF(coder1_YH!AS11=coder2_NY_MT!AM12,1,0))</f>
        <v>1</v>
      </c>
      <c r="AL12" s="20">
        <f>IF(coder1_YH!AZ11=coder2_NY_MT!AT12, 1, 0)</f>
        <v>1</v>
      </c>
      <c r="AM12" s="20">
        <f>IF(coder1_YH!BA11=coder2_NY_MT!AU12, 1, 0)</f>
        <v>1</v>
      </c>
      <c r="AN12" s="2"/>
    </row>
    <row r="13" spans="1:40" s="21" customFormat="1" ht="17" hidden="1" customHeight="1" x14ac:dyDescent="0.2">
      <c r="A13" s="20">
        <f>IF(coder1_YH!G12="","",IF(coder1_YH!G12=coder2_NY_MT!A13,1,0))</f>
        <v>0</v>
      </c>
      <c r="B13" s="20">
        <f>IF(coder1_YH!H12="","",IF(RIGHT(coder1_YH!H12,2)=RIGHT(coder2_NY_MT!B13,2),1,0))</f>
        <v>0</v>
      </c>
      <c r="C13" s="20">
        <f>IF(coder1_YH!I12="","",IF(coder1_YH!I12=coder2_NY_MT!C13,1,0))</f>
        <v>0</v>
      </c>
      <c r="D13" s="20"/>
      <c r="E13" s="20">
        <f>IF(coder1_YH!K12="","",IF(coder1_YH!K12=coder2_NY_MT!E13,1,0))</f>
        <v>0</v>
      </c>
      <c r="F13" s="20">
        <f>IF(coder1_YH!L12="","",IF(coder1_YH!L12=coder2_NY_MT!F13,1,0))</f>
        <v>0</v>
      </c>
      <c r="G13" s="20">
        <f>IF(coder1_YH!M12="","",IF(coder1_YH!M12=coder2_NY_MT!G13,1,0))</f>
        <v>0</v>
      </c>
      <c r="H13" s="20">
        <f>IF(coder1_YH!P12="","",IF(RIGHT(coder1_YH!P12,3)=RIGHT(coder2_NY_MT!J13,3),1,0))</f>
        <v>0</v>
      </c>
      <c r="I13" s="20">
        <f>IF(H13="","",IF(OR(coder2_NY_MT!K13="", coder1_YH!Q12 = ""),0,1))</f>
        <v>1</v>
      </c>
      <c r="J13" s="20">
        <f>IF(coder1_YH!R12="","",IF(coder1_YH!R12=coder2_NY_MT!L13,1,0))</f>
        <v>1</v>
      </c>
      <c r="K13" s="20">
        <f>IF(coder1_YH!S12="","",IF(coder1_YH!S12=coder2_NY_MT!M13,1,0))</f>
        <v>1</v>
      </c>
      <c r="L13" s="20">
        <f>IF(coder1_YH!T12="","",IF(coder1_YH!T12=coder2_NY_MT!N13,1,0))</f>
        <v>1</v>
      </c>
      <c r="M13" s="20">
        <f>IF(coder1_YH!U12="","",IF(coder1_YH!U12=coder2_NY_MT!O13,1,0))</f>
        <v>1</v>
      </c>
      <c r="N13" s="20">
        <f>IF(coder1_YH!V12="","",IF(coder1_YH!V12=coder2_NY_MT!P13,1,0))</f>
        <v>1</v>
      </c>
      <c r="O13" s="20">
        <f>IF(coder1_YH!W12="","",IF(coder1_YH!W12=coder2_NY_MT!Q13,1,0))</f>
        <v>1</v>
      </c>
      <c r="P13" s="20">
        <f>IF(coder1_YH!X12="","",IF(coder1_YH!X12=coder2_NY_MT!R13,1,0))</f>
        <v>1</v>
      </c>
      <c r="Q13" s="20">
        <f>IF(coder1_YH!Y12="","",IF(coder1_YH!Y12=coder2_NY_MT!S13,1,0))</f>
        <v>1</v>
      </c>
      <c r="R13" s="20">
        <f>IF(coder1_YH!Z12="","",IF(coder1_YH!Z12=coder2_NY_MT!T13,1,0))</f>
        <v>1</v>
      </c>
      <c r="S13" s="20">
        <f>IF(R13="","",IF(OR(coder2_NY_MT!U13="", coder1_YH!AA12 = ""),0,1))</f>
        <v>1</v>
      </c>
      <c r="T13" s="20">
        <f>IF(coder1_YH!AB12="","",IF(coder1_YH!AB12=coder2_NY_MT!V13,1,0))</f>
        <v>1</v>
      </c>
      <c r="U13" s="20">
        <f>IF(coder1_YH!AC12="","",IF(coder1_YH!AC12=coder2_NY_MT!W13,1,0))</f>
        <v>1</v>
      </c>
      <c r="V13" s="20">
        <f>IF(coder1_YH!AD12="","",IF(coder1_YH!AD12=coder2_NY_MT!X13,1,0))</f>
        <v>1</v>
      </c>
      <c r="W13" s="20">
        <f>IF(coder1_YH!AE12="","",IF(coder1_YH!AE12=coder2_NY_MT!Y13,1,0))</f>
        <v>1</v>
      </c>
      <c r="X13" s="20">
        <f>IF(coder1_YH!AF12="","",IF(coder1_YH!AF12=coder2_NY_MT!Z13,1,0))</f>
        <v>1</v>
      </c>
      <c r="Y13" s="20"/>
      <c r="Z13" s="20">
        <f>IF(coder1_YH!AH12="","",IF(coder1_YH!AH12=coder2_NY_MT!AB13,1,0))</f>
        <v>1</v>
      </c>
      <c r="AA13" s="20">
        <f>IF(coder1_YH!AI12="","",IF(coder1_YH!AI12=coder2_NY_MT!AC13,1,0))</f>
        <v>1</v>
      </c>
      <c r="AB13" s="20">
        <f>IF(OR(coder2_NY_MT!AD13="", coder1_YH!AJ12 = ""),0,1)</f>
        <v>1</v>
      </c>
      <c r="AC13" s="20">
        <f>IF(coder1_YH!AK12="","",IF(coder1_YH!AK12=coder2_NY_MT!AE13,1,0))</f>
        <v>1</v>
      </c>
      <c r="AD13" s="20">
        <f>IF(coder1_YH!AL12="","",IF(coder1_YH!AL12=coder2_NY_MT!AF13,1,0))</f>
        <v>0</v>
      </c>
      <c r="AE13" s="20"/>
      <c r="AF13" s="20">
        <f>IF(coder1_YH!AN12="","",IF(coder1_YH!AN12=coder2_NY_MT!AH13,1,0))</f>
        <v>1</v>
      </c>
      <c r="AG13" s="20">
        <f>IF(coder1_YH!AO12="","",IF(coder1_YH!AO12=coder2_NY_MT!AI13,1,0))</f>
        <v>1</v>
      </c>
      <c r="AH13" s="20">
        <f>IF(coder1_YH!AP12="","",IF(coder1_YH!AP12=coder2_NY_MT!AJ13,1,0))</f>
        <v>1</v>
      </c>
      <c r="AI13" s="20">
        <f>IF(coder1_YH!AQ12="","",IF(coder1_YH!AQ12=coder2_NY_MT!AK13,1,0))</f>
        <v>1</v>
      </c>
      <c r="AJ13" s="20">
        <f>IF(coder1_YH!AR12="","",IF(coder1_YH!AR12=coder2_NY_MT!AL13,1,0))</f>
        <v>1</v>
      </c>
      <c r="AK13" s="20">
        <f>IF(coder1_YH!AS12="","",IF(coder1_YH!AS12=coder2_NY_MT!AM13,1,0))</f>
        <v>1</v>
      </c>
      <c r="AL13" s="20">
        <f>IF(coder1_YH!AZ12=coder2_NY_MT!AT13, 1, 0)</f>
        <v>1</v>
      </c>
      <c r="AM13" s="20">
        <f>IF(coder1_YH!BA12=coder2_NY_MT!AU13, 1, 0)</f>
        <v>1</v>
      </c>
      <c r="AN13" s="28"/>
    </row>
    <row r="14" spans="1:40" s="20" customFormat="1" ht="17" hidden="1" customHeight="1" x14ac:dyDescent="0.2">
      <c r="A14" s="20">
        <f>IF(coder1_YH!G13="","",IF(coder1_YH!G13=coder2_NY_MT!A14,1,0))</f>
        <v>1</v>
      </c>
      <c r="B14" s="20">
        <f>IF(coder1_YH!H13="","",IF(RIGHT(coder1_YH!H13,2)=RIGHT(coder2_NY_MT!B14,2),1,0))</f>
        <v>1</v>
      </c>
      <c r="C14" s="20">
        <f>IF(coder1_YH!I13="","",IF(coder1_YH!I13=coder2_NY_MT!C14,1,0))</f>
        <v>1</v>
      </c>
      <c r="E14" s="20">
        <f>IF(coder1_YH!K13="","",IF(coder1_YH!K13=coder2_NY_MT!E14,1,0))</f>
        <v>1</v>
      </c>
      <c r="F14" s="20">
        <f>IF(coder1_YH!L13="","",IF(coder1_YH!L13=coder2_NY_MT!F14,1,0))</f>
        <v>1</v>
      </c>
      <c r="G14" s="20">
        <f>IF(coder1_YH!M13="","",IF(coder1_YH!M13=coder2_NY_MT!G14,1,0))</f>
        <v>1</v>
      </c>
      <c r="H14" s="20">
        <f>IF(coder1_YH!P13="","",IF(RIGHT(coder1_YH!P13,3)=RIGHT(coder2_NY_MT!J14,3),1,0))</f>
        <v>0</v>
      </c>
      <c r="I14" s="20">
        <f>IF(H14="","",IF(OR(coder2_NY_MT!K14="", coder1_YH!Q13 = ""),0,1))</f>
        <v>1</v>
      </c>
      <c r="J14" s="20">
        <f>IF(coder1_YH!R13="","",IF(coder1_YH!R13=coder2_NY_MT!L14,1,0))</f>
        <v>1</v>
      </c>
      <c r="K14" s="20">
        <f>IF(coder1_YH!S13="","",IF(coder1_YH!S13=coder2_NY_MT!M14,1,0))</f>
        <v>1</v>
      </c>
      <c r="L14" s="20">
        <f>IF(coder1_YH!T13="","",IF(coder1_YH!T13=coder2_NY_MT!N14,1,0))</f>
        <v>1</v>
      </c>
      <c r="M14" s="20">
        <f>IF(coder1_YH!U13="","",IF(coder1_YH!U13=coder2_NY_MT!O14,1,0))</f>
        <v>1</v>
      </c>
      <c r="N14" s="20">
        <f>IF(coder1_YH!V13="","",IF(coder1_YH!V13=coder2_NY_MT!P14,1,0))</f>
        <v>1</v>
      </c>
      <c r="O14" s="20">
        <f>IF(coder1_YH!W13="","",IF(coder1_YH!W13=coder2_NY_MT!Q14,1,0))</f>
        <v>1</v>
      </c>
      <c r="P14" s="20">
        <f>IF(coder1_YH!X13="","",IF(coder1_YH!X13=coder2_NY_MT!R14,1,0))</f>
        <v>1</v>
      </c>
      <c r="Q14" s="20">
        <f>IF(coder1_YH!Y13="","",IF(coder1_YH!Y13=coder2_NY_MT!S14,1,0))</f>
        <v>1</v>
      </c>
      <c r="R14" s="20">
        <f>IF(coder1_YH!Z13="","",IF(coder1_YH!Z13=coder2_NY_MT!T14,1,0))</f>
        <v>1</v>
      </c>
      <c r="S14" s="20">
        <f>IF(R14="","",IF(OR(coder2_NY_MT!U14="", coder1_YH!AA13 = ""),0,1))</f>
        <v>1</v>
      </c>
      <c r="T14" s="20">
        <f>IF(coder1_YH!AB13="","",IF(coder1_YH!AB13=coder2_NY_MT!V14,1,0))</f>
        <v>1</v>
      </c>
      <c r="U14" s="20">
        <f>IF(coder1_YH!AC13="","",IF(coder1_YH!AC13=coder2_NY_MT!W14,1,0))</f>
        <v>1</v>
      </c>
      <c r="V14" s="20">
        <f>IF(coder1_YH!AD13="","",IF(coder1_YH!AD13=coder2_NY_MT!X14,1,0))</f>
        <v>1</v>
      </c>
      <c r="W14" s="20">
        <f>IF(coder1_YH!AE13="","",IF(coder1_YH!AE13=coder2_NY_MT!Y14,1,0))</f>
        <v>1</v>
      </c>
      <c r="X14" s="20">
        <f>IF(coder1_YH!AF13="","",IF(coder1_YH!AF13=coder2_NY_MT!Z14,1,0))</f>
        <v>1</v>
      </c>
      <c r="Z14" s="20">
        <f>IF(coder1_YH!AH13="","",IF(coder1_YH!AH13=coder2_NY_MT!AB14,1,0))</f>
        <v>1</v>
      </c>
      <c r="AA14" s="20">
        <f>IF(coder1_YH!AI13="","",IF(coder1_YH!AI13=coder2_NY_MT!AC14,1,0))</f>
        <v>1</v>
      </c>
      <c r="AB14" s="20">
        <f>IF(OR(coder2_NY_MT!AD14="", coder1_YH!AJ13 = ""),0,1)</f>
        <v>1</v>
      </c>
      <c r="AC14" s="20">
        <f>IF(coder1_YH!AK13="","",IF(coder1_YH!AK13=coder2_NY_MT!AE14,1,0))</f>
        <v>1</v>
      </c>
      <c r="AD14" s="20">
        <f>IF(coder1_YH!AL13="","",IF(coder1_YH!AL13=coder2_NY_MT!AF14,1,0))</f>
        <v>1</v>
      </c>
      <c r="AF14" s="20">
        <f>IF(coder1_YH!AN13="","",IF(coder1_YH!AN13=coder2_NY_MT!AH14,1,0))</f>
        <v>1</v>
      </c>
      <c r="AG14" s="20">
        <f>IF(coder1_YH!AO13="","",IF(coder1_YH!AO13=coder2_NY_MT!AI14,1,0))</f>
        <v>1</v>
      </c>
      <c r="AH14" s="20">
        <f>IF(coder1_YH!AP13="","",IF(coder1_YH!AP13=coder2_NY_MT!AJ14,1,0))</f>
        <v>1</v>
      </c>
      <c r="AI14" s="20">
        <f>IF(coder1_YH!AQ13="","",IF(coder1_YH!AQ13=coder2_NY_MT!AK14,1,0))</f>
        <v>1</v>
      </c>
      <c r="AJ14" s="20">
        <f>IF(coder1_YH!AR13="","",IF(coder1_YH!AR13=coder2_NY_MT!AL14,1,0))</f>
        <v>1</v>
      </c>
      <c r="AK14" s="20">
        <f>IF(coder1_YH!AS13="","",IF(coder1_YH!AS13=coder2_NY_MT!AM14,1,0))</f>
        <v>1</v>
      </c>
      <c r="AL14" s="20">
        <f>IF(coder1_YH!AZ13=coder2_NY_MT!AT14, 1, 0)</f>
        <v>1</v>
      </c>
      <c r="AM14" s="20">
        <f>IF(coder1_YH!BA13=coder2_NY_MT!AU14, 1, 0)</f>
        <v>1</v>
      </c>
      <c r="AN14" s="2"/>
    </row>
    <row r="15" spans="1:40" s="20" customFormat="1" ht="17" hidden="1" customHeight="1" x14ac:dyDescent="0.2">
      <c r="A15" s="20" t="str">
        <f>IF(coder1_YH!G14="","",IF(coder1_YH!G14=coder2_NY_MT!A15,1,0))</f>
        <v/>
      </c>
      <c r="B15" s="20" t="str">
        <f>IF(coder1_YH!H14="","",IF(RIGHT(coder1_YH!H14,2)=RIGHT(coder2_NY_MT!B15,2),1,0))</f>
        <v/>
      </c>
      <c r="C15" s="20" t="str">
        <f>IF(coder1_YH!I14="","",IF(coder1_YH!I14=coder2_NY_MT!C15,1,0))</f>
        <v/>
      </c>
      <c r="E15" s="20" t="str">
        <f>IF(coder1_YH!K14="","",IF(coder1_YH!K14=coder2_NY_MT!E15,1,0))</f>
        <v/>
      </c>
      <c r="F15" s="20" t="str">
        <f>IF(coder1_YH!L14="","",IF(coder1_YH!L14=coder2_NY_MT!F15,1,0))</f>
        <v/>
      </c>
      <c r="G15" s="20" t="str">
        <f>IF(coder1_YH!M14="","",IF(coder1_YH!M14=coder2_NY_MT!G15,1,0))</f>
        <v/>
      </c>
      <c r="H15" s="20" t="str">
        <f>IF(coder1_YH!P14="","",IF(RIGHT(coder1_YH!P14,3)=RIGHT(coder2_NY_MT!J15,3),1,0))</f>
        <v/>
      </c>
      <c r="I15" s="20" t="str">
        <f>IF(H15="","",IF(OR(coder2_NY_MT!K15="", coder1_YH!Q14 = ""),0,1))</f>
        <v/>
      </c>
      <c r="J15" s="20" t="str">
        <f>IF(coder1_YH!R14="","",IF(coder1_YH!R14=coder2_NY_MT!L15,1,0))</f>
        <v/>
      </c>
      <c r="K15" s="20" t="str">
        <f>IF(coder1_YH!S14="","",IF(coder1_YH!S14=coder2_NY_MT!M15,1,0))</f>
        <v/>
      </c>
      <c r="L15" s="20" t="str">
        <f>IF(coder1_YH!T14="","",IF(coder1_YH!T14=coder2_NY_MT!N15,1,0))</f>
        <v/>
      </c>
      <c r="M15" s="20" t="str">
        <f>IF(coder1_YH!U14="","",IF(coder1_YH!U14=coder2_NY_MT!O15,1,0))</f>
        <v/>
      </c>
      <c r="N15" s="20" t="str">
        <f>IF(coder1_YH!V14="","",IF(coder1_YH!V14=coder2_NY_MT!P15,1,0))</f>
        <v/>
      </c>
      <c r="O15" s="20" t="str">
        <f>IF(coder1_YH!W14="","",IF(coder1_YH!W14=coder2_NY_MT!Q15,1,0))</f>
        <v/>
      </c>
      <c r="P15" s="20" t="str">
        <f>IF(coder1_YH!X14="","",IF(coder1_YH!X14=coder2_NY_MT!R15,1,0))</f>
        <v/>
      </c>
      <c r="Q15" s="20" t="str">
        <f>IF(coder1_YH!Y14="","",IF(coder1_YH!Y14=coder2_NY_MT!S15,1,0))</f>
        <v/>
      </c>
      <c r="R15" s="20" t="str">
        <f>IF(coder1_YH!Z14="","",IF(coder1_YH!Z14=coder2_NY_MT!T15,1,0))</f>
        <v/>
      </c>
      <c r="S15" s="20" t="str">
        <f>IF(R15="","",IF(OR(coder2_NY_MT!U15="", coder1_YH!AA14 = ""),0,1))</f>
        <v/>
      </c>
      <c r="T15" s="20" t="str">
        <f>IF(coder1_YH!AB14="","",IF(coder1_YH!AB14=coder2_NY_MT!V15,1,0))</f>
        <v/>
      </c>
      <c r="U15" s="20" t="str">
        <f>IF(coder1_YH!AC14="","",IF(coder1_YH!AC14=coder2_NY_MT!W15,1,0))</f>
        <v/>
      </c>
      <c r="V15" s="20" t="str">
        <f>IF(coder1_YH!AD14="","",IF(coder1_YH!AD14=coder2_NY_MT!X15,1,0))</f>
        <v/>
      </c>
      <c r="W15" s="20" t="str">
        <f>IF(coder1_YH!AE14="","",IF(coder1_YH!AE14=coder2_NY_MT!Y15,1,0))</f>
        <v/>
      </c>
      <c r="X15" s="20" t="str">
        <f>IF(coder1_YH!AF14="","",IF(coder1_YH!AF14=coder2_NY_MT!Z15,1,0))</f>
        <v/>
      </c>
      <c r="Z15" s="20" t="str">
        <f>IF(coder1_YH!AH14="","",IF(coder1_YH!AH14=coder2_NY_MT!AB15,1,0))</f>
        <v/>
      </c>
      <c r="AA15" s="20" t="str">
        <f>IF(coder1_YH!AI14="","",IF(coder1_YH!AI14=coder2_NY_MT!AC15,1,0))</f>
        <v/>
      </c>
      <c r="AB15" s="20">
        <f>IF(OR(coder2_NY_MT!AD15="", coder1_YH!AJ14 = ""),0,1)</f>
        <v>1</v>
      </c>
      <c r="AC15" s="20">
        <f>IF(coder1_YH!AK14="","",IF(coder1_YH!AK14=coder2_NY_MT!AE15,1,0))</f>
        <v>1</v>
      </c>
      <c r="AD15" s="20">
        <f>IF(coder1_YH!AL14="","",IF(coder1_YH!AL14=coder2_NY_MT!AF15,1,0))</f>
        <v>1</v>
      </c>
      <c r="AF15" s="20">
        <f>IF(coder1_YH!AN14="","",IF(coder1_YH!AN14=coder2_NY_MT!AH15,1,0))</f>
        <v>1</v>
      </c>
      <c r="AG15" s="20">
        <f>IF(coder1_YH!AO14="","",IF(coder1_YH!AO14=coder2_NY_MT!AI15,1,0))</f>
        <v>1</v>
      </c>
      <c r="AH15" s="20">
        <f>IF(coder1_YH!AP14="","",IF(coder1_YH!AP14=coder2_NY_MT!AJ15,1,0))</f>
        <v>1</v>
      </c>
      <c r="AI15" s="20">
        <f>IF(coder1_YH!AQ14="","",IF(coder1_YH!AQ14=coder2_NY_MT!AK15,1,0))</f>
        <v>1</v>
      </c>
      <c r="AJ15" s="20">
        <f>IF(coder1_YH!AR14="","",IF(coder1_YH!AR14=coder2_NY_MT!AL15,1,0))</f>
        <v>1</v>
      </c>
      <c r="AK15" s="20">
        <f>IF(coder1_YH!AS14="","",IF(coder1_YH!AS14=coder2_NY_MT!AM15,1,0))</f>
        <v>1</v>
      </c>
      <c r="AL15" s="20">
        <f>IF(coder1_YH!AZ14=coder2_NY_MT!AT15, 1, 0)</f>
        <v>1</v>
      </c>
      <c r="AM15" s="20">
        <f>IF(coder1_YH!BA14=coder2_NY_MT!AU15, 1, 0)</f>
        <v>1</v>
      </c>
      <c r="AN15" s="2"/>
    </row>
    <row r="16" spans="1:40" s="20" customFormat="1" ht="17" hidden="1" customHeight="1" x14ac:dyDescent="0.2">
      <c r="A16" s="20" t="str">
        <f>IF(coder1_YH!G15="","",IF(coder1_YH!G15=coder2_NY_MT!A16,1,0))</f>
        <v/>
      </c>
      <c r="B16" s="20" t="str">
        <f>IF(coder1_YH!H15="","",IF(RIGHT(coder1_YH!H15,2)=RIGHT(coder2_NY_MT!B16,2),1,0))</f>
        <v/>
      </c>
      <c r="C16" s="20" t="str">
        <f>IF(coder1_YH!I15="","",IF(coder1_YH!I15=coder2_NY_MT!C16,1,0))</f>
        <v/>
      </c>
      <c r="E16" s="20" t="str">
        <f>IF(coder1_YH!K15="","",IF(coder1_YH!K15=coder2_NY_MT!E16,1,0))</f>
        <v/>
      </c>
      <c r="F16" s="20" t="str">
        <f>IF(coder1_YH!L15="","",IF(coder1_YH!L15=coder2_NY_MT!F16,1,0))</f>
        <v/>
      </c>
      <c r="G16" s="20" t="str">
        <f>IF(coder1_YH!M15="","",IF(coder1_YH!M15=coder2_NY_MT!G16,1,0))</f>
        <v/>
      </c>
      <c r="H16" s="20">
        <f>IF(coder1_YH!P15="","",IF(RIGHT(coder1_YH!P15,3)=RIGHT(coder2_NY_MT!J16,3),1,0))</f>
        <v>0</v>
      </c>
      <c r="I16" s="20">
        <f>IF(H16="","",IF(OR(coder2_NY_MT!K16="", coder1_YH!Q15 = ""),0,1))</f>
        <v>1</v>
      </c>
      <c r="J16" s="20">
        <f>IF(coder1_YH!R15="","",IF(coder1_YH!R15=coder2_NY_MT!L16,1,0))</f>
        <v>1</v>
      </c>
      <c r="K16" s="20">
        <f>IF(coder1_YH!S15="","",IF(coder1_YH!S15=coder2_NY_MT!M16,1,0))</f>
        <v>1</v>
      </c>
      <c r="L16" s="20">
        <f>IF(coder1_YH!T15="","",IF(coder1_YH!T15=coder2_NY_MT!N16,1,0))</f>
        <v>1</v>
      </c>
      <c r="M16" s="20">
        <f>IF(coder1_YH!U15="","",IF(coder1_YH!U15=coder2_NY_MT!O16,1,0))</f>
        <v>1</v>
      </c>
      <c r="N16" s="20">
        <f>IF(coder1_YH!V15="","",IF(coder1_YH!V15=coder2_NY_MT!P16,1,0))</f>
        <v>1</v>
      </c>
      <c r="O16" s="20">
        <f>IF(coder1_YH!W15="","",IF(coder1_YH!W15=coder2_NY_MT!Q16,1,0))</f>
        <v>1</v>
      </c>
      <c r="P16" s="20">
        <f>IF(coder1_YH!X15="","",IF(coder1_YH!X15=coder2_NY_MT!R16,1,0))</f>
        <v>1</v>
      </c>
      <c r="Q16" s="20">
        <f>IF(coder1_YH!Y15="","",IF(coder1_YH!Y15=coder2_NY_MT!S16,1,0))</f>
        <v>1</v>
      </c>
      <c r="R16" s="20">
        <f>IF(coder1_YH!Z15="","",IF(coder1_YH!Z15=coder2_NY_MT!T16,1,0))</f>
        <v>1</v>
      </c>
      <c r="S16" s="20">
        <f>IF(R16="","",IF(OR(coder2_NY_MT!U16="", coder1_YH!AA15 = ""),0,1))</f>
        <v>1</v>
      </c>
      <c r="T16" s="20">
        <f>IF(coder1_YH!AB15="","",IF(coder1_YH!AB15=coder2_NY_MT!V16,1,0))</f>
        <v>1</v>
      </c>
      <c r="U16" s="20">
        <f>IF(coder1_YH!AC15="","",IF(coder1_YH!AC15=coder2_NY_MT!W16,1,0))</f>
        <v>1</v>
      </c>
      <c r="V16" s="20">
        <f>IF(coder1_YH!AD15="","",IF(coder1_YH!AD15=coder2_NY_MT!X16,1,0))</f>
        <v>1</v>
      </c>
      <c r="W16" s="20">
        <f>IF(coder1_YH!AE15="","",IF(coder1_YH!AE15=coder2_NY_MT!Y16,1,0))</f>
        <v>1</v>
      </c>
      <c r="X16" s="20">
        <f>IF(coder1_YH!AF15="","",IF(coder1_YH!AF15=coder2_NY_MT!Z16,1,0))</f>
        <v>1</v>
      </c>
      <c r="Z16" s="20">
        <f>IF(coder1_YH!AH15="","",IF(coder1_YH!AH15=coder2_NY_MT!AB16,1,0))</f>
        <v>1</v>
      </c>
      <c r="AA16" s="20">
        <f>IF(coder1_YH!AI15="","",IF(coder1_YH!AI15=coder2_NY_MT!AC16,1,0))</f>
        <v>1</v>
      </c>
      <c r="AB16" s="20">
        <f>IF(OR(coder2_NY_MT!AD16="", coder1_YH!AJ15 = ""),0,1)</f>
        <v>1</v>
      </c>
      <c r="AC16" s="20">
        <f>IF(coder1_YH!AK15="","",IF(coder1_YH!AK15=coder2_NY_MT!AE16,1,0))</f>
        <v>1</v>
      </c>
      <c r="AD16" s="20">
        <f>IF(coder1_YH!AL15="","",IF(coder1_YH!AL15=coder2_NY_MT!AF16,1,0))</f>
        <v>0</v>
      </c>
      <c r="AF16" s="20">
        <f>IF(coder1_YH!AN15="","",IF(coder1_YH!AN15=coder2_NY_MT!AH16,1,0))</f>
        <v>1</v>
      </c>
      <c r="AG16" s="20">
        <f>IF(coder1_YH!AO15="","",IF(coder1_YH!AO15=coder2_NY_MT!AI16,1,0))</f>
        <v>1</v>
      </c>
      <c r="AH16" s="20">
        <f>IF(coder1_YH!AP15="","",IF(coder1_YH!AP15=coder2_NY_MT!AJ16,1,0))</f>
        <v>1</v>
      </c>
      <c r="AI16" s="20">
        <f>IF(coder1_YH!AQ15="","",IF(coder1_YH!AQ15=coder2_NY_MT!AK16,1,0))</f>
        <v>1</v>
      </c>
      <c r="AJ16" s="20">
        <f>IF(coder1_YH!AR15="","",IF(coder1_YH!AR15=coder2_NY_MT!AL16,1,0))</f>
        <v>1</v>
      </c>
      <c r="AK16" s="20">
        <f>IF(coder1_YH!AS15="","",IF(coder1_YH!AS15=coder2_NY_MT!AM16,1,0))</f>
        <v>1</v>
      </c>
      <c r="AL16" s="20">
        <f>IF(coder1_YH!AZ15=coder2_NY_MT!AT16, 1, 0)</f>
        <v>1</v>
      </c>
      <c r="AM16" s="20">
        <f>IF(coder1_YH!BA15=coder2_NY_MT!AU16, 1, 0)</f>
        <v>1</v>
      </c>
      <c r="AN16" s="2"/>
    </row>
    <row r="17" spans="1:40" s="20" customFormat="1" ht="17" hidden="1" customHeight="1" x14ac:dyDescent="0.2">
      <c r="A17" s="20" t="str">
        <f>IF(coder1_YH!G16="","",IF(coder1_YH!G16=coder2_NY_MT!A17,1,0))</f>
        <v/>
      </c>
      <c r="B17" s="20" t="str">
        <f>IF(coder1_YH!H16="","",IF(RIGHT(coder1_YH!H16,2)=RIGHT(coder2_NY_MT!B17,2),1,0))</f>
        <v/>
      </c>
      <c r="C17" s="20" t="str">
        <f>IF(coder1_YH!I16="","",IF(coder1_YH!I16=coder2_NY_MT!C17,1,0))</f>
        <v/>
      </c>
      <c r="E17" s="20" t="str">
        <f>IF(coder1_YH!K16="","",IF(coder1_YH!K16=coder2_NY_MT!E17,1,0))</f>
        <v/>
      </c>
      <c r="F17" s="20" t="str">
        <f>IF(coder1_YH!L16="","",IF(coder1_YH!L16=coder2_NY_MT!F17,1,0))</f>
        <v/>
      </c>
      <c r="G17" s="20" t="str">
        <f>IF(coder1_YH!M16="","",IF(coder1_YH!M16=coder2_NY_MT!G17,1,0))</f>
        <v/>
      </c>
      <c r="H17" s="20" t="str">
        <f>IF(coder1_YH!P16="","",IF(RIGHT(coder1_YH!P16,3)=RIGHT(coder2_NY_MT!J17,3),1,0))</f>
        <v/>
      </c>
      <c r="I17" s="20" t="str">
        <f>IF(H17="","",IF(OR(coder2_NY_MT!K17="", coder1_YH!Q16 = ""),0,1))</f>
        <v/>
      </c>
      <c r="J17" s="20" t="str">
        <f>IF(coder1_YH!R16="","",IF(coder1_YH!R16=coder2_NY_MT!L17,1,0))</f>
        <v/>
      </c>
      <c r="K17" s="20" t="str">
        <f>IF(coder1_YH!S16="","",IF(coder1_YH!S16=coder2_NY_MT!M17,1,0))</f>
        <v/>
      </c>
      <c r="L17" s="20" t="str">
        <f>IF(coder1_YH!T16="","",IF(coder1_YH!T16=coder2_NY_MT!N17,1,0))</f>
        <v/>
      </c>
      <c r="M17" s="20" t="str">
        <f>IF(coder1_YH!U16="","",IF(coder1_YH!U16=coder2_NY_MT!O17,1,0))</f>
        <v/>
      </c>
      <c r="N17" s="20" t="str">
        <f>IF(coder1_YH!V16="","",IF(coder1_YH!V16=coder2_NY_MT!P17,1,0))</f>
        <v/>
      </c>
      <c r="O17" s="20" t="str">
        <f>IF(coder1_YH!W16="","",IF(coder1_YH!W16=coder2_NY_MT!Q17,1,0))</f>
        <v/>
      </c>
      <c r="P17" s="20" t="str">
        <f>IF(coder1_YH!X16="","",IF(coder1_YH!X16=coder2_NY_MT!R17,1,0))</f>
        <v/>
      </c>
      <c r="Q17" s="20" t="str">
        <f>IF(coder1_YH!Y16="","",IF(coder1_YH!Y16=coder2_NY_MT!S17,1,0))</f>
        <v/>
      </c>
      <c r="R17" s="20" t="str">
        <f>IF(coder1_YH!Z16="","",IF(coder1_YH!Z16=coder2_NY_MT!T17,1,0))</f>
        <v/>
      </c>
      <c r="S17" s="20" t="str">
        <f>IF(R17="","",IF(OR(coder2_NY_MT!U17="", coder1_YH!AA16 = ""),0,1))</f>
        <v/>
      </c>
      <c r="T17" s="20" t="str">
        <f>IF(coder1_YH!AB16="","",IF(coder1_YH!AB16=coder2_NY_MT!V17,1,0))</f>
        <v/>
      </c>
      <c r="U17" s="20" t="str">
        <f>IF(coder1_YH!AC16="","",IF(coder1_YH!AC16=coder2_NY_MT!W17,1,0))</f>
        <v/>
      </c>
      <c r="V17" s="20" t="str">
        <f>IF(coder1_YH!AD16="","",IF(coder1_YH!AD16=coder2_NY_MT!X17,1,0))</f>
        <v/>
      </c>
      <c r="W17" s="20" t="str">
        <f>IF(coder1_YH!AE16="","",IF(coder1_YH!AE16=coder2_NY_MT!Y17,1,0))</f>
        <v/>
      </c>
      <c r="X17" s="20" t="str">
        <f>IF(coder1_YH!AF16="","",IF(coder1_YH!AF16=coder2_NY_MT!Z17,1,0))</f>
        <v/>
      </c>
      <c r="Z17" s="20" t="str">
        <f>IF(coder1_YH!AH16="","",IF(coder1_YH!AH16=coder2_NY_MT!AB17,1,0))</f>
        <v/>
      </c>
      <c r="AA17" s="20" t="str">
        <f>IF(coder1_YH!AI16="","",IF(coder1_YH!AI16=coder2_NY_MT!AC17,1,0))</f>
        <v/>
      </c>
      <c r="AB17" s="20">
        <f>IF(OR(coder2_NY_MT!AD17="", coder1_YH!AJ16 = ""),0,1)</f>
        <v>1</v>
      </c>
      <c r="AC17" s="20">
        <f>IF(coder1_YH!AK16="","",IF(coder1_YH!AK16=coder2_NY_MT!AE17,1,0))</f>
        <v>1</v>
      </c>
      <c r="AD17" s="20">
        <f>IF(coder1_YH!AL16="","",IF(coder1_YH!AL16=coder2_NY_MT!AF17,1,0))</f>
        <v>0</v>
      </c>
      <c r="AF17" s="20">
        <f>IF(coder1_YH!AN16="","",IF(coder1_YH!AN16=coder2_NY_MT!AH17,1,0))</f>
        <v>1</v>
      </c>
      <c r="AG17" s="20">
        <f>IF(coder1_YH!AO16="","",IF(coder1_YH!AO16=coder2_NY_MT!AI17,1,0))</f>
        <v>1</v>
      </c>
      <c r="AH17" s="20">
        <f>IF(coder1_YH!AP16="","",IF(coder1_YH!AP16=coder2_NY_MT!AJ17,1,0))</f>
        <v>1</v>
      </c>
      <c r="AI17" s="20">
        <f>IF(coder1_YH!AQ16="","",IF(coder1_YH!AQ16=coder2_NY_MT!AK17,1,0))</f>
        <v>1</v>
      </c>
      <c r="AJ17" s="20">
        <f>IF(coder1_YH!AR16="","",IF(coder1_YH!AR16=coder2_NY_MT!AL17,1,0))</f>
        <v>1</v>
      </c>
      <c r="AK17" s="20">
        <f>IF(coder1_YH!AS16="","",IF(coder1_YH!AS16=coder2_NY_MT!AM17,1,0))</f>
        <v>1</v>
      </c>
      <c r="AL17" s="20">
        <f>IF(coder1_YH!AZ16=coder2_NY_MT!AT17, 1, 0)</f>
        <v>1</v>
      </c>
      <c r="AM17" s="20">
        <f>IF(coder1_YH!BA16=coder2_NY_MT!AU17, 1, 0)</f>
        <v>1</v>
      </c>
      <c r="AN17" s="2"/>
    </row>
    <row r="18" spans="1:40" s="20" customFormat="1" ht="17" hidden="1" customHeight="1" x14ac:dyDescent="0.2">
      <c r="A18" s="20" t="str">
        <f>IF(coder1_YH!G17="","",IF(coder1_YH!G17=coder2_NY_MT!A18,1,0))</f>
        <v/>
      </c>
      <c r="B18" s="20" t="str">
        <f>IF(coder1_YH!H17="","",IF(RIGHT(coder1_YH!H17,2)=RIGHT(coder2_NY_MT!B18,2),1,0))</f>
        <v/>
      </c>
      <c r="C18" s="20" t="str">
        <f>IF(coder1_YH!I17="","",IF(coder1_YH!I17=coder2_NY_MT!C18,1,0))</f>
        <v/>
      </c>
      <c r="E18" s="20" t="str">
        <f>IF(coder1_YH!K17="","",IF(coder1_YH!K17=coder2_NY_MT!E18,1,0))</f>
        <v/>
      </c>
      <c r="F18" s="20" t="str">
        <f>IF(coder1_YH!L17="","",IF(coder1_YH!L17=coder2_NY_MT!F18,1,0))</f>
        <v/>
      </c>
      <c r="G18" s="20" t="str">
        <f>IF(coder1_YH!M17="","",IF(coder1_YH!M17=coder2_NY_MT!G18,1,0))</f>
        <v/>
      </c>
      <c r="H18" s="20">
        <f>IF(coder1_YH!P17="","",IF(RIGHT(coder1_YH!P17,3)=RIGHT(coder2_NY_MT!J18,3),1,0))</f>
        <v>0</v>
      </c>
      <c r="I18" s="20">
        <f>IF(H18="","",IF(OR(coder2_NY_MT!K18="", coder1_YH!Q17 = ""),0,1))</f>
        <v>1</v>
      </c>
      <c r="J18" s="20">
        <f>IF(coder1_YH!R17="","",IF(coder1_YH!R17=coder2_NY_MT!L18,1,0))</f>
        <v>1</v>
      </c>
      <c r="K18" s="20">
        <f>IF(coder1_YH!S17="","",IF(coder1_YH!S17=coder2_NY_MT!M18,1,0))</f>
        <v>1</v>
      </c>
      <c r="L18" s="20">
        <f>IF(coder1_YH!T17="","",IF(coder1_YH!T17=coder2_NY_MT!N18,1,0))</f>
        <v>1</v>
      </c>
      <c r="M18" s="20">
        <f>IF(coder1_YH!U17="","",IF(coder1_YH!U17=coder2_NY_MT!O18,1,0))</f>
        <v>1</v>
      </c>
      <c r="N18" s="20">
        <f>IF(coder1_YH!V17="","",IF(coder1_YH!V17=coder2_NY_MT!P18,1,0))</f>
        <v>1</v>
      </c>
      <c r="O18" s="20">
        <f>IF(coder1_YH!W17="","",IF(coder1_YH!W17=coder2_NY_MT!Q18,1,0))</f>
        <v>1</v>
      </c>
      <c r="P18" s="20">
        <f>IF(coder1_YH!X17="","",IF(coder1_YH!X17=coder2_NY_MT!R18,1,0))</f>
        <v>1</v>
      </c>
      <c r="Q18" s="20">
        <f>IF(coder1_YH!Y17="","",IF(coder1_YH!Y17=coder2_NY_MT!S18,1,0))</f>
        <v>1</v>
      </c>
      <c r="R18" s="20">
        <f>IF(coder1_YH!Z17="","",IF(coder1_YH!Z17=coder2_NY_MT!T18,1,0))</f>
        <v>1</v>
      </c>
      <c r="S18" s="20">
        <f>IF(R18="","",IF(OR(coder2_NY_MT!U18="", coder1_YH!AA17 = ""),0,1))</f>
        <v>1</v>
      </c>
      <c r="T18" s="20">
        <f>IF(coder1_YH!AB17="","",IF(coder1_YH!AB17=coder2_NY_MT!V18,1,0))</f>
        <v>1</v>
      </c>
      <c r="U18" s="20">
        <f>IF(coder1_YH!AC17="","",IF(coder1_YH!AC17=coder2_NY_MT!W18,1,0))</f>
        <v>1</v>
      </c>
      <c r="V18" s="20">
        <f>IF(coder1_YH!AD17="","",IF(coder1_YH!AD17=coder2_NY_MT!X18,1,0))</f>
        <v>1</v>
      </c>
      <c r="W18" s="20">
        <f>IF(coder1_YH!AE17="","",IF(coder1_YH!AE17=coder2_NY_MT!Y18,1,0))</f>
        <v>1</v>
      </c>
      <c r="X18" s="20">
        <f>IF(coder1_YH!AF17="","",IF(coder1_YH!AF17=coder2_NY_MT!Z18,1,0))</f>
        <v>1</v>
      </c>
      <c r="Z18" s="20">
        <f>IF(coder1_YH!AH17="","",IF(coder1_YH!AH17=coder2_NY_MT!AB18,1,0))</f>
        <v>1</v>
      </c>
      <c r="AA18" s="20">
        <f>IF(coder1_YH!AI17="","",IF(coder1_YH!AI17=coder2_NY_MT!AC18,1,0))</f>
        <v>1</v>
      </c>
      <c r="AB18" s="20">
        <f>IF(OR(coder2_NY_MT!AD18="", coder1_YH!AJ17 = ""),0,1)</f>
        <v>1</v>
      </c>
      <c r="AC18" s="20">
        <f>IF(coder1_YH!AK17="","",IF(coder1_YH!AK17=coder2_NY_MT!AE18,1,0))</f>
        <v>1</v>
      </c>
      <c r="AD18" s="20">
        <f>IF(coder1_YH!AL17="","",IF(coder1_YH!AL17=coder2_NY_MT!AF18,1,0))</f>
        <v>0</v>
      </c>
      <c r="AF18" s="20">
        <f>IF(coder1_YH!AN17="","",IF(coder1_YH!AN17=coder2_NY_MT!AH18,1,0))</f>
        <v>1</v>
      </c>
      <c r="AG18" s="20">
        <f>IF(coder1_YH!AO17="","",IF(coder1_YH!AO17=coder2_NY_MT!AI18,1,0))</f>
        <v>1</v>
      </c>
      <c r="AH18" s="20">
        <f>IF(coder1_YH!AP17="","",IF(coder1_YH!AP17=coder2_NY_MT!AJ18,1,0))</f>
        <v>1</v>
      </c>
      <c r="AI18" s="20">
        <f>IF(coder1_YH!AQ17="","",IF(coder1_YH!AQ17=coder2_NY_MT!AK18,1,0))</f>
        <v>1</v>
      </c>
      <c r="AJ18" s="20">
        <f>IF(coder1_YH!AR17="","",IF(coder1_YH!AR17=coder2_NY_MT!AL18,1,0))</f>
        <v>1</v>
      </c>
      <c r="AK18" s="20">
        <f>IF(coder1_YH!AS17="","",IF(coder1_YH!AS17=coder2_NY_MT!AM18,1,0))</f>
        <v>1</v>
      </c>
      <c r="AL18" s="20">
        <f>IF(coder1_YH!AZ17=coder2_NY_MT!AT18, 1, 0)</f>
        <v>1</v>
      </c>
      <c r="AM18" s="20">
        <f>IF(coder1_YH!BA17=coder2_NY_MT!AU18, 1, 0)</f>
        <v>1</v>
      </c>
      <c r="AN18" s="2"/>
    </row>
    <row r="19" spans="1:40" s="21" customFormat="1" ht="17" hidden="1" customHeight="1" x14ac:dyDescent="0.2">
      <c r="A19" s="20" t="str">
        <f>IF(coder1_YH!G18="","",IF(coder1_YH!G18=coder2_NY_MT!A19,1,0))</f>
        <v/>
      </c>
      <c r="B19" s="20" t="str">
        <f>IF(coder1_YH!H18="","",IF(RIGHT(coder1_YH!H18,2)=RIGHT(coder2_NY_MT!B19,2),1,0))</f>
        <v/>
      </c>
      <c r="C19" s="20" t="str">
        <f>IF(coder1_YH!I18="","",IF(coder1_YH!I18=coder2_NY_MT!C19,1,0))</f>
        <v/>
      </c>
      <c r="D19" s="20"/>
      <c r="E19" s="20" t="str">
        <f>IF(coder1_YH!K18="","",IF(coder1_YH!K18=coder2_NY_MT!E19,1,0))</f>
        <v/>
      </c>
      <c r="F19" s="20" t="str">
        <f>IF(coder1_YH!L18="","",IF(coder1_YH!L18=coder2_NY_MT!F19,1,0))</f>
        <v/>
      </c>
      <c r="G19" s="20" t="str">
        <f>IF(coder1_YH!M18="","",IF(coder1_YH!M18=coder2_NY_MT!G19,1,0))</f>
        <v/>
      </c>
      <c r="H19" s="20" t="str">
        <f>IF(coder1_YH!P18="","",IF(RIGHT(coder1_YH!P18,3)=RIGHT(coder2_NY_MT!J19,3),1,0))</f>
        <v/>
      </c>
      <c r="I19" s="20" t="str">
        <f>IF(H19="","",IF(OR(coder2_NY_MT!K19="", coder1_YH!Q18 = ""),0,1))</f>
        <v/>
      </c>
      <c r="J19" s="20" t="str">
        <f>IF(coder1_YH!R18="","",IF(coder1_YH!R18=coder2_NY_MT!L19,1,0))</f>
        <v/>
      </c>
      <c r="K19" s="20" t="str">
        <f>IF(coder1_YH!S18="","",IF(coder1_YH!S18=coder2_NY_MT!M19,1,0))</f>
        <v/>
      </c>
      <c r="L19" s="20" t="str">
        <f>IF(coder1_YH!T18="","",IF(coder1_YH!T18=coder2_NY_MT!N19,1,0))</f>
        <v/>
      </c>
      <c r="M19" s="20" t="str">
        <f>IF(coder1_YH!U18="","",IF(coder1_YH!U18=coder2_NY_MT!O19,1,0))</f>
        <v/>
      </c>
      <c r="N19" s="20" t="str">
        <f>IF(coder1_YH!V18="","",IF(coder1_YH!V18=coder2_NY_MT!P19,1,0))</f>
        <v/>
      </c>
      <c r="O19" s="20" t="str">
        <f>IF(coder1_YH!W18="","",IF(coder1_YH!W18=coder2_NY_MT!Q19,1,0))</f>
        <v/>
      </c>
      <c r="P19" s="20" t="str">
        <f>IF(coder1_YH!X18="","",IF(coder1_YH!X18=coder2_NY_MT!R19,1,0))</f>
        <v/>
      </c>
      <c r="Q19" s="20" t="str">
        <f>IF(coder1_YH!Y18="","",IF(coder1_YH!Y18=coder2_NY_MT!S19,1,0))</f>
        <v/>
      </c>
      <c r="R19" s="20" t="str">
        <f>IF(coder1_YH!Z18="","",IF(coder1_YH!Z18=coder2_NY_MT!T19,1,0))</f>
        <v/>
      </c>
      <c r="S19" s="20" t="str">
        <f>IF(R19="","",IF(OR(coder2_NY_MT!U19="", coder1_YH!AA18 = ""),0,1))</f>
        <v/>
      </c>
      <c r="T19" s="20" t="str">
        <f>IF(coder1_YH!AB18="","",IF(coder1_YH!AB18=coder2_NY_MT!V19,1,0))</f>
        <v/>
      </c>
      <c r="U19" s="20" t="str">
        <f>IF(coder1_YH!AC18="","",IF(coder1_YH!AC18=coder2_NY_MT!W19,1,0))</f>
        <v/>
      </c>
      <c r="V19" s="20" t="str">
        <f>IF(coder1_YH!AD18="","",IF(coder1_YH!AD18=coder2_NY_MT!X19,1,0))</f>
        <v/>
      </c>
      <c r="W19" s="20" t="str">
        <f>IF(coder1_YH!AE18="","",IF(coder1_YH!AE18=coder2_NY_MT!Y19,1,0))</f>
        <v/>
      </c>
      <c r="X19" s="20" t="str">
        <f>IF(coder1_YH!AF18="","",IF(coder1_YH!AF18=coder2_NY_MT!Z19,1,0))</f>
        <v/>
      </c>
      <c r="Y19" s="20"/>
      <c r="Z19" s="20" t="str">
        <f>IF(coder1_YH!AH18="","",IF(coder1_YH!AH18=coder2_NY_MT!AB19,1,0))</f>
        <v/>
      </c>
      <c r="AA19" s="20" t="str">
        <f>IF(coder1_YH!AI18="","",IF(coder1_YH!AI18=coder2_NY_MT!AC19,1,0))</f>
        <v/>
      </c>
      <c r="AB19" s="20">
        <f>IF(OR(coder2_NY_MT!AD19="", coder1_YH!AJ18 = ""),0,1)</f>
        <v>1</v>
      </c>
      <c r="AC19" s="20">
        <f>IF(coder1_YH!AK18="","",IF(coder1_YH!AK18=coder2_NY_MT!AE19,1,0))</f>
        <v>1</v>
      </c>
      <c r="AD19" s="20">
        <f>IF(coder1_YH!AL18="","",IF(coder1_YH!AL18=coder2_NY_MT!AF19,1,0))</f>
        <v>0</v>
      </c>
      <c r="AE19" s="20"/>
      <c r="AF19" s="20">
        <f>IF(coder1_YH!AN18="","",IF(coder1_YH!AN18=coder2_NY_MT!AH19,1,0))</f>
        <v>1</v>
      </c>
      <c r="AG19" s="20">
        <f>IF(coder1_YH!AO18="","",IF(coder1_YH!AO18=coder2_NY_MT!AI19,1,0))</f>
        <v>1</v>
      </c>
      <c r="AH19" s="20">
        <f>IF(coder1_YH!AP18="","",IF(coder1_YH!AP18=coder2_NY_MT!AJ19,1,0))</f>
        <v>1</v>
      </c>
      <c r="AI19" s="20">
        <f>IF(coder1_YH!AQ18="","",IF(coder1_YH!AQ18=coder2_NY_MT!AK19,1,0))</f>
        <v>1</v>
      </c>
      <c r="AJ19" s="20">
        <f>IF(coder1_YH!AR18="","",IF(coder1_YH!AR18=coder2_NY_MT!AL19,1,0))</f>
        <v>1</v>
      </c>
      <c r="AK19" s="20">
        <f>IF(coder1_YH!AS18="","",IF(coder1_YH!AS18=coder2_NY_MT!AM19,1,0))</f>
        <v>1</v>
      </c>
      <c r="AL19" s="20">
        <f>IF(coder1_YH!AZ18=coder2_NY_MT!AT19, 1, 0)</f>
        <v>1</v>
      </c>
      <c r="AM19" s="20">
        <f>IF(coder1_YH!BA18=coder2_NY_MT!AU19, 1, 0)</f>
        <v>1</v>
      </c>
      <c r="AN19" s="28"/>
    </row>
    <row r="20" spans="1:40" s="20" customFormat="1" ht="17" hidden="1" customHeight="1" x14ac:dyDescent="0.2">
      <c r="A20" s="20">
        <f>IF(coder1_YH!G19="","",IF(coder1_YH!G19=coder2_NY_MT!A20,1,0))</f>
        <v>1</v>
      </c>
      <c r="B20" s="20">
        <f>IF(coder1_YH!H19="","",IF(RIGHT(coder1_YH!H19,2)=RIGHT(coder2_NY_MT!B20,2),1,0))</f>
        <v>1</v>
      </c>
      <c r="C20" s="20">
        <f>IF(coder1_YH!I19="","",IF(coder1_YH!I19=coder2_NY_MT!C20,1,0))</f>
        <v>1</v>
      </c>
      <c r="E20" s="20">
        <f>IF(coder1_YH!K19="","",IF(coder1_YH!K19=coder2_NY_MT!E20,1,0))</f>
        <v>1</v>
      </c>
      <c r="F20" s="20">
        <f>IF(coder1_YH!L19="","",IF(coder1_YH!L19=coder2_NY_MT!F20,1,0))</f>
        <v>1</v>
      </c>
      <c r="G20" s="20">
        <f>IF(coder1_YH!M19="","",IF(coder1_YH!M19=coder2_NY_MT!G20,1,0))</f>
        <v>1</v>
      </c>
      <c r="H20" s="20">
        <f>IF(coder1_YH!P19="","",IF(RIGHT(coder1_YH!P19,3)=RIGHT(coder2_NY_MT!J20,3),1,0))</f>
        <v>0</v>
      </c>
      <c r="I20" s="20">
        <f>IF(H20="","",IF(OR(coder2_NY_MT!K20="", coder1_YH!Q19 = ""),0,1))</f>
        <v>1</v>
      </c>
      <c r="J20" s="20">
        <f>IF(coder1_YH!R19="","",IF(coder1_YH!R19=coder2_NY_MT!L20,1,0))</f>
        <v>1</v>
      </c>
      <c r="K20" s="20">
        <f>IF(coder1_YH!S19="","",IF(coder1_YH!S19=coder2_NY_MT!M20,1,0))</f>
        <v>1</v>
      </c>
      <c r="L20" s="20">
        <f>IF(coder1_YH!T19="","",IF(coder1_YH!T19=coder2_NY_MT!N20,1,0))</f>
        <v>1</v>
      </c>
      <c r="M20" s="20">
        <f>IF(coder1_YH!U19="","",IF(coder1_YH!U19=coder2_NY_MT!O20,1,0))</f>
        <v>1</v>
      </c>
      <c r="N20" s="20">
        <f>IF(coder1_YH!V19="","",IF(coder1_YH!V19=coder2_NY_MT!P20,1,0))</f>
        <v>1</v>
      </c>
      <c r="O20" s="20">
        <f>IF(coder1_YH!W19="","",IF(coder1_YH!W19=coder2_NY_MT!Q20,1,0))</f>
        <v>1</v>
      </c>
      <c r="P20" s="20">
        <f>IF(coder1_YH!X19="","",IF(coder1_YH!X19=coder2_NY_MT!R20,1,0))</f>
        <v>1</v>
      </c>
      <c r="Q20" s="20">
        <f>IF(coder1_YH!Y19="","",IF(coder1_YH!Y19=coder2_NY_MT!S20,1,0))</f>
        <v>1</v>
      </c>
      <c r="R20" s="20">
        <f>IF(coder1_YH!Z19="","",IF(coder1_YH!Z19=coder2_NY_MT!T20,1,0))</f>
        <v>1</v>
      </c>
      <c r="S20" s="20">
        <f>IF(R20="","",IF(OR(coder2_NY_MT!U20="", coder1_YH!AA19 = ""),0,1))</f>
        <v>1</v>
      </c>
      <c r="T20" s="20">
        <f>IF(coder1_YH!AB19="","",IF(coder1_YH!AB19=coder2_NY_MT!V20,1,0))</f>
        <v>1</v>
      </c>
      <c r="U20" s="20">
        <f>IF(coder1_YH!AC19="","",IF(coder1_YH!AC19=coder2_NY_MT!W20,1,0))</f>
        <v>1</v>
      </c>
      <c r="V20" s="20">
        <f>IF(coder1_YH!AD19="","",IF(coder1_YH!AD19=coder2_NY_MT!X20,1,0))</f>
        <v>1</v>
      </c>
      <c r="W20" s="20">
        <f>IF(coder1_YH!AE19="","",IF(coder1_YH!AE19=coder2_NY_MT!Y20,1,0))</f>
        <v>1</v>
      </c>
      <c r="X20" s="20">
        <f>IF(coder1_YH!AF19="","",IF(coder1_YH!AF19=coder2_NY_MT!Z20,1,0))</f>
        <v>1</v>
      </c>
      <c r="Z20" s="20">
        <f>IF(coder1_YH!AH19="","",IF(coder1_YH!AH19=coder2_NY_MT!AB20,1,0))</f>
        <v>1</v>
      </c>
      <c r="AA20" s="20">
        <f>IF(coder1_YH!AI19="","",IF(coder1_YH!AI19=coder2_NY_MT!AC20,1,0))</f>
        <v>1</v>
      </c>
      <c r="AB20" s="20">
        <f>IF(OR(coder2_NY_MT!AD20="", coder1_YH!AJ19 = ""),0,1)</f>
        <v>1</v>
      </c>
      <c r="AC20" s="20">
        <f>IF(coder1_YH!AK19="","",IF(coder1_YH!AK19=coder2_NY_MT!AE20,1,0))</f>
        <v>1</v>
      </c>
      <c r="AD20" s="20">
        <f>IF(coder1_YH!AL19="","",IF(coder1_YH!AL19=coder2_NY_MT!AF20,1,0))</f>
        <v>1</v>
      </c>
      <c r="AF20" s="20">
        <f>IF(coder1_YH!AN19="","",IF(coder1_YH!AN19=coder2_NY_MT!AH20,1,0))</f>
        <v>1</v>
      </c>
      <c r="AG20" s="20">
        <f>IF(coder1_YH!AO19="","",IF(coder1_YH!AO19=coder2_NY_MT!AI20,1,0))</f>
        <v>1</v>
      </c>
      <c r="AH20" s="20">
        <f>IF(coder1_YH!AP19="","",IF(coder1_YH!AP19=coder2_NY_MT!AJ20,1,0))</f>
        <v>1</v>
      </c>
      <c r="AI20" s="20">
        <f>IF(coder1_YH!AQ19="","",IF(coder1_YH!AQ19=coder2_NY_MT!AK20,1,0))</f>
        <v>1</v>
      </c>
      <c r="AJ20" s="20">
        <f>IF(coder1_YH!AR19="","",IF(coder1_YH!AR19=coder2_NY_MT!AL20,1,0))</f>
        <v>1</v>
      </c>
      <c r="AK20" s="20">
        <f>IF(coder1_YH!AS19="","",IF(coder1_YH!AS19=coder2_NY_MT!AM20,1,0))</f>
        <v>1</v>
      </c>
      <c r="AL20" s="20">
        <f>IF(coder1_YH!AZ19=coder2_NY_MT!AT20, 1, 0)</f>
        <v>1</v>
      </c>
      <c r="AM20" s="20">
        <f>IF(coder1_YH!BA19=coder2_NY_MT!AU20, 1, 0)</f>
        <v>1</v>
      </c>
      <c r="AN20" s="2"/>
    </row>
    <row r="21" spans="1:40" s="20" customFormat="1" ht="17" hidden="1" customHeight="1" x14ac:dyDescent="0.2">
      <c r="A21" s="20" t="str">
        <f>IF(coder1_YH!G20="","",IF(coder1_YH!G20=coder2_NY_MT!A21,1,0))</f>
        <v/>
      </c>
      <c r="B21" s="20" t="str">
        <f>IF(coder1_YH!H20="","",IF(RIGHT(coder1_YH!H20,2)=RIGHT(coder2_NY_MT!B21,2),1,0))</f>
        <v/>
      </c>
      <c r="C21" s="20" t="str">
        <f>IF(coder1_YH!I20="","",IF(coder1_YH!I20=coder2_NY_MT!C21,1,0))</f>
        <v/>
      </c>
      <c r="E21" s="20" t="str">
        <f>IF(coder1_YH!K20="","",IF(coder1_YH!K20=coder2_NY_MT!E21,1,0))</f>
        <v/>
      </c>
      <c r="F21" s="20" t="str">
        <f>IF(coder1_YH!L20="","",IF(coder1_YH!L20=coder2_NY_MT!F21,1,0))</f>
        <v/>
      </c>
      <c r="G21" s="20" t="str">
        <f>IF(coder1_YH!M20="","",IF(coder1_YH!M20=coder2_NY_MT!G21,1,0))</f>
        <v/>
      </c>
      <c r="H21" s="20">
        <f>IF(coder1_YH!P20="","",IF(RIGHT(coder1_YH!P20,3)=RIGHT(coder2_NY_MT!J21,3),1,0))</f>
        <v>0</v>
      </c>
      <c r="I21" s="20">
        <f>IF(H21="","",IF(OR(coder2_NY_MT!K21="", coder1_YH!Q20 = ""),0,1))</f>
        <v>1</v>
      </c>
      <c r="J21" s="20">
        <f>IF(coder1_YH!R20="","",IF(coder1_YH!R20=coder2_NY_MT!L21,1,0))</f>
        <v>1</v>
      </c>
      <c r="K21" s="20">
        <f>IF(coder1_YH!S20="","",IF(coder1_YH!S20=coder2_NY_MT!M21,1,0))</f>
        <v>1</v>
      </c>
      <c r="L21" s="20">
        <f>IF(coder1_YH!T20="","",IF(coder1_YH!T20=coder2_NY_MT!N21,1,0))</f>
        <v>1</v>
      </c>
      <c r="M21" s="20">
        <f>IF(coder1_YH!U20="","",IF(coder1_YH!U20=coder2_NY_MT!O21,1,0))</f>
        <v>1</v>
      </c>
      <c r="N21" s="20">
        <f>IF(coder1_YH!V20="","",IF(coder1_YH!V20=coder2_NY_MT!P21,1,0))</f>
        <v>1</v>
      </c>
      <c r="O21" s="20">
        <f>IF(coder1_YH!W20="","",IF(coder1_YH!W20=coder2_NY_MT!Q21,1,0))</f>
        <v>1</v>
      </c>
      <c r="P21" s="20">
        <f>IF(coder1_YH!X20="","",IF(coder1_YH!X20=coder2_NY_MT!R21,1,0))</f>
        <v>1</v>
      </c>
      <c r="Q21" s="20">
        <f>IF(coder1_YH!Y20="","",IF(coder1_YH!Y20=coder2_NY_MT!S21,1,0))</f>
        <v>1</v>
      </c>
      <c r="R21" s="20">
        <f>IF(coder1_YH!Z20="","",IF(coder1_YH!Z20=coder2_NY_MT!T21,1,0))</f>
        <v>1</v>
      </c>
      <c r="S21" s="20">
        <f>IF(R21="","",IF(OR(coder2_NY_MT!U21="", coder1_YH!AA20 = ""),0,1))</f>
        <v>1</v>
      </c>
      <c r="T21" s="20">
        <f>IF(coder1_YH!AB20="","",IF(coder1_YH!AB20=coder2_NY_MT!V21,1,0))</f>
        <v>1</v>
      </c>
      <c r="U21" s="20">
        <f>IF(coder1_YH!AC20="","",IF(coder1_YH!AC20=coder2_NY_MT!W21,1,0))</f>
        <v>1</v>
      </c>
      <c r="V21" s="20">
        <f>IF(coder1_YH!AD20="","",IF(coder1_YH!AD20=coder2_NY_MT!X21,1,0))</f>
        <v>1</v>
      </c>
      <c r="W21" s="20">
        <f>IF(coder1_YH!AE20="","",IF(coder1_YH!AE20=coder2_NY_MT!Y21,1,0))</f>
        <v>1</v>
      </c>
      <c r="X21" s="20">
        <f>IF(coder1_YH!AF20="","",IF(coder1_YH!AF20=coder2_NY_MT!Z21,1,0))</f>
        <v>1</v>
      </c>
      <c r="Z21" s="20">
        <f>IF(coder1_YH!AH20="","",IF(coder1_YH!AH20=coder2_NY_MT!AB21,1,0))</f>
        <v>1</v>
      </c>
      <c r="AA21" s="20">
        <f>IF(coder1_YH!AI20="","",IF(coder1_YH!AI20=coder2_NY_MT!AC21,1,0))</f>
        <v>1</v>
      </c>
      <c r="AB21" s="20">
        <f>IF(OR(coder2_NY_MT!AD21="", coder1_YH!AJ20 = ""),0,1)</f>
        <v>1</v>
      </c>
      <c r="AC21" s="20">
        <f>IF(coder1_YH!AK20="","",IF(coder1_YH!AK20=coder2_NY_MT!AE21,1,0))</f>
        <v>1</v>
      </c>
      <c r="AD21" s="20">
        <f>IF(coder1_YH!AL20="","",IF(coder1_YH!AL20=coder2_NY_MT!AF21,1,0))</f>
        <v>0</v>
      </c>
      <c r="AF21" s="20">
        <f>IF(coder1_YH!AN20="","",IF(coder1_YH!AN20=coder2_NY_MT!AH21,1,0))</f>
        <v>1</v>
      </c>
      <c r="AG21" s="20">
        <f>IF(coder1_YH!AO20="","",IF(coder1_YH!AO20=coder2_NY_MT!AI21,1,0))</f>
        <v>1</v>
      </c>
      <c r="AH21" s="20">
        <f>IF(coder1_YH!AP20="","",IF(coder1_YH!AP20=coder2_NY_MT!AJ21,1,0))</f>
        <v>1</v>
      </c>
      <c r="AI21" s="20">
        <f>IF(coder1_YH!AQ20="","",IF(coder1_YH!AQ20=coder2_NY_MT!AK21,1,0))</f>
        <v>1</v>
      </c>
      <c r="AJ21" s="20">
        <f>IF(coder1_YH!AR20="","",IF(coder1_YH!AR20=coder2_NY_MT!AL21,1,0))</f>
        <v>1</v>
      </c>
      <c r="AK21" s="20">
        <f>IF(coder1_YH!AS20="","",IF(coder1_YH!AS20=coder2_NY_MT!AM21,1,0))</f>
        <v>1</v>
      </c>
      <c r="AL21" s="20">
        <f>IF(coder1_YH!AZ20=coder2_NY_MT!AT21, 1, 0)</f>
        <v>1</v>
      </c>
      <c r="AM21" s="20">
        <f>IF(coder1_YH!BA20=coder2_NY_MT!AU21, 1, 0)</f>
        <v>1</v>
      </c>
      <c r="AN21" s="2"/>
    </row>
    <row r="22" spans="1:40" s="20" customFormat="1" ht="17" hidden="1" customHeight="1" x14ac:dyDescent="0.2">
      <c r="A22" s="20" t="str">
        <f>IF(coder1_YH!G21="","",IF(coder1_YH!G21=coder2_NY_MT!A22,1,0))</f>
        <v/>
      </c>
      <c r="B22" s="20" t="str">
        <f>IF(coder1_YH!H21="","",IF(RIGHT(coder1_YH!H21,2)=RIGHT(coder2_NY_MT!B22,2),1,0))</f>
        <v/>
      </c>
      <c r="C22" s="20" t="str">
        <f>IF(coder1_YH!I21="","",IF(coder1_YH!I21=coder2_NY_MT!C22,1,0))</f>
        <v/>
      </c>
      <c r="E22" s="20" t="str">
        <f>IF(coder1_YH!K21="","",IF(coder1_YH!K21=coder2_NY_MT!E22,1,0))</f>
        <v/>
      </c>
      <c r="F22" s="20" t="str">
        <f>IF(coder1_YH!L21="","",IF(coder1_YH!L21=coder2_NY_MT!F22,1,0))</f>
        <v/>
      </c>
      <c r="G22" s="20" t="str">
        <f>IF(coder1_YH!M21="","",IF(coder1_YH!M21=coder2_NY_MT!G22,1,0))</f>
        <v/>
      </c>
      <c r="H22" s="20">
        <f>IF(coder1_YH!P21="","",IF(RIGHT(coder1_YH!P21,3)=RIGHT(coder2_NY_MT!J22,3),1,0))</f>
        <v>0</v>
      </c>
      <c r="I22" s="20">
        <f>IF(H22="","",IF(OR(coder2_NY_MT!K22="", coder1_YH!Q21 = ""),0,1))</f>
        <v>1</v>
      </c>
      <c r="J22" s="20">
        <f>IF(coder1_YH!R21="","",IF(coder1_YH!R21=coder2_NY_MT!L22,1,0))</f>
        <v>1</v>
      </c>
      <c r="K22" s="20">
        <f>IF(coder1_YH!S21="","",IF(coder1_YH!S21=coder2_NY_MT!M22,1,0))</f>
        <v>1</v>
      </c>
      <c r="L22" s="20">
        <f>IF(coder1_YH!T21="","",IF(coder1_YH!T21=coder2_NY_MT!N22,1,0))</f>
        <v>1</v>
      </c>
      <c r="M22" s="20">
        <f>IF(coder1_YH!U21="","",IF(coder1_YH!U21=coder2_NY_MT!O22,1,0))</f>
        <v>1</v>
      </c>
      <c r="N22" s="20">
        <f>IF(coder1_YH!V21="","",IF(coder1_YH!V21=coder2_NY_MT!P22,1,0))</f>
        <v>1</v>
      </c>
      <c r="O22" s="20">
        <f>IF(coder1_YH!W21="","",IF(coder1_YH!W21=coder2_NY_MT!Q22,1,0))</f>
        <v>1</v>
      </c>
      <c r="P22" s="20">
        <f>IF(coder1_YH!X21="","",IF(coder1_YH!X21=coder2_NY_MT!R22,1,0))</f>
        <v>1</v>
      </c>
      <c r="Q22" s="20">
        <f>IF(coder1_YH!Y21="","",IF(coder1_YH!Y21=coder2_NY_MT!S22,1,0))</f>
        <v>1</v>
      </c>
      <c r="R22" s="20">
        <f>IF(coder1_YH!Z21="","",IF(coder1_YH!Z21=coder2_NY_MT!T22,1,0))</f>
        <v>1</v>
      </c>
      <c r="S22" s="20">
        <f>IF(R22="","",IF(OR(coder2_NY_MT!U22="", coder1_YH!AA21 = ""),0,1))</f>
        <v>1</v>
      </c>
      <c r="T22" s="20">
        <f>IF(coder1_YH!AB21="","",IF(coder1_YH!AB21=coder2_NY_MT!V22,1,0))</f>
        <v>1</v>
      </c>
      <c r="U22" s="20">
        <f>IF(coder1_YH!AC21="","",IF(coder1_YH!AC21=coder2_NY_MT!W22,1,0))</f>
        <v>1</v>
      </c>
      <c r="V22" s="20">
        <f>IF(coder1_YH!AD21="","",IF(coder1_YH!AD21=coder2_NY_MT!X22,1,0))</f>
        <v>1</v>
      </c>
      <c r="W22" s="20">
        <f>IF(coder1_YH!AE21="","",IF(coder1_YH!AE21=coder2_NY_MT!Y22,1,0))</f>
        <v>1</v>
      </c>
      <c r="X22" s="20">
        <f>IF(coder1_YH!AF21="","",IF(coder1_YH!AF21=coder2_NY_MT!Z22,1,0))</f>
        <v>1</v>
      </c>
      <c r="Z22" s="20">
        <f>IF(coder1_YH!AH21="","",IF(coder1_YH!AH21=coder2_NY_MT!AB22,1,0))</f>
        <v>1</v>
      </c>
      <c r="AA22" s="20">
        <f>IF(coder1_YH!AI21="","",IF(coder1_YH!AI21=coder2_NY_MT!AC22,1,0))</f>
        <v>1</v>
      </c>
      <c r="AB22" s="20">
        <f>IF(OR(coder2_NY_MT!AD22="", coder1_YH!AJ21 = ""),0,1)</f>
        <v>1</v>
      </c>
      <c r="AC22" s="20">
        <f>IF(coder1_YH!AK21="","",IF(coder1_YH!AK21=coder2_NY_MT!AE22,1,0))</f>
        <v>1</v>
      </c>
      <c r="AD22" s="20">
        <f>IF(coder1_YH!AL21="","",IF(coder1_YH!AL21=coder2_NY_MT!AF22,1,0))</f>
        <v>0</v>
      </c>
      <c r="AF22" s="20">
        <f>IF(coder1_YH!AN21="","",IF(coder1_YH!AN21=coder2_NY_MT!AH22,1,0))</f>
        <v>1</v>
      </c>
      <c r="AG22" s="20">
        <f>IF(coder1_YH!AO21="","",IF(coder1_YH!AO21=coder2_NY_MT!AI22,1,0))</f>
        <v>1</v>
      </c>
      <c r="AH22" s="20">
        <f>IF(coder1_YH!AP21="","",IF(coder1_YH!AP21=coder2_NY_MT!AJ22,1,0))</f>
        <v>1</v>
      </c>
      <c r="AI22" s="20">
        <f>IF(coder1_YH!AQ21="","",IF(coder1_YH!AQ21=coder2_NY_MT!AK22,1,0))</f>
        <v>1</v>
      </c>
      <c r="AJ22" s="20">
        <f>IF(coder1_YH!AR21="","",IF(coder1_YH!AR21=coder2_NY_MT!AL22,1,0))</f>
        <v>1</v>
      </c>
      <c r="AK22" s="20">
        <f>IF(coder1_YH!AS21="","",IF(coder1_YH!AS21=coder2_NY_MT!AM22,1,0))</f>
        <v>1</v>
      </c>
      <c r="AL22" s="20">
        <f>IF(coder1_YH!AZ21=coder2_NY_MT!AT22, 1, 0)</f>
        <v>1</v>
      </c>
      <c r="AM22" s="20">
        <f>IF(coder1_YH!BA21=coder2_NY_MT!AU22, 1, 0)</f>
        <v>1</v>
      </c>
      <c r="AN22" s="2"/>
    </row>
    <row r="23" spans="1:40" s="20" customFormat="1" ht="17" hidden="1" customHeight="1" x14ac:dyDescent="0.2">
      <c r="A23" s="20">
        <f>IF(coder1_YH!G22="","",IF(coder1_YH!G22=coder2_NY_MT!A23,1,0))</f>
        <v>1</v>
      </c>
      <c r="B23" s="20">
        <f>IF(coder1_YH!H22="","",IF(RIGHT(coder1_YH!H22,2)=RIGHT(coder2_NY_MT!B23,2),1,0))</f>
        <v>1</v>
      </c>
      <c r="C23" s="20">
        <f>IF(coder1_YH!I22="","",IF(coder1_YH!I22=coder2_NY_MT!C23,1,0))</f>
        <v>1</v>
      </c>
      <c r="E23" s="20">
        <f>IF(coder1_YH!K22="","",IF(coder1_YH!K22=coder2_NY_MT!E23,1,0))</f>
        <v>1</v>
      </c>
      <c r="F23" s="20">
        <f>IF(coder1_YH!L22="","",IF(coder1_YH!L22=coder2_NY_MT!F23,1,0))</f>
        <v>1</v>
      </c>
      <c r="G23" s="20">
        <f>IF(coder1_YH!M22="","",IF(coder1_YH!M22=coder2_NY_MT!G23,1,0))</f>
        <v>1</v>
      </c>
      <c r="H23" s="20">
        <f>IF(coder1_YH!P22="","",IF(RIGHT(coder1_YH!P22,3)=RIGHT(coder2_NY_MT!J23,3),1,0))</f>
        <v>0</v>
      </c>
      <c r="I23" s="20">
        <f>IF(H23="","",IF(OR(coder2_NY_MT!K23="", coder1_YH!Q22 = ""),0,1))</f>
        <v>1</v>
      </c>
      <c r="J23" s="20">
        <f>IF(coder1_YH!R22="","",IF(coder1_YH!R22=coder2_NY_MT!L23,1,0))</f>
        <v>1</v>
      </c>
      <c r="K23" s="20">
        <f>IF(coder1_YH!S22="","",IF(coder1_YH!S22=coder2_NY_MT!M23,1,0))</f>
        <v>1</v>
      </c>
      <c r="L23" s="20">
        <f>IF(coder1_YH!T22="","",IF(coder1_YH!T22=coder2_NY_MT!N23,1,0))</f>
        <v>1</v>
      </c>
      <c r="M23" s="20">
        <f>IF(coder1_YH!U22="","",IF(coder1_YH!U22=coder2_NY_MT!O23,1,0))</f>
        <v>1</v>
      </c>
      <c r="N23" s="20">
        <f>IF(coder1_YH!V22="","",IF(coder1_YH!V22=coder2_NY_MT!P23,1,0))</f>
        <v>1</v>
      </c>
      <c r="O23" s="20">
        <f>IF(coder1_YH!W22="","",IF(coder1_YH!W22=coder2_NY_MT!Q23,1,0))</f>
        <v>1</v>
      </c>
      <c r="P23" s="20">
        <f>IF(coder1_YH!X22="","",IF(coder1_YH!X22=coder2_NY_MT!R23,1,0))</f>
        <v>1</v>
      </c>
      <c r="Q23" s="20">
        <f>IF(coder1_YH!Y22="","",IF(coder1_YH!Y22=coder2_NY_MT!S23,1,0))</f>
        <v>1</v>
      </c>
      <c r="R23" s="20">
        <f>IF(coder1_YH!Z22="","",IF(coder1_YH!Z22=coder2_NY_MT!T23,1,0))</f>
        <v>1</v>
      </c>
      <c r="S23" s="20">
        <f>IF(R23="","",IF(OR(coder2_NY_MT!U23="", coder1_YH!AA22 = ""),0,1))</f>
        <v>1</v>
      </c>
      <c r="T23" s="20">
        <f>IF(coder1_YH!AB22="","",IF(coder1_YH!AB22=coder2_NY_MT!V23,1,0))</f>
        <v>1</v>
      </c>
      <c r="U23" s="20">
        <f>IF(coder1_YH!AC22="","",IF(coder1_YH!AC22=coder2_NY_MT!W23,1,0))</f>
        <v>1</v>
      </c>
      <c r="V23" s="20">
        <f>IF(coder1_YH!AD22="","",IF(coder1_YH!AD22=coder2_NY_MT!X23,1,0))</f>
        <v>1</v>
      </c>
      <c r="W23" s="20">
        <f>IF(coder1_YH!AE22="","",IF(coder1_YH!AE22=coder2_NY_MT!Y23,1,0))</f>
        <v>1</v>
      </c>
      <c r="X23" s="20">
        <f>IF(coder1_YH!AF22="","",IF(coder1_YH!AF22=coder2_NY_MT!Z23,1,0))</f>
        <v>1</v>
      </c>
      <c r="Z23" s="20">
        <f>IF(coder1_YH!AH22="","",IF(coder1_YH!AH22=coder2_NY_MT!AB23,1,0))</f>
        <v>1</v>
      </c>
      <c r="AA23" s="20">
        <f>IF(coder1_YH!AI22="","",IF(coder1_YH!AI22=coder2_NY_MT!AC23,1,0))</f>
        <v>1</v>
      </c>
      <c r="AB23" s="20">
        <f>IF(OR(coder2_NY_MT!AD23="", coder1_YH!AJ22 = ""),0,1)</f>
        <v>1</v>
      </c>
      <c r="AC23" s="20">
        <f>IF(coder1_YH!AK22="","",IF(coder1_YH!AK22=coder2_NY_MT!AE23,1,0))</f>
        <v>1</v>
      </c>
      <c r="AD23" s="20">
        <f>IF(coder1_YH!AL22="","",IF(coder1_YH!AL22=coder2_NY_MT!AF23,1,0))</f>
        <v>1</v>
      </c>
      <c r="AF23" s="20">
        <f>IF(coder1_YH!AN22="","",IF(coder1_YH!AN22=coder2_NY_MT!AH23,1,0))</f>
        <v>1</v>
      </c>
      <c r="AG23" s="20">
        <f>IF(coder1_YH!AO22="","",IF(coder1_YH!AO22=coder2_NY_MT!AI23,1,0))</f>
        <v>1</v>
      </c>
      <c r="AH23" s="20">
        <f>IF(coder1_YH!AP22="","",IF(coder1_YH!AP22=coder2_NY_MT!AJ23,1,0))</f>
        <v>1</v>
      </c>
      <c r="AI23" s="20">
        <f>IF(coder1_YH!AQ22="","",IF(coder1_YH!AQ22=coder2_NY_MT!AK23,1,0))</f>
        <v>1</v>
      </c>
      <c r="AJ23" s="20">
        <f>IF(coder1_YH!AR22="","",IF(coder1_YH!AR22=coder2_NY_MT!AL23,1,0))</f>
        <v>1</v>
      </c>
      <c r="AK23" s="20">
        <f>IF(coder1_YH!AS22="","",IF(coder1_YH!AS22=coder2_NY_MT!AM23,1,0))</f>
        <v>1</v>
      </c>
      <c r="AL23" s="20">
        <f>IF(coder1_YH!AZ22=coder2_NY_MT!AT23, 1, 0)</f>
        <v>1</v>
      </c>
      <c r="AM23" s="20">
        <f>IF(coder1_YH!BA22=coder2_NY_MT!AU23, 1, 0)</f>
        <v>1</v>
      </c>
      <c r="AN23" s="2"/>
    </row>
    <row r="24" spans="1:40" s="20" customFormat="1" ht="17" hidden="1" customHeight="1" x14ac:dyDescent="0.2">
      <c r="A24" s="20">
        <f>IF(coder1_YH!G23="","",IF(coder1_YH!G23=coder2_NY_MT!A24,1,0))</f>
        <v>0</v>
      </c>
      <c r="B24" s="20">
        <f>IF(coder1_YH!H23="","",IF(RIGHT(coder1_YH!H23,2)=RIGHT(coder2_NY_MT!B24,2),1,0))</f>
        <v>0</v>
      </c>
      <c r="C24" s="20">
        <f>IF(coder1_YH!I23="","",IF(coder1_YH!I23=coder2_NY_MT!C24,1,0))</f>
        <v>0</v>
      </c>
      <c r="E24" s="20">
        <f>IF(coder1_YH!K23="","",IF(coder1_YH!K23=coder2_NY_MT!E24,1,0))</f>
        <v>0</v>
      </c>
      <c r="F24" s="20">
        <f>IF(coder1_YH!L23="","",IF(coder1_YH!L23=coder2_NY_MT!F24,1,0))</f>
        <v>0</v>
      </c>
      <c r="G24" s="20">
        <f>IF(coder1_YH!M23="","",IF(coder1_YH!M23=coder2_NY_MT!G24,1,0))</f>
        <v>0</v>
      </c>
      <c r="H24" s="20">
        <f>IF(coder1_YH!P23="","",IF(RIGHT(coder1_YH!P23,3)=RIGHT(coder2_NY_MT!J24,3),1,0))</f>
        <v>0</v>
      </c>
      <c r="I24" s="20">
        <f>IF(H24="","",IF(OR(coder2_NY_MT!K24="", coder1_YH!Q23 = ""),0,1))</f>
        <v>1</v>
      </c>
      <c r="J24" s="20">
        <f>IF(coder1_YH!R23="","",IF(coder1_YH!R23=coder2_NY_MT!L24,1,0))</f>
        <v>1</v>
      </c>
      <c r="K24" s="20">
        <f>IF(coder1_YH!S23="","",IF(coder1_YH!S23=coder2_NY_MT!M24,1,0))</f>
        <v>1</v>
      </c>
      <c r="L24" s="20">
        <f>IF(coder1_YH!T23="","",IF(coder1_YH!T23=coder2_NY_MT!N24,1,0))</f>
        <v>1</v>
      </c>
      <c r="M24" s="20">
        <f>IF(coder1_YH!U23="","",IF(coder1_YH!U23=coder2_NY_MT!O24,1,0))</f>
        <v>1</v>
      </c>
      <c r="N24" s="20">
        <f>IF(coder1_YH!V23="","",IF(coder1_YH!V23=coder2_NY_MT!P24,1,0))</f>
        <v>1</v>
      </c>
      <c r="O24" s="20">
        <f>IF(coder1_YH!W23="","",IF(coder1_YH!W23=coder2_NY_MT!Q24,1,0))</f>
        <v>1</v>
      </c>
      <c r="P24" s="20">
        <f>IF(coder1_YH!X23="","",IF(coder1_YH!X23=coder2_NY_MT!R24,1,0))</f>
        <v>1</v>
      </c>
      <c r="Q24" s="20">
        <f>IF(coder1_YH!Y23="","",IF(coder1_YH!Y23=coder2_NY_MT!S24,1,0))</f>
        <v>1</v>
      </c>
      <c r="R24" s="20">
        <f>IF(coder1_YH!Z23="","",IF(coder1_YH!Z23=coder2_NY_MT!T24,1,0))</f>
        <v>1</v>
      </c>
      <c r="S24" s="20">
        <f>IF(R24="","",IF(OR(coder2_NY_MT!U24="", coder1_YH!AA23 = ""),0,1))</f>
        <v>1</v>
      </c>
      <c r="T24" s="20">
        <f>IF(coder1_YH!AB23="","",IF(coder1_YH!AB23=coder2_NY_MT!V24,1,0))</f>
        <v>1</v>
      </c>
      <c r="U24" s="20">
        <f>IF(coder1_YH!AC23="","",IF(coder1_YH!AC23=coder2_NY_MT!W24,1,0))</f>
        <v>1</v>
      </c>
      <c r="V24" s="20">
        <f>IF(coder1_YH!AD23="","",IF(coder1_YH!AD23=coder2_NY_MT!X24,1,0))</f>
        <v>1</v>
      </c>
      <c r="W24" s="20">
        <f>IF(coder1_YH!AE23="","",IF(coder1_YH!AE23=coder2_NY_MT!Y24,1,0))</f>
        <v>1</v>
      </c>
      <c r="X24" s="20">
        <f>IF(coder1_YH!AF23="","",IF(coder1_YH!AF23=coder2_NY_MT!Z24,1,0))</f>
        <v>1</v>
      </c>
      <c r="Z24" s="20">
        <f>IF(coder1_YH!AH23="","",IF(coder1_YH!AH23=coder2_NY_MT!AB24,1,0))</f>
        <v>1</v>
      </c>
      <c r="AA24" s="20">
        <f>IF(coder1_YH!AI23="","",IF(coder1_YH!AI23=coder2_NY_MT!AC24,1,0))</f>
        <v>1</v>
      </c>
      <c r="AB24" s="20">
        <f>IF(OR(coder2_NY_MT!AD24="", coder1_YH!AJ23 = ""),0,1)</f>
        <v>1</v>
      </c>
      <c r="AC24" s="20">
        <f>IF(coder1_YH!AK23="","",IF(coder1_YH!AK23=coder2_NY_MT!AE24,1,0))</f>
        <v>1</v>
      </c>
      <c r="AD24" s="20">
        <f>IF(coder1_YH!AL23="","",IF(coder1_YH!AL23=coder2_NY_MT!AF24,1,0))</f>
        <v>0</v>
      </c>
      <c r="AF24" s="20">
        <f>IF(coder1_YH!AN23="","",IF(coder1_YH!AN23=coder2_NY_MT!AH24,1,0))</f>
        <v>1</v>
      </c>
      <c r="AG24" s="20">
        <f>IF(coder1_YH!AO23="","",IF(coder1_YH!AO23=coder2_NY_MT!AI24,1,0))</f>
        <v>1</v>
      </c>
      <c r="AH24" s="20">
        <f>IF(coder1_YH!AP23="","",IF(coder1_YH!AP23=coder2_NY_MT!AJ24,1,0))</f>
        <v>1</v>
      </c>
      <c r="AI24" s="20">
        <f>IF(coder1_YH!AQ23="","",IF(coder1_YH!AQ23=coder2_NY_MT!AK24,1,0))</f>
        <v>1</v>
      </c>
      <c r="AJ24" s="20">
        <f>IF(coder1_YH!AR23="","",IF(coder1_YH!AR23=coder2_NY_MT!AL24,1,0))</f>
        <v>1</v>
      </c>
      <c r="AK24" s="20">
        <f>IF(coder1_YH!AS23="","",IF(coder1_YH!AS23=coder2_NY_MT!AM24,1,0))</f>
        <v>1</v>
      </c>
      <c r="AL24" s="20">
        <f>IF(coder1_YH!AZ23=coder2_NY_MT!AT24, 1, 0)</f>
        <v>1</v>
      </c>
      <c r="AM24" s="20">
        <f>IF(coder1_YH!BA23=coder2_NY_MT!AU24, 1, 0)</f>
        <v>1</v>
      </c>
      <c r="AN24" s="2"/>
    </row>
    <row r="25" spans="1:40" s="20" customFormat="1" ht="17" hidden="1" customHeight="1" x14ac:dyDescent="0.2">
      <c r="A25" s="20">
        <f>IF(coder1_YH!G24="","",IF(coder1_YH!G24=coder2_NY_MT!A25,1,0))</f>
        <v>0</v>
      </c>
      <c r="B25" s="20">
        <f>IF(coder1_YH!H24="","",IF(RIGHT(coder1_YH!H24,2)=RIGHT(coder2_NY_MT!B25,2),1,0))</f>
        <v>0</v>
      </c>
      <c r="C25" s="20">
        <f>IF(coder1_YH!I24="","",IF(coder1_YH!I24=coder2_NY_MT!C25,1,0))</f>
        <v>0</v>
      </c>
      <c r="E25" s="20">
        <f>IF(coder1_YH!K24="","",IF(coder1_YH!K24=coder2_NY_MT!E25,1,0))</f>
        <v>0</v>
      </c>
      <c r="F25" s="20">
        <f>IF(coder1_YH!L24="","",IF(coder1_YH!L24=coder2_NY_MT!F25,1,0))</f>
        <v>0</v>
      </c>
      <c r="G25" s="20">
        <f>IF(coder1_YH!M24="","",IF(coder1_YH!M24=coder2_NY_MT!G25,1,0))</f>
        <v>0</v>
      </c>
      <c r="H25" s="20">
        <f>IF(coder1_YH!P24="","",IF(RIGHT(coder1_YH!P24,3)=RIGHT(coder2_NY_MT!J25,3),1,0))</f>
        <v>0</v>
      </c>
      <c r="I25" s="20">
        <f>IF(H25="","",IF(OR(coder2_NY_MT!K25="", coder1_YH!Q24 = ""),0,1))</f>
        <v>1</v>
      </c>
      <c r="J25" s="20">
        <f>IF(coder1_YH!R24="","",IF(coder1_YH!R24=coder2_NY_MT!L25,1,0))</f>
        <v>1</v>
      </c>
      <c r="K25" s="20">
        <f>IF(coder1_YH!S24="","",IF(coder1_YH!S24=coder2_NY_MT!M25,1,0))</f>
        <v>1</v>
      </c>
      <c r="L25" s="20">
        <f>IF(coder1_YH!T24="","",IF(coder1_YH!T24=coder2_NY_MT!N25,1,0))</f>
        <v>1</v>
      </c>
      <c r="M25" s="20">
        <f>IF(coder1_YH!U24="","",IF(coder1_YH!U24=coder2_NY_MT!O25,1,0))</f>
        <v>1</v>
      </c>
      <c r="N25" s="20">
        <f>IF(coder1_YH!V24="","",IF(coder1_YH!V24=coder2_NY_MT!P25,1,0))</f>
        <v>1</v>
      </c>
      <c r="O25" s="20">
        <f>IF(coder1_YH!W24="","",IF(coder1_YH!W24=coder2_NY_MT!Q25,1,0))</f>
        <v>1</v>
      </c>
      <c r="P25" s="20">
        <f>IF(coder1_YH!X24="","",IF(coder1_YH!X24=coder2_NY_MT!R25,1,0))</f>
        <v>1</v>
      </c>
      <c r="Q25" s="20">
        <f>IF(coder1_YH!Y24="","",IF(coder1_YH!Y24=coder2_NY_MT!S25,1,0))</f>
        <v>1</v>
      </c>
      <c r="R25" s="20">
        <f>IF(coder1_YH!Z24="","",IF(coder1_YH!Z24=coder2_NY_MT!T25,1,0))</f>
        <v>1</v>
      </c>
      <c r="S25" s="20">
        <f>IF(R25="","",IF(OR(coder2_NY_MT!U25="", coder1_YH!AA24 = ""),0,1))</f>
        <v>1</v>
      </c>
      <c r="T25" s="20">
        <f>IF(coder1_YH!AB24="","",IF(coder1_YH!AB24=coder2_NY_MT!V25,1,0))</f>
        <v>1</v>
      </c>
      <c r="U25" s="20">
        <f>IF(coder1_YH!AC24="","",IF(coder1_YH!AC24=coder2_NY_MT!W25,1,0))</f>
        <v>1</v>
      </c>
      <c r="V25" s="20">
        <f>IF(coder1_YH!AD24="","",IF(coder1_YH!AD24=coder2_NY_MT!X25,1,0))</f>
        <v>1</v>
      </c>
      <c r="W25" s="20">
        <f>IF(coder1_YH!AE24="","",IF(coder1_YH!AE24=coder2_NY_MT!Y25,1,0))</f>
        <v>1</v>
      </c>
      <c r="X25" s="20">
        <f>IF(coder1_YH!AF24="","",IF(coder1_YH!AF24=coder2_NY_MT!Z25,1,0))</f>
        <v>1</v>
      </c>
      <c r="Z25" s="20">
        <f>IF(coder1_YH!AH24="","",IF(coder1_YH!AH24=coder2_NY_MT!AB25,1,0))</f>
        <v>1</v>
      </c>
      <c r="AA25" s="20">
        <f>IF(coder1_YH!AI24="","",IF(coder1_YH!AI24=coder2_NY_MT!AC25,1,0))</f>
        <v>1</v>
      </c>
      <c r="AB25" s="20">
        <f>IF(OR(coder2_NY_MT!AD25="", coder1_YH!AJ24 = ""),0,1)</f>
        <v>1</v>
      </c>
      <c r="AC25" s="20">
        <f>IF(coder1_YH!AK24="","",IF(coder1_YH!AK24=coder2_NY_MT!AE25,1,0))</f>
        <v>1</v>
      </c>
      <c r="AD25" s="20">
        <f>IF(coder1_YH!AL24="","",IF(coder1_YH!AL24=coder2_NY_MT!AF25,1,0))</f>
        <v>0</v>
      </c>
      <c r="AF25" s="20">
        <f>IF(coder1_YH!AN24="","",IF(coder1_YH!AN24=coder2_NY_MT!AH25,1,0))</f>
        <v>1</v>
      </c>
      <c r="AG25" s="20">
        <f>IF(coder1_YH!AO24="","",IF(coder1_YH!AO24=coder2_NY_MT!AI25,1,0))</f>
        <v>1</v>
      </c>
      <c r="AH25" s="20">
        <f>IF(coder1_YH!AP24="","",IF(coder1_YH!AP24=coder2_NY_MT!AJ25,1,0))</f>
        <v>1</v>
      </c>
      <c r="AI25" s="20">
        <f>IF(coder1_YH!AQ24="","",IF(coder1_YH!AQ24=coder2_NY_MT!AK25,1,0))</f>
        <v>1</v>
      </c>
      <c r="AJ25" s="20">
        <f>IF(coder1_YH!AR24="","",IF(coder1_YH!AR24=coder2_NY_MT!AL25,1,0))</f>
        <v>1</v>
      </c>
      <c r="AK25" s="20">
        <f>IF(coder1_YH!AS24="","",IF(coder1_YH!AS24=coder2_NY_MT!AM25,1,0))</f>
        <v>1</v>
      </c>
      <c r="AL25" s="20">
        <f>IF(coder1_YH!AZ24=coder2_NY_MT!AT25, 1, 0)</f>
        <v>1</v>
      </c>
      <c r="AM25" s="20">
        <f>IF(coder1_YH!BA24=coder2_NY_MT!AU25, 1, 0)</f>
        <v>1</v>
      </c>
      <c r="AN25" s="2"/>
    </row>
    <row r="26" spans="1:40" s="20" customFormat="1" ht="17" hidden="1" customHeight="1" x14ac:dyDescent="0.2">
      <c r="A26" s="20">
        <f>IF(coder1_YH!G25="","",IF(coder1_YH!G25=coder2_NY_MT!A26,1,0))</f>
        <v>1</v>
      </c>
      <c r="B26" s="20">
        <f>IF(coder1_YH!H25="","",IF(RIGHT(coder1_YH!H25,2)=RIGHT(coder2_NY_MT!B26,2),1,0))</f>
        <v>1</v>
      </c>
      <c r="C26" s="20">
        <f>IF(coder1_YH!I25="","",IF(coder1_YH!I25=coder2_NY_MT!C26,1,0))</f>
        <v>1</v>
      </c>
      <c r="E26" s="20">
        <f>IF(coder1_YH!K25="","",IF(coder1_YH!K25=coder2_NY_MT!E26,1,0))</f>
        <v>1</v>
      </c>
      <c r="F26" s="20">
        <f>IF(coder1_YH!L25="","",IF(coder1_YH!L25=coder2_NY_MT!F26,1,0))</f>
        <v>1</v>
      </c>
      <c r="G26" s="20">
        <f>IF(coder1_YH!M25="","",IF(coder1_YH!M25=coder2_NY_MT!G26,1,0))</f>
        <v>1</v>
      </c>
      <c r="H26" s="20">
        <f>IF(coder1_YH!P25="","",IF(RIGHT(coder1_YH!P25,3)=RIGHT(coder2_NY_MT!J26,3),1,0))</f>
        <v>0</v>
      </c>
      <c r="I26" s="20">
        <f>IF(H26="","",IF(OR(coder2_NY_MT!K26="", coder1_YH!Q25 = ""),0,1))</f>
        <v>1</v>
      </c>
      <c r="J26" s="20">
        <f>IF(coder1_YH!R25="","",IF(coder1_YH!R25=coder2_NY_MT!L26,1,0))</f>
        <v>1</v>
      </c>
      <c r="K26" s="20">
        <f>IF(coder1_YH!S25="","",IF(coder1_YH!S25=coder2_NY_MT!M26,1,0))</f>
        <v>1</v>
      </c>
      <c r="L26" s="20">
        <f>IF(coder1_YH!T25="","",IF(coder1_YH!T25=coder2_NY_MT!N26,1,0))</f>
        <v>1</v>
      </c>
      <c r="M26" s="20">
        <f>IF(coder1_YH!U25="","",IF(coder1_YH!U25=coder2_NY_MT!O26,1,0))</f>
        <v>1</v>
      </c>
      <c r="N26" s="20">
        <f>IF(coder1_YH!V25="","",IF(coder1_YH!V25=coder2_NY_MT!P26,1,0))</f>
        <v>1</v>
      </c>
      <c r="O26" s="20">
        <f>IF(coder1_YH!W25="","",IF(coder1_YH!W25=coder2_NY_MT!Q26,1,0))</f>
        <v>1</v>
      </c>
      <c r="P26" s="20">
        <f>IF(coder1_YH!X25="","",IF(coder1_YH!X25=coder2_NY_MT!R26,1,0))</f>
        <v>1</v>
      </c>
      <c r="Q26" s="20">
        <f>IF(coder1_YH!Y25="","",IF(coder1_YH!Y25=coder2_NY_MT!S26,1,0))</f>
        <v>1</v>
      </c>
      <c r="R26" s="20">
        <f>IF(coder1_YH!Z25="","",IF(coder1_YH!Z25=coder2_NY_MT!T26,1,0))</f>
        <v>1</v>
      </c>
      <c r="S26" s="20">
        <f>IF(R26="","",IF(OR(coder2_NY_MT!U26="", coder1_YH!AA25 = ""),0,1))</f>
        <v>1</v>
      </c>
      <c r="T26" s="20">
        <f>IF(coder1_YH!AB25="","",IF(coder1_YH!AB25=coder2_NY_MT!V26,1,0))</f>
        <v>1</v>
      </c>
      <c r="U26" s="20">
        <f>IF(coder1_YH!AC25="","",IF(coder1_YH!AC25=coder2_NY_MT!W26,1,0))</f>
        <v>1</v>
      </c>
      <c r="V26" s="20">
        <f>IF(coder1_YH!AD25="","",IF(coder1_YH!AD25=coder2_NY_MT!X26,1,0))</f>
        <v>1</v>
      </c>
      <c r="W26" s="20">
        <f>IF(coder1_YH!AE25="","",IF(coder1_YH!AE25=coder2_NY_MT!Y26,1,0))</f>
        <v>1</v>
      </c>
      <c r="X26" s="62">
        <v>1</v>
      </c>
      <c r="Y26" s="62"/>
      <c r="Z26" s="20">
        <f>IF(coder1_YH!AH25="","",IF(coder1_YH!AH25=coder2_NY_MT!AB26,1,0))</f>
        <v>1</v>
      </c>
      <c r="AA26" s="20">
        <f>IF(coder1_YH!AI25="","",IF(coder1_YH!AI25=coder2_NY_MT!AC26,1,0))</f>
        <v>1</v>
      </c>
      <c r="AB26" s="20">
        <f>IF(OR(coder2_NY_MT!AD26="", coder1_YH!AJ25 = ""),0,1)</f>
        <v>1</v>
      </c>
      <c r="AC26" s="20">
        <f>IF(coder1_YH!AK25="","",IF(coder1_YH!AK25=coder2_NY_MT!AE26,1,0))</f>
        <v>1</v>
      </c>
      <c r="AD26" s="20">
        <f>IF(coder1_YH!AL25="","",IF(coder1_YH!AL25=coder2_NY_MT!AF26,1,0))</f>
        <v>1</v>
      </c>
      <c r="AF26" s="20">
        <f>IF(coder1_YH!AN25="","",IF(coder1_YH!AN25=coder2_NY_MT!AH26,1,0))</f>
        <v>1</v>
      </c>
      <c r="AG26" s="20">
        <f>IF(coder1_YH!AO25="","",IF(coder1_YH!AO25=coder2_NY_MT!AI26,1,0))</f>
        <v>1</v>
      </c>
      <c r="AH26" s="20">
        <f>IF(coder1_YH!AP25="","",IF(coder1_YH!AP25=coder2_NY_MT!AJ26,1,0))</f>
        <v>1</v>
      </c>
      <c r="AI26" s="20">
        <f>IF(coder1_YH!AQ25="","",IF(coder1_YH!AQ25=coder2_NY_MT!AK26,1,0))</f>
        <v>1</v>
      </c>
      <c r="AJ26" s="20">
        <f>IF(coder1_YH!AR25="","",IF(coder1_YH!AR25=coder2_NY_MT!AL26,1,0))</f>
        <v>1</v>
      </c>
      <c r="AK26" s="20">
        <f>IF(coder1_YH!AS25="","",IF(coder1_YH!AS25=coder2_NY_MT!AM26,1,0))</f>
        <v>1</v>
      </c>
      <c r="AL26" s="20">
        <f>IF(coder1_YH!AZ25=coder2_NY_MT!AT26, 1, 0)</f>
        <v>1</v>
      </c>
      <c r="AM26" s="20">
        <f>IF(coder1_YH!BA25=coder2_NY_MT!AU26, 1, 0)</f>
        <v>1</v>
      </c>
      <c r="AN26" s="2"/>
    </row>
    <row r="27" spans="1:40" s="20" customFormat="1" ht="17" hidden="1" customHeight="1" x14ac:dyDescent="0.2">
      <c r="A27" s="20" t="str">
        <f>IF(coder1_YH!G26="","",IF(coder1_YH!G26=coder2_NY_MT!A27,1,0))</f>
        <v/>
      </c>
      <c r="B27" s="20" t="str">
        <f>IF(coder1_YH!H26="","",IF(RIGHT(coder1_YH!H26,2)=RIGHT(coder2_NY_MT!B27,2),1,0))</f>
        <v/>
      </c>
      <c r="C27" s="20" t="str">
        <f>IF(coder1_YH!I26="","",IF(coder1_YH!I26=coder2_NY_MT!C27,1,0))</f>
        <v/>
      </c>
      <c r="E27" s="20" t="str">
        <f>IF(coder1_YH!K26="","",IF(coder1_YH!K26=coder2_NY_MT!E27,1,0))</f>
        <v/>
      </c>
      <c r="F27" s="20" t="str">
        <f>IF(coder1_YH!L26="","",IF(coder1_YH!L26=coder2_NY_MT!F27,1,0))</f>
        <v/>
      </c>
      <c r="G27" s="20" t="str">
        <f>IF(coder1_YH!M26="","",IF(coder1_YH!M26=coder2_NY_MT!G27,1,0))</f>
        <v/>
      </c>
      <c r="H27" s="20" t="str">
        <f>IF(coder1_YH!P26="","",IF(RIGHT(coder1_YH!P26,3)=RIGHT(coder2_NY_MT!J27,3),1,0))</f>
        <v/>
      </c>
      <c r="I27" s="20" t="str">
        <f>IF(H27="","",IF(OR(coder2_NY_MT!K27="", coder1_YH!Q26 = ""),0,1))</f>
        <v/>
      </c>
      <c r="J27" s="20" t="str">
        <f>IF(coder1_YH!R26="","",IF(coder1_YH!R26=coder2_NY_MT!L27,1,0))</f>
        <v/>
      </c>
      <c r="K27" s="20" t="str">
        <f>IF(coder1_YH!S26="","",IF(coder1_YH!S26=coder2_NY_MT!M27,1,0))</f>
        <v/>
      </c>
      <c r="L27" s="20" t="str">
        <f>IF(coder1_YH!T26="","",IF(coder1_YH!T26=coder2_NY_MT!N27,1,0))</f>
        <v/>
      </c>
      <c r="M27" s="20" t="str">
        <f>IF(coder1_YH!U26="","",IF(coder1_YH!U26=coder2_NY_MT!O27,1,0))</f>
        <v/>
      </c>
      <c r="N27" s="20" t="str">
        <f>IF(coder1_YH!V26="","",IF(coder1_YH!V26=coder2_NY_MT!P27,1,0))</f>
        <v/>
      </c>
      <c r="O27" s="20" t="str">
        <f>IF(coder1_YH!W26="","",IF(coder1_YH!W26=coder2_NY_MT!Q27,1,0))</f>
        <v/>
      </c>
      <c r="P27" s="20" t="str">
        <f>IF(coder1_YH!X26="","",IF(coder1_YH!X26=coder2_NY_MT!R27,1,0))</f>
        <v/>
      </c>
      <c r="Q27" s="20" t="str">
        <f>IF(coder1_YH!Y26="","",IF(coder1_YH!Y26=coder2_NY_MT!S27,1,0))</f>
        <v/>
      </c>
      <c r="R27" s="20" t="str">
        <f>IF(coder1_YH!Z26="","",IF(coder1_YH!Z26=coder2_NY_MT!T27,1,0))</f>
        <v/>
      </c>
      <c r="S27" s="20" t="str">
        <f>IF(R27="","",IF(OR(coder2_NY_MT!U27="", coder1_YH!AA26 = ""),0,1))</f>
        <v/>
      </c>
      <c r="T27" s="20" t="str">
        <f>IF(coder1_YH!AB26="","",IF(coder1_YH!AB26=coder2_NY_MT!V27,1,0))</f>
        <v/>
      </c>
      <c r="U27" s="20" t="str">
        <f>IF(coder1_YH!AC26="","",IF(coder1_YH!AC26=coder2_NY_MT!W27,1,0))</f>
        <v/>
      </c>
      <c r="V27" s="20" t="str">
        <f>IF(coder1_YH!AD26="","",IF(coder1_YH!AD26=coder2_NY_MT!X27,1,0))</f>
        <v/>
      </c>
      <c r="W27" s="20" t="str">
        <f>IF(coder1_YH!AE26="","",IF(coder1_YH!AE26=coder2_NY_MT!Y27,1,0))</f>
        <v/>
      </c>
      <c r="X27" s="20" t="str">
        <f>IF(coder1_YH!AF26="","",IF(coder1_YH!AF26=coder2_NY_MT!Z27,1,0))</f>
        <v/>
      </c>
      <c r="Z27" s="20" t="str">
        <f>IF(coder1_YH!AH26="","",IF(coder1_YH!AH26=coder2_NY_MT!AB27,1,0))</f>
        <v/>
      </c>
      <c r="AA27" s="20" t="str">
        <f>IF(coder1_YH!AI26="","",IF(coder1_YH!AI26=coder2_NY_MT!AC27,1,0))</f>
        <v/>
      </c>
      <c r="AB27" s="20">
        <f>IF(OR(coder2_NY_MT!AD27="", coder1_YH!AJ26 = ""),0,1)</f>
        <v>1</v>
      </c>
      <c r="AC27" s="20">
        <f>IF(coder1_YH!AK26="","",IF(coder1_YH!AK26=coder2_NY_MT!AE27,1,0))</f>
        <v>1</v>
      </c>
      <c r="AD27" s="20">
        <f>IF(coder1_YH!AL26="","",IF(coder1_YH!AL26=coder2_NY_MT!AF27,1,0))</f>
        <v>0</v>
      </c>
      <c r="AF27" s="62">
        <v>1</v>
      </c>
      <c r="AG27" s="62">
        <v>1</v>
      </c>
      <c r="AH27" s="62">
        <v>1</v>
      </c>
      <c r="AI27" s="20">
        <f>IF(coder1_YH!AQ26="","",IF(coder1_YH!AQ26=coder2_NY_MT!AK27,1,0))</f>
        <v>1</v>
      </c>
      <c r="AJ27" s="20">
        <f>IF(coder1_YH!AR26="","",IF(coder1_YH!AR26=coder2_NY_MT!AL27,1,0))</f>
        <v>1</v>
      </c>
      <c r="AK27" s="20">
        <f>IF(coder1_YH!AS26="","",IF(coder1_YH!AS26=coder2_NY_MT!AM27,1,0))</f>
        <v>1</v>
      </c>
      <c r="AL27" s="20">
        <f>IF(coder1_YH!AZ26=coder2_NY_MT!AT27, 1, 0)</f>
        <v>1</v>
      </c>
      <c r="AM27" s="20">
        <f>IF(coder1_YH!BA26=coder2_NY_MT!AU27, 1, 0)</f>
        <v>1</v>
      </c>
      <c r="AN27" s="2"/>
    </row>
    <row r="28" spans="1:40" s="20" customFormat="1" ht="17" hidden="1" customHeight="1" x14ac:dyDescent="0.2">
      <c r="A28" s="20" t="str">
        <f>IF(coder1_YH!G27="","",IF(coder1_YH!G27=coder2_NY_MT!A28,1,0))</f>
        <v/>
      </c>
      <c r="B28" s="20" t="str">
        <f>IF(coder1_YH!H27="","",IF(RIGHT(coder1_YH!H27,2)=RIGHT(coder2_NY_MT!B28,2),1,0))</f>
        <v/>
      </c>
      <c r="C28" s="20" t="str">
        <f>IF(coder1_YH!I27="","",IF(coder1_YH!I27=coder2_NY_MT!C28,1,0))</f>
        <v/>
      </c>
      <c r="E28" s="20" t="str">
        <f>IF(coder1_YH!K27="","",IF(coder1_YH!K27=coder2_NY_MT!E28,1,0))</f>
        <v/>
      </c>
      <c r="F28" s="20" t="str">
        <f>IF(coder1_YH!L27="","",IF(coder1_YH!L27=coder2_NY_MT!F28,1,0))</f>
        <v/>
      </c>
      <c r="G28" s="20" t="str">
        <f>IF(coder1_YH!M27="","",IF(coder1_YH!M27=coder2_NY_MT!G28,1,0))</f>
        <v/>
      </c>
      <c r="H28" s="20">
        <f>IF(coder1_YH!P27="","",IF(RIGHT(coder1_YH!P27,3)=RIGHT(coder2_NY_MT!J28,3),1,0))</f>
        <v>0</v>
      </c>
      <c r="I28" s="20">
        <f>IF(H28="","",IF(OR(coder2_NY_MT!K28="", coder1_YH!Q27 = ""),0,1))</f>
        <v>1</v>
      </c>
      <c r="J28" s="20">
        <f>IF(coder1_YH!R27="","",IF(coder1_YH!R27=coder2_NY_MT!L28,1,0))</f>
        <v>1</v>
      </c>
      <c r="K28" s="20">
        <f>IF(coder1_YH!S27="","",IF(coder1_YH!S27=coder2_NY_MT!M28,1,0))</f>
        <v>1</v>
      </c>
      <c r="L28" s="20">
        <f>IF(coder1_YH!T27="","",IF(coder1_YH!T27=coder2_NY_MT!N28,1,0))</f>
        <v>1</v>
      </c>
      <c r="M28" s="20">
        <f>IF(coder1_YH!U27="","",IF(coder1_YH!U27=coder2_NY_MT!O28,1,0))</f>
        <v>1</v>
      </c>
      <c r="N28" s="20">
        <f>IF(coder1_YH!V27="","",IF(coder1_YH!V27=coder2_NY_MT!P28,1,0))</f>
        <v>1</v>
      </c>
      <c r="O28" s="20">
        <f>IF(coder1_YH!W27="","",IF(coder1_YH!W27=coder2_NY_MT!Q28,1,0))</f>
        <v>1</v>
      </c>
      <c r="P28" s="20">
        <f>IF(coder1_YH!X27="","",IF(coder1_YH!X27=coder2_NY_MT!R28,1,0))</f>
        <v>1</v>
      </c>
      <c r="Q28" s="20">
        <f>IF(coder1_YH!Y27="","",IF(coder1_YH!Y27=coder2_NY_MT!S28,1,0))</f>
        <v>1</v>
      </c>
      <c r="R28" s="20">
        <f>IF(coder1_YH!Z27="","",IF(coder1_YH!Z27=coder2_NY_MT!T28,1,0))</f>
        <v>1</v>
      </c>
      <c r="S28" s="20">
        <f>IF(R28="","",IF(OR(coder2_NY_MT!U28="", coder1_YH!AA27 = ""),0,1))</f>
        <v>1</v>
      </c>
      <c r="T28" s="20">
        <f>IF(coder1_YH!AB27="","",IF(coder1_YH!AB27=coder2_NY_MT!V28,1,0))</f>
        <v>1</v>
      </c>
      <c r="U28" s="20">
        <f>IF(coder1_YH!AC27="","",IF(coder1_YH!AC27=coder2_NY_MT!W28,1,0))</f>
        <v>1</v>
      </c>
      <c r="V28" s="20">
        <f>IF(coder1_YH!AD27="","",IF(coder1_YH!AD27=coder2_NY_MT!X28,1,0))</f>
        <v>1</v>
      </c>
      <c r="W28" s="20">
        <f>IF(coder1_YH!AE27="","",IF(coder1_YH!AE27=coder2_NY_MT!Y28,1,0))</f>
        <v>1</v>
      </c>
      <c r="X28" s="62">
        <v>1</v>
      </c>
      <c r="Y28" s="62"/>
      <c r="Z28" s="20">
        <f>IF(coder1_YH!AH27="","",IF(coder1_YH!AH27=coder2_NY_MT!AB28,1,0))</f>
        <v>1</v>
      </c>
      <c r="AA28" s="20">
        <f>IF(coder1_YH!AI27="","",IF(coder1_YH!AI27=coder2_NY_MT!AC28,1,0))</f>
        <v>1</v>
      </c>
      <c r="AB28" s="20">
        <f>IF(OR(coder2_NY_MT!AD28="", coder1_YH!AJ27 = ""),0,1)</f>
        <v>1</v>
      </c>
      <c r="AC28" s="20">
        <f>IF(coder1_YH!AK27="","",IF(coder1_YH!AK27=coder2_NY_MT!AE28,1,0))</f>
        <v>1</v>
      </c>
      <c r="AD28" s="20">
        <f>IF(coder1_YH!AL27="","",IF(coder1_YH!AL27=coder2_NY_MT!AF28,1,0))</f>
        <v>0</v>
      </c>
      <c r="AF28" s="20">
        <f>IF(coder1_YH!AN27="","",IF(coder1_YH!AN27=coder2_NY_MT!AH28,1,0))</f>
        <v>1</v>
      </c>
      <c r="AG28" s="20">
        <f>IF(coder1_YH!AO27="","",IF(coder1_YH!AO27=coder2_NY_MT!AI28,1,0))</f>
        <v>1</v>
      </c>
      <c r="AH28" s="20">
        <f>IF(coder1_YH!AP27="","",IF(coder1_YH!AP27=coder2_NY_MT!AJ28,1,0))</f>
        <v>1</v>
      </c>
      <c r="AI28" s="20">
        <f>IF(coder1_YH!AQ27="","",IF(coder1_YH!AQ27=coder2_NY_MT!AK28,1,0))</f>
        <v>1</v>
      </c>
      <c r="AJ28" s="20">
        <f>IF(coder1_YH!AR27="","",IF(coder1_YH!AR27=coder2_NY_MT!AL28,1,0))</f>
        <v>1</v>
      </c>
      <c r="AK28" s="20">
        <f>IF(coder1_YH!AS27="","",IF(coder1_YH!AS27=coder2_NY_MT!AM28,1,0))</f>
        <v>1</v>
      </c>
      <c r="AL28" s="20">
        <f>IF(coder1_YH!AZ27=coder2_NY_MT!AT28, 1, 0)</f>
        <v>1</v>
      </c>
      <c r="AM28" s="20">
        <f>IF(coder1_YH!BA27=coder2_NY_MT!AU28, 1, 0)</f>
        <v>1</v>
      </c>
      <c r="AN28" s="2"/>
    </row>
    <row r="29" spans="1:40" s="20" customFormat="1" ht="17" hidden="1" customHeight="1" x14ac:dyDescent="0.2">
      <c r="A29" s="20" t="str">
        <f>IF(coder1_YH!G28="","",IF(coder1_YH!G28=coder2_NY_MT!A29,1,0))</f>
        <v/>
      </c>
      <c r="B29" s="20" t="str">
        <f>IF(coder1_YH!H28="","",IF(RIGHT(coder1_YH!H28,2)=RIGHT(coder2_NY_MT!B29,2),1,0))</f>
        <v/>
      </c>
      <c r="C29" s="20" t="str">
        <f>IF(coder1_YH!I28="","",IF(coder1_YH!I28=coder2_NY_MT!C29,1,0))</f>
        <v/>
      </c>
      <c r="E29" s="20" t="str">
        <f>IF(coder1_YH!K28="","",IF(coder1_YH!K28=coder2_NY_MT!E29,1,0))</f>
        <v/>
      </c>
      <c r="F29" s="20" t="str">
        <f>IF(coder1_YH!L28="","",IF(coder1_YH!L28=coder2_NY_MT!F29,1,0))</f>
        <v/>
      </c>
      <c r="G29" s="20" t="str">
        <f>IF(coder1_YH!M28="","",IF(coder1_YH!M28=coder2_NY_MT!G29,1,0))</f>
        <v/>
      </c>
      <c r="H29" s="20" t="str">
        <f>IF(coder1_YH!P28="","",IF(RIGHT(coder1_YH!P28,3)=RIGHT(coder2_NY_MT!J29,3),1,0))</f>
        <v/>
      </c>
      <c r="I29" s="20" t="str">
        <f>IF(H29="","",IF(OR(coder2_NY_MT!K29="", coder1_YH!Q28 = ""),0,1))</f>
        <v/>
      </c>
      <c r="J29" s="20" t="str">
        <f>IF(coder1_YH!R28="","",IF(coder1_YH!R28=coder2_NY_MT!L29,1,0))</f>
        <v/>
      </c>
      <c r="K29" s="20" t="str">
        <f>IF(coder1_YH!S28="","",IF(coder1_YH!S28=coder2_NY_MT!M29,1,0))</f>
        <v/>
      </c>
      <c r="L29" s="20" t="str">
        <f>IF(coder1_YH!T28="","",IF(coder1_YH!T28=coder2_NY_MT!N29,1,0))</f>
        <v/>
      </c>
      <c r="M29" s="20" t="str">
        <f>IF(coder1_YH!U28="","",IF(coder1_YH!U28=coder2_NY_MT!O29,1,0))</f>
        <v/>
      </c>
      <c r="N29" s="20" t="str">
        <f>IF(coder1_YH!V28="","",IF(coder1_YH!V28=coder2_NY_MT!P29,1,0))</f>
        <v/>
      </c>
      <c r="O29" s="20" t="str">
        <f>IF(coder1_YH!W28="","",IF(coder1_YH!W28=coder2_NY_MT!Q29,1,0))</f>
        <v/>
      </c>
      <c r="P29" s="20" t="str">
        <f>IF(coder1_YH!X28="","",IF(coder1_YH!X28=coder2_NY_MT!R29,1,0))</f>
        <v/>
      </c>
      <c r="Q29" s="20" t="str">
        <f>IF(coder1_YH!Y28="","",IF(coder1_YH!Y28=coder2_NY_MT!S29,1,0))</f>
        <v/>
      </c>
      <c r="R29" s="20" t="str">
        <f>IF(coder1_YH!Z28="","",IF(coder1_YH!Z28=coder2_NY_MT!T29,1,0))</f>
        <v/>
      </c>
      <c r="S29" s="20" t="str">
        <f>IF(R29="","",IF(OR(coder2_NY_MT!U29="", coder1_YH!AA28 = ""),0,1))</f>
        <v/>
      </c>
      <c r="T29" s="20" t="str">
        <f>IF(coder1_YH!AB28="","",IF(coder1_YH!AB28=coder2_NY_MT!V29,1,0))</f>
        <v/>
      </c>
      <c r="U29" s="20" t="str">
        <f>IF(coder1_YH!AC28="","",IF(coder1_YH!AC28=coder2_NY_MT!W29,1,0))</f>
        <v/>
      </c>
      <c r="V29" s="20" t="str">
        <f>IF(coder1_YH!AD28="","",IF(coder1_YH!AD28=coder2_NY_MT!X29,1,0))</f>
        <v/>
      </c>
      <c r="W29" s="20" t="str">
        <f>IF(coder1_YH!AE28="","",IF(coder1_YH!AE28=coder2_NY_MT!Y29,1,0))</f>
        <v/>
      </c>
      <c r="X29" s="20" t="str">
        <f>IF(coder1_YH!AF28="","",IF(coder1_YH!AF28=coder2_NY_MT!Z29,1,0))</f>
        <v/>
      </c>
      <c r="Z29" s="20" t="str">
        <f>IF(coder1_YH!AH28="","",IF(coder1_YH!AH28=coder2_NY_MT!AB29,1,0))</f>
        <v/>
      </c>
      <c r="AA29" s="20" t="str">
        <f>IF(coder1_YH!AI28="","",IF(coder1_YH!AI28=coder2_NY_MT!AC29,1,0))</f>
        <v/>
      </c>
      <c r="AB29" s="20">
        <f>IF(OR(coder2_NY_MT!AD29="", coder1_YH!AJ28 = ""),0,1)</f>
        <v>1</v>
      </c>
      <c r="AC29" s="20">
        <f>IF(coder1_YH!AK28="","",IF(coder1_YH!AK28=coder2_NY_MT!AE29,1,0))</f>
        <v>1</v>
      </c>
      <c r="AD29" s="20">
        <f>IF(coder1_YH!AL28="","",IF(coder1_YH!AL28=coder2_NY_MT!AF29,1,0))</f>
        <v>0</v>
      </c>
      <c r="AF29" s="62">
        <v>1</v>
      </c>
      <c r="AG29" s="62">
        <v>1</v>
      </c>
      <c r="AH29" s="62">
        <v>1</v>
      </c>
      <c r="AI29" s="20">
        <f>IF(coder1_YH!AQ28="","",IF(coder1_YH!AQ28=coder2_NY_MT!AK29,1,0))</f>
        <v>1</v>
      </c>
      <c r="AJ29" s="20">
        <f>IF(coder1_YH!AR28="","",IF(coder1_YH!AR28=coder2_NY_MT!AL29,1,0))</f>
        <v>1</v>
      </c>
      <c r="AK29" s="20">
        <f>IF(coder1_YH!AS28="","",IF(coder1_YH!AS28=coder2_NY_MT!AM29,1,0))</f>
        <v>1</v>
      </c>
      <c r="AL29" s="20">
        <f>IF(coder1_YH!AZ28=coder2_NY_MT!AT29, 1, 0)</f>
        <v>1</v>
      </c>
      <c r="AM29" s="20">
        <f>IF(coder1_YH!BA28=coder2_NY_MT!AU29, 1, 0)</f>
        <v>1</v>
      </c>
      <c r="AN29" s="2"/>
    </row>
    <row r="30" spans="1:40" s="20" customFormat="1" ht="17" hidden="1" customHeight="1" x14ac:dyDescent="0.2">
      <c r="A30" s="20" t="str">
        <f>IF(coder1_YH!G29="","",IF(coder1_YH!G29=coder2_NY_MT!A30,1,0))</f>
        <v/>
      </c>
      <c r="B30" s="20" t="str">
        <f>IF(coder1_YH!H29="","",IF(RIGHT(coder1_YH!H29,2)=RIGHT(coder2_NY_MT!B30,2),1,0))</f>
        <v/>
      </c>
      <c r="C30" s="20" t="str">
        <f>IF(coder1_YH!I29="","",IF(coder1_YH!I29=coder2_NY_MT!C30,1,0))</f>
        <v/>
      </c>
      <c r="E30" s="20" t="str">
        <f>IF(coder1_YH!K29="","",IF(coder1_YH!K29=coder2_NY_MT!E30,1,0))</f>
        <v/>
      </c>
      <c r="F30" s="20" t="str">
        <f>IF(coder1_YH!L29="","",IF(coder1_YH!L29=coder2_NY_MT!F30,1,0))</f>
        <v/>
      </c>
      <c r="G30" s="20" t="str">
        <f>IF(coder1_YH!M29="","",IF(coder1_YH!M29=coder2_NY_MT!G30,1,0))</f>
        <v/>
      </c>
      <c r="H30" s="20">
        <f>IF(coder1_YH!P29="","",IF(RIGHT(coder1_YH!P29,3)=RIGHT(coder2_NY_MT!J30,3),1,0))</f>
        <v>0</v>
      </c>
      <c r="I30" s="20">
        <f>IF(H30="","",IF(OR(coder2_NY_MT!K30="", coder1_YH!Q29 = ""),0,1))</f>
        <v>1</v>
      </c>
      <c r="J30" s="20">
        <f>IF(coder1_YH!R29="","",IF(coder1_YH!R29=coder2_NY_MT!L30,1,0))</f>
        <v>1</v>
      </c>
      <c r="K30" s="20">
        <f>IF(coder1_YH!S29="","",IF(coder1_YH!S29=coder2_NY_MT!M30,1,0))</f>
        <v>1</v>
      </c>
      <c r="L30" s="20">
        <f>IF(coder1_YH!T29="","",IF(coder1_YH!T29=coder2_NY_MT!N30,1,0))</f>
        <v>1</v>
      </c>
      <c r="M30" s="20">
        <f>IF(coder1_YH!U29="","",IF(coder1_YH!U29=coder2_NY_MT!O30,1,0))</f>
        <v>1</v>
      </c>
      <c r="N30" s="20">
        <f>IF(coder1_YH!V29="","",IF(coder1_YH!V29=coder2_NY_MT!P30,1,0))</f>
        <v>1</v>
      </c>
      <c r="O30" s="20">
        <f>IF(coder1_YH!W29="","",IF(coder1_YH!W29=coder2_NY_MT!Q30,1,0))</f>
        <v>1</v>
      </c>
      <c r="P30" s="20">
        <f>IF(coder1_YH!X29="","",IF(coder1_YH!X29=coder2_NY_MT!R30,1,0))</f>
        <v>1</v>
      </c>
      <c r="Q30" s="20">
        <f>IF(coder1_YH!Y29="","",IF(coder1_YH!Y29=coder2_NY_MT!S30,1,0))</f>
        <v>1</v>
      </c>
      <c r="R30" s="20">
        <f>IF(coder1_YH!Z29="","",IF(coder1_YH!Z29=coder2_NY_MT!T30,1,0))</f>
        <v>1</v>
      </c>
      <c r="S30" s="20">
        <f>IF(R30="","",IF(OR(coder2_NY_MT!U30="", coder1_YH!AA29 = ""),0,1))</f>
        <v>1</v>
      </c>
      <c r="T30" s="20">
        <f>IF(coder1_YH!AB29="","",IF(coder1_YH!AB29=coder2_NY_MT!V30,1,0))</f>
        <v>1</v>
      </c>
      <c r="U30" s="20">
        <f>IF(coder1_YH!AC29="","",IF(coder1_YH!AC29=coder2_NY_MT!W30,1,0))</f>
        <v>1</v>
      </c>
      <c r="V30" s="20">
        <f>IF(coder1_YH!AD29="","",IF(coder1_YH!AD29=coder2_NY_MT!X30,1,0))</f>
        <v>1</v>
      </c>
      <c r="W30" s="20">
        <f>IF(coder1_YH!AE29="","",IF(coder1_YH!AE29=coder2_NY_MT!Y30,1,0))</f>
        <v>1</v>
      </c>
      <c r="X30" s="62">
        <v>1</v>
      </c>
      <c r="Y30" s="62"/>
      <c r="Z30" s="20">
        <f>IF(coder1_YH!AH29="","",IF(coder1_YH!AH29=coder2_NY_MT!AB30,1,0))</f>
        <v>1</v>
      </c>
      <c r="AA30" s="20">
        <f>IF(coder1_YH!AI29="","",IF(coder1_YH!AI29=coder2_NY_MT!AC30,1,0))</f>
        <v>1</v>
      </c>
      <c r="AB30" s="20">
        <f>IF(OR(coder2_NY_MT!AD30="", coder1_YH!AJ29 = ""),0,1)</f>
        <v>1</v>
      </c>
      <c r="AC30" s="20">
        <f>IF(coder1_YH!AK29="","",IF(coder1_YH!AK29=coder2_NY_MT!AE30,1,0))</f>
        <v>1</v>
      </c>
      <c r="AD30" s="20">
        <f>IF(coder1_YH!AL29="","",IF(coder1_YH!AL29=coder2_NY_MT!AF30,1,0))</f>
        <v>0</v>
      </c>
      <c r="AF30" s="20">
        <f>IF(coder1_YH!AN29="","",IF(coder1_YH!AN29=coder2_NY_MT!AH30,1,0))</f>
        <v>1</v>
      </c>
      <c r="AG30" s="20">
        <f>IF(coder1_YH!AO29="","",IF(coder1_YH!AO29=coder2_NY_MT!AI30,1,0))</f>
        <v>1</v>
      </c>
      <c r="AH30" s="20">
        <f>IF(coder1_YH!AP29="","",IF(coder1_YH!AP29=coder2_NY_MT!AJ30,1,0))</f>
        <v>1</v>
      </c>
      <c r="AI30" s="20">
        <f>IF(coder1_YH!AQ29="","",IF(coder1_YH!AQ29=coder2_NY_MT!AK30,1,0))</f>
        <v>1</v>
      </c>
      <c r="AJ30" s="20">
        <f>IF(coder1_YH!AR29="","",IF(coder1_YH!AR29=coder2_NY_MT!AL30,1,0))</f>
        <v>1</v>
      </c>
      <c r="AK30" s="20">
        <f>IF(coder1_YH!AS29="","",IF(coder1_YH!AS29=coder2_NY_MT!AM30,1,0))</f>
        <v>1</v>
      </c>
      <c r="AL30" s="20">
        <f>IF(coder1_YH!AZ29=coder2_NY_MT!AT30, 1, 0)</f>
        <v>1</v>
      </c>
      <c r="AM30" s="20">
        <f>IF(coder1_YH!BA29=coder2_NY_MT!AU30, 1, 0)</f>
        <v>1</v>
      </c>
      <c r="AN30" s="2"/>
    </row>
    <row r="31" spans="1:40" s="20" customFormat="1" ht="17" hidden="1" customHeight="1" x14ac:dyDescent="0.2">
      <c r="A31" s="20" t="str">
        <f>IF(coder1_YH!G30="","",IF(coder1_YH!G30=coder2_NY_MT!A31,1,0))</f>
        <v/>
      </c>
      <c r="B31" s="20" t="str">
        <f>IF(coder1_YH!H30="","",IF(RIGHT(coder1_YH!H30,2)=RIGHT(coder2_NY_MT!B31,2),1,0))</f>
        <v/>
      </c>
      <c r="C31" s="20" t="str">
        <f>IF(coder1_YH!I30="","",IF(coder1_YH!I30=coder2_NY_MT!C31,1,0))</f>
        <v/>
      </c>
      <c r="E31" s="20" t="str">
        <f>IF(coder1_YH!K30="","",IF(coder1_YH!K30=coder2_NY_MT!E31,1,0))</f>
        <v/>
      </c>
      <c r="F31" s="20" t="str">
        <f>IF(coder1_YH!L30="","",IF(coder1_YH!L30=coder2_NY_MT!F31,1,0))</f>
        <v/>
      </c>
      <c r="G31" s="20" t="str">
        <f>IF(coder1_YH!M30="","",IF(coder1_YH!M30=coder2_NY_MT!G31,1,0))</f>
        <v/>
      </c>
      <c r="H31" s="20" t="str">
        <f>IF(coder1_YH!P30="","",IF(RIGHT(coder1_YH!P30,3)=RIGHT(coder2_NY_MT!J31,3),1,0))</f>
        <v/>
      </c>
      <c r="I31" s="20" t="str">
        <f>IF(H31="","",IF(OR(coder2_NY_MT!K31="", coder1_YH!Q30 = ""),0,1))</f>
        <v/>
      </c>
      <c r="J31" s="20" t="str">
        <f>IF(coder1_YH!R30="","",IF(coder1_YH!R30=coder2_NY_MT!L31,1,0))</f>
        <v/>
      </c>
      <c r="K31" s="20" t="str">
        <f>IF(coder1_YH!S30="","",IF(coder1_YH!S30=coder2_NY_MT!M31,1,0))</f>
        <v/>
      </c>
      <c r="L31" s="20" t="str">
        <f>IF(coder1_YH!T30="","",IF(coder1_YH!T30=coder2_NY_MT!N31,1,0))</f>
        <v/>
      </c>
      <c r="M31" s="20" t="str">
        <f>IF(coder1_YH!U30="","",IF(coder1_YH!U30=coder2_NY_MT!O31,1,0))</f>
        <v/>
      </c>
      <c r="N31" s="20" t="str">
        <f>IF(coder1_YH!V30="","",IF(coder1_YH!V30=coder2_NY_MT!P31,1,0))</f>
        <v/>
      </c>
      <c r="O31" s="20" t="str">
        <f>IF(coder1_YH!W30="","",IF(coder1_YH!W30=coder2_NY_MT!Q31,1,0))</f>
        <v/>
      </c>
      <c r="P31" s="20" t="str">
        <f>IF(coder1_YH!X30="","",IF(coder1_YH!X30=coder2_NY_MT!R31,1,0))</f>
        <v/>
      </c>
      <c r="Q31" s="20" t="str">
        <f>IF(coder1_YH!Y30="","",IF(coder1_YH!Y30=coder2_NY_MT!S31,1,0))</f>
        <v/>
      </c>
      <c r="R31" s="20" t="str">
        <f>IF(coder1_YH!Z30="","",IF(coder1_YH!Z30=coder2_NY_MT!T31,1,0))</f>
        <v/>
      </c>
      <c r="S31" s="20" t="str">
        <f>IF(R31="","",IF(OR(coder2_NY_MT!U31="", coder1_YH!AA30 = ""),0,1))</f>
        <v/>
      </c>
      <c r="T31" s="20" t="str">
        <f>IF(coder1_YH!AB30="","",IF(coder1_YH!AB30=coder2_NY_MT!V31,1,0))</f>
        <v/>
      </c>
      <c r="U31" s="20" t="str">
        <f>IF(coder1_YH!AC30="","",IF(coder1_YH!AC30=coder2_NY_MT!W31,1,0))</f>
        <v/>
      </c>
      <c r="V31" s="20" t="str">
        <f>IF(coder1_YH!AD30="","",IF(coder1_YH!AD30=coder2_NY_MT!X31,1,0))</f>
        <v/>
      </c>
      <c r="W31" s="20" t="str">
        <f>IF(coder1_YH!AE30="","",IF(coder1_YH!AE30=coder2_NY_MT!Y31,1,0))</f>
        <v/>
      </c>
      <c r="X31" s="20" t="str">
        <f>IF(coder1_YH!AF30="","",IF(coder1_YH!AF30=coder2_NY_MT!Z31,1,0))</f>
        <v/>
      </c>
      <c r="Z31" s="20" t="str">
        <f>IF(coder1_YH!AH30="","",IF(coder1_YH!AH30=coder2_NY_MT!AB31,1,0))</f>
        <v/>
      </c>
      <c r="AA31" s="20" t="str">
        <f>IF(coder1_YH!AI30="","",IF(coder1_YH!AI30=coder2_NY_MT!AC31,1,0))</f>
        <v/>
      </c>
      <c r="AB31" s="20">
        <f>IF(OR(coder2_NY_MT!AD31="", coder1_YH!AJ30 = ""),0,1)</f>
        <v>1</v>
      </c>
      <c r="AC31" s="20">
        <f>IF(coder1_YH!AK30="","",IF(coder1_YH!AK30=coder2_NY_MT!AE31,1,0))</f>
        <v>1</v>
      </c>
      <c r="AD31" s="20">
        <f>IF(coder1_YH!AL30="","",IF(coder1_YH!AL30=coder2_NY_MT!AF31,1,0))</f>
        <v>0</v>
      </c>
      <c r="AF31" s="62">
        <v>1</v>
      </c>
      <c r="AG31" s="62">
        <v>1</v>
      </c>
      <c r="AH31" s="62">
        <v>1</v>
      </c>
      <c r="AI31" s="20">
        <f>IF(coder1_YH!AQ30="","",IF(coder1_YH!AQ30=coder2_NY_MT!AK31,1,0))</f>
        <v>1</v>
      </c>
      <c r="AJ31" s="20">
        <f>IF(coder1_YH!AR30="","",IF(coder1_YH!AR30=coder2_NY_MT!AL31,1,0))</f>
        <v>1</v>
      </c>
      <c r="AK31" s="20">
        <f>IF(coder1_YH!AS30="","",IF(coder1_YH!AS30=coder2_NY_MT!AM31,1,0))</f>
        <v>1</v>
      </c>
      <c r="AL31" s="20">
        <f>IF(coder1_YH!AZ30=coder2_NY_MT!AT31, 1, 0)</f>
        <v>1</v>
      </c>
      <c r="AM31" s="20">
        <f>IF(coder1_YH!BA30=coder2_NY_MT!AU31, 1, 0)</f>
        <v>1</v>
      </c>
      <c r="AN31" s="2"/>
    </row>
    <row r="32" spans="1:40" s="20" customFormat="1" ht="17" hidden="1" customHeight="1" x14ac:dyDescent="0.2">
      <c r="A32" s="20" t="str">
        <f>IF(coder1_YH!G31="","",IF(coder1_YH!G31=coder2_NY_MT!A32,1,0))</f>
        <v/>
      </c>
      <c r="B32" s="20" t="str">
        <f>IF(coder1_YH!H31="","",IF(RIGHT(coder1_YH!H31,2)=RIGHT(coder2_NY_MT!B32,2),1,0))</f>
        <v/>
      </c>
      <c r="C32" s="20" t="str">
        <f>IF(coder1_YH!I31="","",IF(coder1_YH!I31=coder2_NY_MT!C32,1,0))</f>
        <v/>
      </c>
      <c r="E32" s="20" t="str">
        <f>IF(coder1_YH!K31="","",IF(coder1_YH!K31=coder2_NY_MT!E32,1,0))</f>
        <v/>
      </c>
      <c r="F32" s="20" t="str">
        <f>IF(coder1_YH!L31="","",IF(coder1_YH!L31=coder2_NY_MT!F32,1,0))</f>
        <v/>
      </c>
      <c r="G32" s="20" t="str">
        <f>IF(coder1_YH!M31="","",IF(coder1_YH!M31=coder2_NY_MT!G32,1,0))</f>
        <v/>
      </c>
      <c r="H32" s="20">
        <f>IF(coder1_YH!P31="","",IF(RIGHT(coder1_YH!P31,3)=RIGHT(coder2_NY_MT!J32,3),1,0))</f>
        <v>0</v>
      </c>
      <c r="I32" s="20">
        <f>IF(H32="","",IF(OR(coder2_NY_MT!K32="", coder1_YH!Q31 = ""),0,1))</f>
        <v>1</v>
      </c>
      <c r="J32" s="20">
        <f>IF(coder1_YH!R31="","",IF(coder1_YH!R31=coder2_NY_MT!L32,1,0))</f>
        <v>1</v>
      </c>
      <c r="K32" s="20">
        <f>IF(coder1_YH!S31="","",IF(coder1_YH!S31=coder2_NY_MT!M32,1,0))</f>
        <v>1</v>
      </c>
      <c r="L32" s="20">
        <f>IF(coder1_YH!T31="","",IF(coder1_YH!T31=coder2_NY_MT!N32,1,0))</f>
        <v>1</v>
      </c>
      <c r="M32" s="20">
        <f>IF(coder1_YH!U31="","",IF(coder1_YH!U31=coder2_NY_MT!O32,1,0))</f>
        <v>1</v>
      </c>
      <c r="N32" s="20">
        <f>IF(coder1_YH!V31="","",IF(coder1_YH!V31=coder2_NY_MT!P32,1,0))</f>
        <v>1</v>
      </c>
      <c r="O32" s="20">
        <f>IF(coder1_YH!W31="","",IF(coder1_YH!W31=coder2_NY_MT!Q32,1,0))</f>
        <v>1</v>
      </c>
      <c r="P32" s="20">
        <f>IF(coder1_YH!X31="","",IF(coder1_YH!X31=coder2_NY_MT!R32,1,0))</f>
        <v>1</v>
      </c>
      <c r="Q32" s="20">
        <f>IF(coder1_YH!Y31="","",IF(coder1_YH!Y31=coder2_NY_MT!S32,1,0))</f>
        <v>1</v>
      </c>
      <c r="R32" s="20">
        <f>IF(coder1_YH!Z31="","",IF(coder1_YH!Z31=coder2_NY_MT!T32,1,0))</f>
        <v>0</v>
      </c>
      <c r="S32" s="20">
        <f>IF(R32="","",IF(OR(coder2_NY_MT!U32="", coder1_YH!AA31 = ""),0,1))</f>
        <v>1</v>
      </c>
      <c r="T32" s="20">
        <f>IF(coder1_YH!AB31="","",IF(coder1_YH!AB31=coder2_NY_MT!V32,1,0))</f>
        <v>1</v>
      </c>
      <c r="U32" s="20">
        <f>IF(coder1_YH!AC31="","",IF(coder1_YH!AC31=coder2_NY_MT!W32,1,0))</f>
        <v>1</v>
      </c>
      <c r="V32" s="20">
        <f>IF(coder1_YH!AD31="","",IF(coder1_YH!AD31=coder2_NY_MT!X32,1,0))</f>
        <v>1</v>
      </c>
      <c r="W32" s="20">
        <f>IF(coder1_YH!AE31="","",IF(coder1_YH!AE31=coder2_NY_MT!Y32,1,0))</f>
        <v>1</v>
      </c>
      <c r="X32" s="62">
        <v>1</v>
      </c>
      <c r="Y32" s="62"/>
      <c r="Z32" s="20">
        <f>IF(coder1_YH!AH31="","",IF(coder1_YH!AH31=coder2_NY_MT!AB32,1,0))</f>
        <v>1</v>
      </c>
      <c r="AA32" s="20">
        <f>IF(coder1_YH!AI31="","",IF(coder1_YH!AI31=coder2_NY_MT!AC32,1,0))</f>
        <v>1</v>
      </c>
      <c r="AB32" s="20">
        <f>IF(OR(coder2_NY_MT!AD32="", coder1_YH!AJ31 = ""),0,1)</f>
        <v>1</v>
      </c>
      <c r="AC32" s="20">
        <f>IF(coder1_YH!AK31="","",IF(coder1_YH!AK31=coder2_NY_MT!AE32,1,0))</f>
        <v>1</v>
      </c>
      <c r="AD32" s="20">
        <f>IF(coder1_YH!AL31="","",IF(coder1_YH!AL31=coder2_NY_MT!AF32,1,0))</f>
        <v>0</v>
      </c>
      <c r="AF32" s="20">
        <f>IF(coder1_YH!AN31="","",IF(coder1_YH!AN31=coder2_NY_MT!AH32,1,0))</f>
        <v>1</v>
      </c>
      <c r="AG32" s="20">
        <f>IF(coder1_YH!AO31="","",IF(coder1_YH!AO31=coder2_NY_MT!AI32,1,0))</f>
        <v>1</v>
      </c>
      <c r="AH32" s="20">
        <f>IF(coder1_YH!AP31="","",IF(coder1_YH!AP31=coder2_NY_MT!AJ32,1,0))</f>
        <v>1</v>
      </c>
      <c r="AI32" s="20">
        <f>IF(coder1_YH!AQ31="","",IF(coder1_YH!AQ31=coder2_NY_MT!AK32,1,0))</f>
        <v>1</v>
      </c>
      <c r="AJ32" s="20">
        <f>IF(coder1_YH!AR31="","",IF(coder1_YH!AR31=coder2_NY_MT!AL32,1,0))</f>
        <v>1</v>
      </c>
      <c r="AK32" s="20">
        <f>IF(coder1_YH!AS31="","",IF(coder1_YH!AS31=coder2_NY_MT!AM32,1,0))</f>
        <v>1</v>
      </c>
      <c r="AL32" s="20">
        <f>IF(coder1_YH!AZ31=coder2_NY_MT!AT32, 1, 0)</f>
        <v>1</v>
      </c>
      <c r="AM32" s="20">
        <f>IF(coder1_YH!BA31=coder2_NY_MT!AU32, 1, 0)</f>
        <v>1</v>
      </c>
      <c r="AN32" s="2"/>
    </row>
    <row r="33" spans="1:40" s="20" customFormat="1" ht="17" hidden="1" customHeight="1" x14ac:dyDescent="0.2">
      <c r="A33" s="20" t="str">
        <f>IF(coder1_YH!G32="","",IF(coder1_YH!G32=coder2_NY_MT!A33,1,0))</f>
        <v/>
      </c>
      <c r="B33" s="20" t="str">
        <f>IF(coder1_YH!H32="","",IF(RIGHT(coder1_YH!H32,2)=RIGHT(coder2_NY_MT!B33,2),1,0))</f>
        <v/>
      </c>
      <c r="C33" s="20" t="str">
        <f>IF(coder1_YH!I32="","",IF(coder1_YH!I32=coder2_NY_MT!C33,1,0))</f>
        <v/>
      </c>
      <c r="E33" s="20" t="str">
        <f>IF(coder1_YH!K32="","",IF(coder1_YH!K32=coder2_NY_MT!E33,1,0))</f>
        <v/>
      </c>
      <c r="F33" s="20" t="str">
        <f>IF(coder1_YH!L32="","",IF(coder1_YH!L32=coder2_NY_MT!F33,1,0))</f>
        <v/>
      </c>
      <c r="G33" s="20" t="str">
        <f>IF(coder1_YH!M32="","",IF(coder1_YH!M32=coder2_NY_MT!G33,1,0))</f>
        <v/>
      </c>
      <c r="H33" s="20" t="str">
        <f>IF(coder1_YH!P32="","",IF(RIGHT(coder1_YH!P32,3)=RIGHT(coder2_NY_MT!J33,3),1,0))</f>
        <v/>
      </c>
      <c r="I33" s="20" t="str">
        <f>IF(H33="","",IF(OR(coder2_NY_MT!K33="", coder1_YH!Q32 = ""),0,1))</f>
        <v/>
      </c>
      <c r="J33" s="20" t="str">
        <f>IF(coder1_YH!R32="","",IF(coder1_YH!R32=coder2_NY_MT!L33,1,0))</f>
        <v/>
      </c>
      <c r="K33" s="20" t="str">
        <f>IF(coder1_YH!S32="","",IF(coder1_YH!S32=coder2_NY_MT!M33,1,0))</f>
        <v/>
      </c>
      <c r="L33" s="20" t="str">
        <f>IF(coder1_YH!T32="","",IF(coder1_YH!T32=coder2_NY_MT!N33,1,0))</f>
        <v/>
      </c>
      <c r="M33" s="20" t="str">
        <f>IF(coder1_YH!U32="","",IF(coder1_YH!U32=coder2_NY_MT!O33,1,0))</f>
        <v/>
      </c>
      <c r="N33" s="20" t="str">
        <f>IF(coder1_YH!V32="","",IF(coder1_YH!V32=coder2_NY_MT!P33,1,0))</f>
        <v/>
      </c>
      <c r="O33" s="20" t="str">
        <f>IF(coder1_YH!W32="","",IF(coder1_YH!W32=coder2_NY_MT!Q33,1,0))</f>
        <v/>
      </c>
      <c r="P33" s="20" t="str">
        <f>IF(coder1_YH!X32="","",IF(coder1_YH!X32=coder2_NY_MT!R33,1,0))</f>
        <v/>
      </c>
      <c r="Q33" s="20" t="str">
        <f>IF(coder1_YH!Y32="","",IF(coder1_YH!Y32=coder2_NY_MT!S33,1,0))</f>
        <v/>
      </c>
      <c r="R33" s="20" t="str">
        <f>IF(coder1_YH!Z32="","",IF(coder1_YH!Z32=coder2_NY_MT!T33,1,0))</f>
        <v/>
      </c>
      <c r="S33" s="20" t="str">
        <f>IF(R33="","",IF(OR(coder2_NY_MT!U33="", coder1_YH!AA32 = ""),0,1))</f>
        <v/>
      </c>
      <c r="T33" s="20" t="str">
        <f>IF(coder1_YH!AB32="","",IF(coder1_YH!AB32=coder2_NY_MT!V33,1,0))</f>
        <v/>
      </c>
      <c r="U33" s="20" t="str">
        <f>IF(coder1_YH!AC32="","",IF(coder1_YH!AC32=coder2_NY_MT!W33,1,0))</f>
        <v/>
      </c>
      <c r="V33" s="20" t="str">
        <f>IF(coder1_YH!AD32="","",IF(coder1_YH!AD32=coder2_NY_MT!X33,1,0))</f>
        <v/>
      </c>
      <c r="W33" s="20" t="str">
        <f>IF(coder1_YH!AE32="","",IF(coder1_YH!AE32=coder2_NY_MT!Y33,1,0))</f>
        <v/>
      </c>
      <c r="X33" s="20" t="str">
        <f>IF(coder1_YH!AF32="","",IF(coder1_YH!AF32=coder2_NY_MT!Z33,1,0))</f>
        <v/>
      </c>
      <c r="Z33" s="20" t="str">
        <f>IF(coder1_YH!AH32="","",IF(coder1_YH!AH32=coder2_NY_MT!AB33,1,0))</f>
        <v/>
      </c>
      <c r="AA33" s="20" t="str">
        <f>IF(coder1_YH!AI32="","",IF(coder1_YH!AI32=coder2_NY_MT!AC33,1,0))</f>
        <v/>
      </c>
      <c r="AB33" s="20">
        <f>IF(OR(coder2_NY_MT!AD33="", coder1_YH!AJ32 = ""),0,1)</f>
        <v>1</v>
      </c>
      <c r="AC33" s="20">
        <f>IF(coder1_YH!AK32="","",IF(coder1_YH!AK32=coder2_NY_MT!AE33,1,0))</f>
        <v>1</v>
      </c>
      <c r="AD33" s="20">
        <f>IF(coder1_YH!AL32="","",IF(coder1_YH!AL32=coder2_NY_MT!AF33,1,0))</f>
        <v>0</v>
      </c>
      <c r="AF33" s="62">
        <v>1</v>
      </c>
      <c r="AG33" s="62">
        <v>1</v>
      </c>
      <c r="AH33" s="62">
        <v>1</v>
      </c>
      <c r="AI33" s="20">
        <f>IF(coder1_YH!AQ32="","",IF(coder1_YH!AQ32=coder2_NY_MT!AK33,1,0))</f>
        <v>1</v>
      </c>
      <c r="AJ33" s="20">
        <f>IF(coder1_YH!AR32="","",IF(coder1_YH!AR32=coder2_NY_MT!AL33,1,0))</f>
        <v>1</v>
      </c>
      <c r="AK33" s="20">
        <f>IF(coder1_YH!AS32="","",IF(coder1_YH!AS32=coder2_NY_MT!AM33,1,0))</f>
        <v>1</v>
      </c>
      <c r="AL33" s="20">
        <f>IF(coder1_YH!AZ32=coder2_NY_MT!AT33, 1, 0)</f>
        <v>1</v>
      </c>
      <c r="AM33" s="20">
        <f>IF(coder1_YH!BA32=coder2_NY_MT!AU33, 1, 0)</f>
        <v>1</v>
      </c>
      <c r="AN33" s="2"/>
    </row>
    <row r="34" spans="1:40" s="20" customFormat="1" ht="17" hidden="1" customHeight="1" x14ac:dyDescent="0.2">
      <c r="A34" s="20">
        <f>IF(coder1_YH!G33="","",IF(coder1_YH!G33=coder2_NY_MT!A34,1,0))</f>
        <v>1</v>
      </c>
      <c r="B34" s="20">
        <f>IF(coder1_YH!H33="","",IF(RIGHT(coder1_YH!H33,2)=RIGHT(coder2_NY_MT!B34,2),1,0))</f>
        <v>1</v>
      </c>
      <c r="C34" s="20">
        <f>IF(coder1_YH!I33="","",IF(coder1_YH!I33=coder2_NY_MT!C34,1,0))</f>
        <v>1</v>
      </c>
      <c r="E34" s="20">
        <f>IF(coder1_YH!K33="","",IF(coder1_YH!K33=coder2_NY_MT!E34,1,0))</f>
        <v>1</v>
      </c>
      <c r="F34" s="20">
        <f>IF(coder1_YH!L33="","",IF(coder1_YH!L33=coder2_NY_MT!F34,1,0))</f>
        <v>1</v>
      </c>
      <c r="G34" s="20">
        <f>IF(coder1_YH!M33="","",IF(coder1_YH!M33=coder2_NY_MT!G34,1,0))</f>
        <v>1</v>
      </c>
      <c r="H34" s="20">
        <f>IF(coder1_YH!P33="","",IF(RIGHT(coder1_YH!P33,3)=RIGHT(coder2_NY_MT!J34,3),1,0))</f>
        <v>0</v>
      </c>
      <c r="I34" s="20">
        <f>IF(H34="","",IF(OR(coder2_NY_MT!K34="", coder1_YH!Q33 = ""),0,1))</f>
        <v>1</v>
      </c>
      <c r="J34" s="20">
        <f>IF(coder1_YH!R33="","",IF(coder1_YH!R33=coder2_NY_MT!L34,1,0))</f>
        <v>1</v>
      </c>
      <c r="K34" s="20">
        <f>IF(coder1_YH!S33="","",IF(coder1_YH!S33=coder2_NY_MT!M34,1,0))</f>
        <v>1</v>
      </c>
      <c r="L34" s="20">
        <f>IF(coder1_YH!T33="","",IF(coder1_YH!T33=coder2_NY_MT!N34,1,0))</f>
        <v>1</v>
      </c>
      <c r="M34" s="20">
        <f>IF(coder1_YH!U33="","",IF(coder1_YH!U33=coder2_NY_MT!O34,1,0))</f>
        <v>1</v>
      </c>
      <c r="N34" s="20">
        <f>IF(coder1_YH!V33="","",IF(coder1_YH!V33=coder2_NY_MT!P34,1,0))</f>
        <v>1</v>
      </c>
      <c r="O34" s="20">
        <f>IF(coder1_YH!W33="","",IF(coder1_YH!W33=coder2_NY_MT!Q34,1,0))</f>
        <v>1</v>
      </c>
      <c r="P34" s="20">
        <f>IF(coder1_YH!X33="","",IF(coder1_YH!X33=coder2_NY_MT!R34,1,0))</f>
        <v>1</v>
      </c>
      <c r="Q34" s="20">
        <f>IF(coder1_YH!Y33="","",IF(coder1_YH!Y33=coder2_NY_MT!S34,1,0))</f>
        <v>1</v>
      </c>
      <c r="R34" s="20">
        <f>IF(coder1_YH!Z33="","",IF(coder1_YH!Z33=coder2_NY_MT!T34,1,0))</f>
        <v>1</v>
      </c>
      <c r="S34" s="20">
        <f>IF(R34="","",IF(OR(coder2_NY_MT!U34="", coder1_YH!AA33 = ""),0,1))</f>
        <v>1</v>
      </c>
      <c r="T34" s="20">
        <f>IF(coder1_YH!AB33="","",IF(coder1_YH!AB33=coder2_NY_MT!V34,1,0))</f>
        <v>1</v>
      </c>
      <c r="U34" s="20">
        <f>IF(coder1_YH!AC33="","",IF(coder1_YH!AC33=coder2_NY_MT!W34,1,0))</f>
        <v>1</v>
      </c>
      <c r="V34" s="20">
        <f>IF(coder1_YH!AD33="","",IF(coder1_YH!AD33=coder2_NY_MT!X34,1,0))</f>
        <v>1</v>
      </c>
      <c r="W34" s="20">
        <f>IF(coder1_YH!AE33="","",IF(coder1_YH!AE33=coder2_NY_MT!Y34,1,0))</f>
        <v>1</v>
      </c>
      <c r="X34" s="20">
        <f>IF(coder1_YH!AF33="","",IF(coder1_YH!AF33=coder2_NY_MT!Z34,1,0))</f>
        <v>1</v>
      </c>
      <c r="Z34" s="20">
        <f>IF(coder1_YH!AH33="","",IF(coder1_YH!AH33=coder2_NY_MT!AB34,1,0))</f>
        <v>1</v>
      </c>
      <c r="AA34" s="20">
        <f>IF(coder1_YH!AI33="","",IF(coder1_YH!AI33=coder2_NY_MT!AC34,1,0))</f>
        <v>1</v>
      </c>
      <c r="AB34" s="20">
        <f>IF(OR(coder2_NY_MT!AD34="", coder1_YH!AJ33 = ""),0,1)</f>
        <v>1</v>
      </c>
      <c r="AC34" s="20">
        <f>IF(coder1_YH!AK33="","",IF(coder1_YH!AK33=coder2_NY_MT!AE34,1,0))</f>
        <v>1</v>
      </c>
      <c r="AD34" s="62">
        <v>1</v>
      </c>
      <c r="AE34" s="62"/>
      <c r="AF34" s="20">
        <f>IF(coder1_YH!AN33="","",IF(coder1_YH!AN33=coder2_NY_MT!AH34,1,0))</f>
        <v>1</v>
      </c>
      <c r="AG34" s="20">
        <f>IF(coder1_YH!AO33="","",IF(coder1_YH!AO33=coder2_NY_MT!AI34,1,0))</f>
        <v>1</v>
      </c>
      <c r="AH34" s="20">
        <f>IF(coder1_YH!AP33="","",IF(coder1_YH!AP33=coder2_NY_MT!AJ34,1,0))</f>
        <v>1</v>
      </c>
      <c r="AI34" s="20">
        <f>IF(coder1_YH!AQ33="","",IF(coder1_YH!AQ33=coder2_NY_MT!AK34,1,0))</f>
        <v>1</v>
      </c>
      <c r="AJ34" s="20">
        <f>IF(coder1_YH!AR33="","",IF(coder1_YH!AR33=coder2_NY_MT!AL34,1,0))</f>
        <v>1</v>
      </c>
      <c r="AK34" s="20">
        <f>IF(coder1_YH!AS33="","",IF(coder1_YH!AS33=coder2_NY_MT!AM34,1,0))</f>
        <v>1</v>
      </c>
      <c r="AL34" s="20">
        <f>IF(coder1_YH!AZ33=coder2_NY_MT!AT34, 1, 0)</f>
        <v>1</v>
      </c>
      <c r="AM34" s="20">
        <f>IF(coder1_YH!BA33=coder2_NY_MT!AU34, 1, 0)</f>
        <v>1</v>
      </c>
      <c r="AN34" s="2"/>
    </row>
    <row r="35" spans="1:40" s="20" customFormat="1" ht="17" hidden="1" customHeight="1" x14ac:dyDescent="0.2">
      <c r="A35" s="20" t="str">
        <f>IF(coder1_YH!G34="","",IF(coder1_YH!G34=coder2_NY_MT!A35,1,0))</f>
        <v/>
      </c>
      <c r="B35" s="20" t="str">
        <f>IF(coder1_YH!H34="","",IF(RIGHT(coder1_YH!H34,2)=RIGHT(coder2_NY_MT!B35,2),1,0))</f>
        <v/>
      </c>
      <c r="C35" s="20" t="str">
        <f>IF(coder1_YH!I34="","",IF(coder1_YH!I34=coder2_NY_MT!C35,1,0))</f>
        <v/>
      </c>
      <c r="E35" s="20" t="str">
        <f>IF(coder1_YH!K34="","",IF(coder1_YH!K34=coder2_NY_MT!E35,1,0))</f>
        <v/>
      </c>
      <c r="F35" s="20" t="str">
        <f>IF(coder1_YH!L34="","",IF(coder1_YH!L34=coder2_NY_MT!F35,1,0))</f>
        <v/>
      </c>
      <c r="G35" s="20" t="str">
        <f>IF(coder1_YH!M34="","",IF(coder1_YH!M34=coder2_NY_MT!G35,1,0))</f>
        <v/>
      </c>
      <c r="H35" s="20">
        <f>IF(coder1_YH!P34="","",IF(RIGHT(coder1_YH!P34,3)=RIGHT(coder2_NY_MT!J35,3),1,0))</f>
        <v>0</v>
      </c>
      <c r="I35" s="20">
        <f>IF(H35="","",IF(OR(coder2_NY_MT!K35="", coder1_YH!Q34 = ""),0,1))</f>
        <v>1</v>
      </c>
      <c r="J35" s="20">
        <f>IF(coder1_YH!R34="","",IF(coder1_YH!R34=coder2_NY_MT!L35,1,0))</f>
        <v>1</v>
      </c>
      <c r="K35" s="20">
        <f>IF(coder1_YH!S34="","",IF(coder1_YH!S34=coder2_NY_MT!M35,1,0))</f>
        <v>1</v>
      </c>
      <c r="L35" s="20">
        <f>IF(coder1_YH!T34="","",IF(coder1_YH!T34=coder2_NY_MT!N35,1,0))</f>
        <v>1</v>
      </c>
      <c r="M35" s="20">
        <f>IF(coder1_YH!U34="","",IF(coder1_YH!U34=coder2_NY_MT!O35,1,0))</f>
        <v>1</v>
      </c>
      <c r="N35" s="20">
        <f>IF(coder1_YH!V34="","",IF(coder1_YH!V34=coder2_NY_MT!P35,1,0))</f>
        <v>1</v>
      </c>
      <c r="O35" s="20">
        <f>IF(coder1_YH!W34="","",IF(coder1_YH!W34=coder2_NY_MT!Q35,1,0))</f>
        <v>1</v>
      </c>
      <c r="P35" s="20">
        <f>IF(coder1_YH!X34="","",IF(coder1_YH!X34=coder2_NY_MT!R35,1,0))</f>
        <v>1</v>
      </c>
      <c r="Q35" s="20">
        <f>IF(coder1_YH!Y34="","",IF(coder1_YH!Y34=coder2_NY_MT!S35,1,0))</f>
        <v>1</v>
      </c>
      <c r="R35" s="20">
        <f>IF(coder1_YH!Z34="","",IF(coder1_YH!Z34=coder2_NY_MT!T35,1,0))</f>
        <v>1</v>
      </c>
      <c r="S35" s="20">
        <f>IF(R35="","",IF(OR(coder2_NY_MT!U35="", coder1_YH!AA34 = ""),0,1))</f>
        <v>1</v>
      </c>
      <c r="T35" s="20">
        <f>IF(coder1_YH!AB34="","",IF(coder1_YH!AB34=coder2_NY_MT!V35,1,0))</f>
        <v>1</v>
      </c>
      <c r="U35" s="20">
        <f>IF(coder1_YH!AC34="","",IF(coder1_YH!AC34=coder2_NY_MT!W35,1,0))</f>
        <v>1</v>
      </c>
      <c r="V35" s="20">
        <f>IF(coder1_YH!AD34="","",IF(coder1_YH!AD34=coder2_NY_MT!X35,1,0))</f>
        <v>1</v>
      </c>
      <c r="W35" s="20">
        <f>IF(coder1_YH!AE34="","",IF(coder1_YH!AE34=coder2_NY_MT!Y35,1,0))</f>
        <v>1</v>
      </c>
      <c r="X35" s="20">
        <f>IF(coder1_YH!AF34="","",IF(coder1_YH!AF34=coder2_NY_MT!Z35,1,0))</f>
        <v>1</v>
      </c>
      <c r="Z35" s="20">
        <f>IF(coder1_YH!AH34="","",IF(coder1_YH!AH34=coder2_NY_MT!AB35,1,0))</f>
        <v>1</v>
      </c>
      <c r="AA35" s="20">
        <f>IF(coder1_YH!AI34="","",IF(coder1_YH!AI34=coder2_NY_MT!AC35,1,0))</f>
        <v>1</v>
      </c>
      <c r="AB35" s="20">
        <f>IF(OR(coder2_NY_MT!AD35="", coder1_YH!AJ34 = ""),0,1)</f>
        <v>1</v>
      </c>
      <c r="AC35" s="20">
        <f>IF(coder1_YH!AK34="","",IF(coder1_YH!AK34=coder2_NY_MT!AE35,1,0))</f>
        <v>1</v>
      </c>
      <c r="AD35" s="62">
        <v>1</v>
      </c>
      <c r="AE35" s="62"/>
      <c r="AF35" s="20">
        <f>IF(coder1_YH!AN34="","",IF(coder1_YH!AN34=coder2_NY_MT!AH35,1,0))</f>
        <v>1</v>
      </c>
      <c r="AG35" s="20">
        <f>IF(coder1_YH!AO34="","",IF(coder1_YH!AO34=coder2_NY_MT!AI35,1,0))</f>
        <v>1</v>
      </c>
      <c r="AH35" s="20">
        <f>IF(coder1_YH!AP34="","",IF(coder1_YH!AP34=coder2_NY_MT!AJ35,1,0))</f>
        <v>1</v>
      </c>
      <c r="AI35" s="20">
        <f>IF(coder1_YH!AQ34="","",IF(coder1_YH!AQ34=coder2_NY_MT!AK35,1,0))</f>
        <v>1</v>
      </c>
      <c r="AJ35" s="20">
        <f>IF(coder1_YH!AR34="","",IF(coder1_YH!AR34=coder2_NY_MT!AL35,1,0))</f>
        <v>1</v>
      </c>
      <c r="AK35" s="20">
        <f>IF(coder1_YH!AS34="","",IF(coder1_YH!AS34=coder2_NY_MT!AM35,1,0))</f>
        <v>1</v>
      </c>
      <c r="AL35" s="20">
        <f>IF(coder1_YH!AZ34=coder2_NY_MT!AT35, 1, 0)</f>
        <v>1</v>
      </c>
      <c r="AM35" s="20">
        <f>IF(coder1_YH!BA34=coder2_NY_MT!AU35, 1, 0)</f>
        <v>1</v>
      </c>
      <c r="AN35" s="2"/>
    </row>
    <row r="36" spans="1:40" s="20" customFormat="1" ht="17" hidden="1" customHeight="1" x14ac:dyDescent="0.2">
      <c r="A36" s="20">
        <f>IF(coder1_YH!G35="","",IF(coder1_YH!G35=coder2_NY_MT!A36,1,0))</f>
        <v>1</v>
      </c>
      <c r="B36" s="20">
        <f>IF(coder1_YH!H35="","",IF(RIGHT(coder1_YH!H35,2)=RIGHT(coder2_NY_MT!B36,2),1,0))</f>
        <v>0</v>
      </c>
      <c r="C36" s="20">
        <f>IF(coder1_YH!I35="","",IF(coder1_YH!I35=coder2_NY_MT!C36,1,0))</f>
        <v>1</v>
      </c>
      <c r="E36" s="20">
        <f>IF(coder1_YH!K35="","",IF(coder1_YH!K35=coder2_NY_MT!E36,1,0))</f>
        <v>1</v>
      </c>
      <c r="F36" s="20">
        <f>IF(coder1_YH!L35="","",IF(coder1_YH!L35=coder2_NY_MT!F36,1,0))</f>
        <v>1</v>
      </c>
      <c r="G36" s="20">
        <f>IF(coder1_YH!M35="","",IF(coder1_YH!M35=coder2_NY_MT!G36,1,0))</f>
        <v>1</v>
      </c>
      <c r="H36" s="20">
        <f>IF(coder1_YH!P35="","",IF(RIGHT(coder1_YH!P35,3)=RIGHT(coder2_NY_MT!J36,3),1,0))</f>
        <v>0</v>
      </c>
      <c r="I36" s="20">
        <f>IF(H36="","",IF(OR(coder2_NY_MT!K36="", coder1_YH!Q35 = ""),0,1))</f>
        <v>1</v>
      </c>
      <c r="J36" s="20">
        <f>IF(coder1_YH!R35="","",IF(coder1_YH!R35=coder2_NY_MT!L36,1,0))</f>
        <v>1</v>
      </c>
      <c r="K36" s="20">
        <f>IF(coder1_YH!S35="","",IF(coder1_YH!S35=coder2_NY_MT!M36,1,0))</f>
        <v>1</v>
      </c>
      <c r="L36" s="20">
        <f>IF(coder1_YH!T35="","",IF(coder1_YH!T35=coder2_NY_MT!N36,1,0))</f>
        <v>1</v>
      </c>
      <c r="M36" s="20">
        <f>IF(coder1_YH!U35="","",IF(coder1_YH!U35=coder2_NY_MT!O36,1,0))</f>
        <v>1</v>
      </c>
      <c r="N36" s="20">
        <f>IF(coder1_YH!V35="","",IF(coder1_YH!V35=coder2_NY_MT!P36,1,0))</f>
        <v>1</v>
      </c>
      <c r="O36" s="20">
        <f>IF(coder1_YH!W35="","",IF(coder1_YH!W35=coder2_NY_MT!Q36,1,0))</f>
        <v>1</v>
      </c>
      <c r="P36" s="20">
        <f>IF(coder1_YH!X35="","",IF(coder1_YH!X35=coder2_NY_MT!R36,1,0))</f>
        <v>1</v>
      </c>
      <c r="Q36" s="20">
        <f>IF(coder1_YH!Y35="","",IF(coder1_YH!Y35=coder2_NY_MT!S36,1,0))</f>
        <v>1</v>
      </c>
      <c r="R36" s="20">
        <f>IF(coder1_YH!Z35="","",IF(coder1_YH!Z35=coder2_NY_MT!T36,1,0))</f>
        <v>1</v>
      </c>
      <c r="S36" s="20">
        <f>IF(R36="","",IF(OR(coder2_NY_MT!U36="", coder1_YH!AA35 = ""),0,1))</f>
        <v>1</v>
      </c>
      <c r="T36" s="20">
        <f>IF(coder1_YH!AB35="","",IF(coder1_YH!AB35=coder2_NY_MT!V36,1,0))</f>
        <v>1</v>
      </c>
      <c r="U36" s="20">
        <f>IF(coder1_YH!AC35="","",IF(coder1_YH!AC35=coder2_NY_MT!W36,1,0))</f>
        <v>1</v>
      </c>
      <c r="V36" s="20">
        <f>IF(coder1_YH!AD35="","",IF(coder1_YH!AD35=coder2_NY_MT!X36,1,0))</f>
        <v>1</v>
      </c>
      <c r="W36" s="20">
        <f>IF(coder1_YH!AE35="","",IF(coder1_YH!AE35=coder2_NY_MT!Y36,1,0))</f>
        <v>1</v>
      </c>
      <c r="X36" s="20">
        <f>IF(coder1_YH!AF35="","",IF(coder1_YH!AF35=coder2_NY_MT!Z36,1,0))</f>
        <v>1</v>
      </c>
      <c r="Z36" s="20">
        <f>IF(coder1_YH!AH35="","",IF(coder1_YH!AH35=coder2_NY_MT!AB36,1,0))</f>
        <v>1</v>
      </c>
      <c r="AA36" s="20">
        <f>IF(coder1_YH!AI35="","",IF(coder1_YH!AI35=coder2_NY_MT!AC36,1,0))</f>
        <v>1</v>
      </c>
      <c r="AB36" s="20">
        <f>IF(OR(coder2_NY_MT!AD36="", coder1_YH!AJ35 = ""),0,1)</f>
        <v>1</v>
      </c>
      <c r="AC36" s="20">
        <f>IF(coder1_YH!AK35="","",IF(coder1_YH!AK35=coder2_NY_MT!AE36,1,0))</f>
        <v>1</v>
      </c>
      <c r="AD36" s="20">
        <f>IF(coder1_YH!AL35="","",IF(coder1_YH!AL35=coder2_NY_MT!AF36,1,0))</f>
        <v>0</v>
      </c>
      <c r="AF36" s="20">
        <f>IF(coder1_YH!AN35="","",IF(coder1_YH!AN35=coder2_NY_MT!AH36,1,0))</f>
        <v>1</v>
      </c>
      <c r="AG36" s="20">
        <f>IF(coder1_YH!AO35="","",IF(coder1_YH!AO35=coder2_NY_MT!AI36,1,0))</f>
        <v>1</v>
      </c>
      <c r="AH36" s="20">
        <f>IF(coder1_YH!AP35="","",IF(coder1_YH!AP35=coder2_NY_MT!AJ36,1,0))</f>
        <v>1</v>
      </c>
      <c r="AI36" s="20">
        <f>IF(coder1_YH!AQ35="","",IF(coder1_YH!AQ35=coder2_NY_MT!AK36,1,0))</f>
        <v>1</v>
      </c>
      <c r="AJ36" s="20">
        <f>IF(coder1_YH!AR35="","",IF(coder1_YH!AR35=coder2_NY_MT!AL36,1,0))</f>
        <v>1</v>
      </c>
      <c r="AK36" s="20">
        <f>IF(coder1_YH!AS35="","",IF(coder1_YH!AS35=coder2_NY_MT!AM36,1,0))</f>
        <v>1</v>
      </c>
      <c r="AL36" s="20">
        <f>IF(coder1_YH!AZ35=coder2_NY_MT!AT36, 1, 0)</f>
        <v>1</v>
      </c>
      <c r="AM36" s="20">
        <f>IF(coder1_YH!BA35=coder2_NY_MT!AU36, 1, 0)</f>
        <v>0</v>
      </c>
      <c r="AN36" s="2"/>
    </row>
    <row r="37" spans="1:40" s="20" customFormat="1" ht="17" hidden="1" customHeight="1" x14ac:dyDescent="0.2">
      <c r="A37" s="20" t="str">
        <f>IF(coder1_YH!G36="","",IF(coder1_YH!G36=coder2_NY_MT!A37,1,0))</f>
        <v/>
      </c>
      <c r="B37" s="20" t="str">
        <f>IF(coder1_YH!H36="","",IF(RIGHT(coder1_YH!H36,2)=RIGHT(coder2_NY_MT!B37,2),1,0))</f>
        <v/>
      </c>
      <c r="C37" s="20" t="str">
        <f>IF(coder1_YH!I36="","",IF(coder1_YH!I36=coder2_NY_MT!C37,1,0))</f>
        <v/>
      </c>
      <c r="E37" s="20" t="str">
        <f>IF(coder1_YH!K36="","",IF(coder1_YH!K36=coder2_NY_MT!E37,1,0))</f>
        <v/>
      </c>
      <c r="F37" s="20" t="str">
        <f>IF(coder1_YH!L36="","",IF(coder1_YH!L36=coder2_NY_MT!F37,1,0))</f>
        <v/>
      </c>
      <c r="G37" s="20" t="str">
        <f>IF(coder1_YH!M36="","",IF(coder1_YH!M36=coder2_NY_MT!G37,1,0))</f>
        <v/>
      </c>
      <c r="H37" s="20">
        <f>IF(coder1_YH!P36="","",IF(RIGHT(coder1_YH!P36,3)=RIGHT(coder2_NY_MT!J37,3),1,0))</f>
        <v>0</v>
      </c>
      <c r="I37" s="20">
        <f>IF(H37="","",IF(OR(coder2_NY_MT!K37="", coder1_YH!Q36 = ""),0,1))</f>
        <v>1</v>
      </c>
      <c r="J37" s="20">
        <f>IF(coder1_YH!R36="","",IF(coder1_YH!R36=coder2_NY_MT!L37,1,0))</f>
        <v>1</v>
      </c>
      <c r="K37" s="20">
        <f>IF(coder1_YH!S36="","",IF(coder1_YH!S36=coder2_NY_MT!M37,1,0))</f>
        <v>1</v>
      </c>
      <c r="L37" s="20">
        <f>IF(coder1_YH!T36="","",IF(coder1_YH!T36=coder2_NY_MT!N37,1,0))</f>
        <v>1</v>
      </c>
      <c r="M37" s="20">
        <f>IF(coder1_YH!U36="","",IF(coder1_YH!U36=coder2_NY_MT!O37,1,0))</f>
        <v>1</v>
      </c>
      <c r="N37" s="20">
        <f>IF(coder1_YH!V36="","",IF(coder1_YH!V36=coder2_NY_MT!P37,1,0))</f>
        <v>1</v>
      </c>
      <c r="O37" s="20">
        <f>IF(coder1_YH!W36="","",IF(coder1_YH!W36=coder2_NY_MT!Q37,1,0))</f>
        <v>1</v>
      </c>
      <c r="P37" s="20">
        <f>IF(coder1_YH!X36="","",IF(coder1_YH!X36=coder2_NY_MT!R37,1,0))</f>
        <v>1</v>
      </c>
      <c r="Q37" s="20">
        <f>IF(coder1_YH!Y36="","",IF(coder1_YH!Y36=coder2_NY_MT!S37,1,0))</f>
        <v>1</v>
      </c>
      <c r="R37" s="20">
        <f>IF(coder1_YH!Z36="","",IF(coder1_YH!Z36=coder2_NY_MT!T37,1,0))</f>
        <v>1</v>
      </c>
      <c r="S37" s="20">
        <f>IF(R37="","",IF(OR(coder2_NY_MT!U37="", coder1_YH!AA36 = ""),0,1))</f>
        <v>1</v>
      </c>
      <c r="T37" s="20">
        <f>IF(coder1_YH!AB36="","",IF(coder1_YH!AB36=coder2_NY_MT!V37,1,0))</f>
        <v>1</v>
      </c>
      <c r="U37" s="20">
        <f>IF(coder1_YH!AC36="","",IF(coder1_YH!AC36=coder2_NY_MT!W37,1,0))</f>
        <v>1</v>
      </c>
      <c r="V37" s="20">
        <f>IF(coder1_YH!AD36="","",IF(coder1_YH!AD36=coder2_NY_MT!X37,1,0))</f>
        <v>1</v>
      </c>
      <c r="W37" s="20">
        <f>IF(coder1_YH!AE36="","",IF(coder1_YH!AE36=coder2_NY_MT!Y37,1,0))</f>
        <v>1</v>
      </c>
      <c r="X37" s="20">
        <f>IF(coder1_YH!AF36="","",IF(coder1_YH!AF36=coder2_NY_MT!Z37,1,0))</f>
        <v>1</v>
      </c>
      <c r="Z37" s="20">
        <f>IF(coder1_YH!AH36="","",IF(coder1_YH!AH36=coder2_NY_MT!AB37,1,0))</f>
        <v>1</v>
      </c>
      <c r="AA37" s="20">
        <f>IF(coder1_YH!AI36="","",IF(coder1_YH!AI36=coder2_NY_MT!AC37,1,0))</f>
        <v>1</v>
      </c>
      <c r="AB37" s="20">
        <f>IF(OR(coder2_NY_MT!AD37="", coder1_YH!AJ36 = ""),0,1)</f>
        <v>1</v>
      </c>
      <c r="AC37" s="20">
        <f>IF(coder1_YH!AK36="","",IF(coder1_YH!AK36=coder2_NY_MT!AE37,1,0))</f>
        <v>1</v>
      </c>
      <c r="AD37" s="20">
        <f>IF(coder1_YH!AL36="","",IF(coder1_YH!AL36=coder2_NY_MT!AF37,1,0))</f>
        <v>0</v>
      </c>
      <c r="AF37" s="20">
        <f>IF(coder1_YH!AN36="","",IF(coder1_YH!AN36=coder2_NY_MT!AH37,1,0))</f>
        <v>1</v>
      </c>
      <c r="AG37" s="20">
        <f>IF(coder1_YH!AO36="","",IF(coder1_YH!AO36=coder2_NY_MT!AI37,1,0))</f>
        <v>1</v>
      </c>
      <c r="AH37" s="20">
        <f>IF(coder1_YH!AP36="","",IF(coder1_YH!AP36=coder2_NY_MT!AJ37,1,0))</f>
        <v>1</v>
      </c>
      <c r="AI37" s="20">
        <f>IF(coder1_YH!AQ36="","",IF(coder1_YH!AQ36=coder2_NY_MT!AK37,1,0))</f>
        <v>1</v>
      </c>
      <c r="AJ37" s="20">
        <f>IF(coder1_YH!AR36="","",IF(coder1_YH!AR36=coder2_NY_MT!AL37,1,0))</f>
        <v>1</v>
      </c>
      <c r="AK37" s="20">
        <f>IF(coder1_YH!AS36="","",IF(coder1_YH!AS36=coder2_NY_MT!AM37,1,0))</f>
        <v>1</v>
      </c>
      <c r="AL37" s="20">
        <f>IF(coder1_YH!AZ36=coder2_NY_MT!AT37, 1, 0)</f>
        <v>1</v>
      </c>
      <c r="AM37" s="20">
        <f>IF(coder1_YH!BA36=coder2_NY_MT!AU37, 1, 0)</f>
        <v>0</v>
      </c>
      <c r="AN37" s="2"/>
    </row>
    <row r="38" spans="1:40" s="20" customFormat="1" ht="17" hidden="1" customHeight="1" x14ac:dyDescent="0.2">
      <c r="A38" s="20">
        <f>IF(coder1_YH!G37="","",IF(coder1_YH!G37=coder2_NY_MT!A38,1,0))</f>
        <v>0</v>
      </c>
      <c r="B38" s="20">
        <f>IF(coder1_YH!H37="","",IF(RIGHT(coder1_YH!H37,2)=RIGHT(coder2_NY_MT!B38,2),1,0))</f>
        <v>0</v>
      </c>
      <c r="C38" s="20">
        <f>IF(coder1_YH!I37="","",IF(coder1_YH!I37=coder2_NY_MT!C38,1,0))</f>
        <v>0</v>
      </c>
      <c r="E38" s="20">
        <f>IF(coder1_YH!K37="","",IF(coder1_YH!K37=coder2_NY_MT!E38,1,0))</f>
        <v>0</v>
      </c>
      <c r="F38" s="20">
        <f>IF(coder1_YH!L37="","",IF(coder1_YH!L37=coder2_NY_MT!F38,1,0))</f>
        <v>0</v>
      </c>
      <c r="G38" s="20">
        <f>IF(coder1_YH!M37="","",IF(coder1_YH!M37=coder2_NY_MT!G38,1,0))</f>
        <v>0</v>
      </c>
      <c r="H38" s="20">
        <f>IF(coder1_YH!P37="","",IF(RIGHT(coder1_YH!P37,3)=RIGHT(coder2_NY_MT!J38,3),1,0))</f>
        <v>0</v>
      </c>
      <c r="I38" s="20">
        <f>IF(H38="","",IF(OR(coder2_NY_MT!K38="", coder1_YH!Q37 = ""),0,1))</f>
        <v>1</v>
      </c>
      <c r="J38" s="20">
        <f>IF(coder1_YH!R37="","",IF(coder1_YH!R37=coder2_NY_MT!L38,1,0))</f>
        <v>1</v>
      </c>
      <c r="K38" s="20">
        <f>IF(coder1_YH!S37="","",IF(coder1_YH!S37=coder2_NY_MT!M38,1,0))</f>
        <v>1</v>
      </c>
      <c r="L38" s="20">
        <f>IF(coder1_YH!T37="","",IF(coder1_YH!T37=coder2_NY_MT!N38,1,0))</f>
        <v>1</v>
      </c>
      <c r="M38" s="20">
        <f>IF(coder1_YH!U37="","",IF(coder1_YH!U37=coder2_NY_MT!O38,1,0))</f>
        <v>1</v>
      </c>
      <c r="N38" s="20">
        <f>IF(coder1_YH!V37="","",IF(coder1_YH!V37=coder2_NY_MT!P38,1,0))</f>
        <v>1</v>
      </c>
      <c r="O38" s="20">
        <f>IF(coder1_YH!W37="","",IF(coder1_YH!W37=coder2_NY_MT!Q38,1,0))</f>
        <v>1</v>
      </c>
      <c r="P38" s="20">
        <f>IF(coder1_YH!X37="","",IF(coder1_YH!X37=coder2_NY_MT!R38,1,0))</f>
        <v>1</v>
      </c>
      <c r="Q38" s="20">
        <f>IF(coder1_YH!Y37="","",IF(coder1_YH!Y37=coder2_NY_MT!S38,1,0))</f>
        <v>1</v>
      </c>
      <c r="R38" s="20">
        <f>IF(coder1_YH!Z37="","",IF(coder1_YH!Z37=coder2_NY_MT!T38,1,0))</f>
        <v>1</v>
      </c>
      <c r="S38" s="20">
        <f>IF(R38="","",IF(OR(coder2_NY_MT!U38="", coder1_YH!AA37 = ""),0,1))</f>
        <v>1</v>
      </c>
      <c r="T38" s="20">
        <f>IF(coder1_YH!AB37="","",IF(coder1_YH!AB37=coder2_NY_MT!V38,1,0))</f>
        <v>1</v>
      </c>
      <c r="U38" s="20">
        <f>IF(coder1_YH!AC37="","",IF(coder1_YH!AC37=coder2_NY_MT!W38,1,0))</f>
        <v>1</v>
      </c>
      <c r="V38" s="20">
        <f>IF(coder1_YH!AD37="","",IF(coder1_YH!AD37=coder2_NY_MT!X38,1,0))</f>
        <v>1</v>
      </c>
      <c r="W38" s="20">
        <f>IF(coder1_YH!AE37="","",IF(coder1_YH!AE37=coder2_NY_MT!Y38,1,0))</f>
        <v>1</v>
      </c>
      <c r="X38" s="20">
        <f>IF(coder1_YH!AF37="","",IF(coder1_YH!AF37=coder2_NY_MT!Z38,1,0))</f>
        <v>1</v>
      </c>
      <c r="Z38" s="20">
        <f>IF(coder1_YH!AH37="","",IF(coder1_YH!AH37=coder2_NY_MT!AB38,1,0))</f>
        <v>1</v>
      </c>
      <c r="AA38" s="20">
        <f>IF(coder1_YH!AI37="","",IF(coder1_YH!AI37=coder2_NY_MT!AC38,1,0))</f>
        <v>1</v>
      </c>
      <c r="AB38" s="20">
        <f>IF(OR(coder2_NY_MT!AD38="", coder1_YH!AJ37 = ""),0,1)</f>
        <v>1</v>
      </c>
      <c r="AC38" s="20">
        <f>IF(coder1_YH!AK37="","",IF(coder1_YH!AK37=coder2_NY_MT!AE38,1,0))</f>
        <v>1</v>
      </c>
      <c r="AD38" s="20">
        <f>IF(coder1_YH!AL37="","",IF(coder1_YH!AL37=coder2_NY_MT!AF38,1,0))</f>
        <v>0</v>
      </c>
      <c r="AF38" s="20">
        <f>IF(coder1_YH!AN37="","",IF(coder1_YH!AN37=coder2_NY_MT!AH38,1,0))</f>
        <v>1</v>
      </c>
      <c r="AG38" s="20">
        <f>IF(coder1_YH!AO37="","",IF(coder1_YH!AO37=coder2_NY_MT!AI38,1,0))</f>
        <v>1</v>
      </c>
      <c r="AH38" s="20">
        <f>IF(coder1_YH!AP37="","",IF(coder1_YH!AP37=coder2_NY_MT!AJ38,1,0))</f>
        <v>1</v>
      </c>
      <c r="AI38" s="20">
        <f>IF(coder1_YH!AQ37="","",IF(coder1_YH!AQ37=coder2_NY_MT!AK38,1,0))</f>
        <v>1</v>
      </c>
      <c r="AJ38" s="20">
        <f>IF(coder1_YH!AR37="","",IF(coder1_YH!AR37=coder2_NY_MT!AL38,1,0))</f>
        <v>1</v>
      </c>
      <c r="AK38" s="20">
        <f>IF(coder1_YH!AS37="","",IF(coder1_YH!AS37=coder2_NY_MT!AM38,1,0))</f>
        <v>1</v>
      </c>
      <c r="AL38" s="20">
        <f>IF(coder1_YH!AZ37=coder2_NY_MT!AT38, 1, 0)</f>
        <v>1</v>
      </c>
      <c r="AM38" s="20">
        <f>IF(coder1_YH!BA37=coder2_NY_MT!AU38, 1, 0)</f>
        <v>1</v>
      </c>
      <c r="AN38" s="2"/>
    </row>
    <row r="39" spans="1:40" s="20" customFormat="1" ht="17" hidden="1" customHeight="1" x14ac:dyDescent="0.2">
      <c r="A39" s="20" t="str">
        <f>IF(coder1_YH!G38="","",IF(coder1_YH!G38=coder2_NY_MT!A39,1,0))</f>
        <v/>
      </c>
      <c r="B39" s="20" t="str">
        <f>IF(coder1_YH!H38="","",IF(RIGHT(coder1_YH!H38,2)=RIGHT(coder2_NY_MT!B39,2),1,0))</f>
        <v/>
      </c>
      <c r="C39" s="20" t="str">
        <f>IF(coder1_YH!I38="","",IF(coder1_YH!I38=coder2_NY_MT!C39,1,0))</f>
        <v/>
      </c>
      <c r="E39" s="20" t="str">
        <f>IF(coder1_YH!K38="","",IF(coder1_YH!K38=coder2_NY_MT!E39,1,0))</f>
        <v/>
      </c>
      <c r="F39" s="20" t="str">
        <f>IF(coder1_YH!L38="","",IF(coder1_YH!L38=coder2_NY_MT!F39,1,0))</f>
        <v/>
      </c>
      <c r="G39" s="20" t="str">
        <f>IF(coder1_YH!M38="","",IF(coder1_YH!M38=coder2_NY_MT!G39,1,0))</f>
        <v/>
      </c>
      <c r="H39" s="20">
        <f>IF(coder1_YH!P38="","",IF(RIGHT(coder1_YH!P38,3)=RIGHT(coder2_NY_MT!J39,3),1,0))</f>
        <v>0</v>
      </c>
      <c r="I39" s="20">
        <f>IF(H39="","",IF(OR(coder2_NY_MT!K39="", coder1_YH!Q38 = ""),0,1))</f>
        <v>1</v>
      </c>
      <c r="J39" s="20">
        <f>IF(coder1_YH!R38="","",IF(coder1_YH!R38=coder2_NY_MT!L39,1,0))</f>
        <v>1</v>
      </c>
      <c r="K39" s="20">
        <f>IF(coder1_YH!S38="","",IF(coder1_YH!S38=coder2_NY_MT!M39,1,0))</f>
        <v>1</v>
      </c>
      <c r="L39" s="20">
        <f>IF(coder1_YH!T38="","",IF(coder1_YH!T38=coder2_NY_MT!N39,1,0))</f>
        <v>1</v>
      </c>
      <c r="M39" s="20">
        <f>IF(coder1_YH!U38="","",IF(coder1_YH!U38=coder2_NY_MT!O39,1,0))</f>
        <v>1</v>
      </c>
      <c r="N39" s="20">
        <f>IF(coder1_YH!V38="","",IF(coder1_YH!V38=coder2_NY_MT!P39,1,0))</f>
        <v>1</v>
      </c>
      <c r="O39" s="20">
        <f>IF(coder1_YH!W38="","",IF(coder1_YH!W38=coder2_NY_MT!Q39,1,0))</f>
        <v>1</v>
      </c>
      <c r="P39" s="20">
        <f>IF(coder1_YH!X38="","",IF(coder1_YH!X38=coder2_NY_MT!R39,1,0))</f>
        <v>1</v>
      </c>
      <c r="Q39" s="20">
        <f>IF(coder1_YH!Y38="","",IF(coder1_YH!Y38=coder2_NY_MT!S39,1,0))</f>
        <v>1</v>
      </c>
      <c r="R39" s="20">
        <f>IF(coder1_YH!Z38="","",IF(coder1_YH!Z38=coder2_NY_MT!T39,1,0))</f>
        <v>1</v>
      </c>
      <c r="S39" s="20">
        <f>IF(R39="","",IF(OR(coder2_NY_MT!U39="", coder1_YH!AA38 = ""),0,1))</f>
        <v>1</v>
      </c>
      <c r="T39" s="20">
        <f>IF(coder1_YH!AB38="","",IF(coder1_YH!AB38=coder2_NY_MT!V39,1,0))</f>
        <v>1</v>
      </c>
      <c r="U39" s="20">
        <f>IF(coder1_YH!AC38="","",IF(coder1_YH!AC38=coder2_NY_MT!W39,1,0))</f>
        <v>1</v>
      </c>
      <c r="V39" s="20">
        <f>IF(coder1_YH!AD38="","",IF(coder1_YH!AD38=coder2_NY_MT!X39,1,0))</f>
        <v>1</v>
      </c>
      <c r="W39" s="20">
        <f>IF(coder1_YH!AE38="","",IF(coder1_YH!AE38=coder2_NY_MT!Y39,1,0))</f>
        <v>1</v>
      </c>
      <c r="X39" s="20">
        <f>IF(coder1_YH!AF38="","",IF(coder1_YH!AF38=coder2_NY_MT!Z39,1,0))</f>
        <v>1</v>
      </c>
      <c r="Z39" s="20">
        <f>IF(coder1_YH!AH38="","",IF(coder1_YH!AH38=coder2_NY_MT!AB39,1,0))</f>
        <v>1</v>
      </c>
      <c r="AA39" s="20">
        <f>IF(coder1_YH!AI38="","",IF(coder1_YH!AI38=coder2_NY_MT!AC39,1,0))</f>
        <v>1</v>
      </c>
      <c r="AB39" s="20">
        <f>IF(OR(coder2_NY_MT!AD39="", coder1_YH!AJ38 = ""),0,1)</f>
        <v>1</v>
      </c>
      <c r="AC39" s="20">
        <f>IF(coder1_YH!AK38="","",IF(coder1_YH!AK38=coder2_NY_MT!AE39,1,0))</f>
        <v>1</v>
      </c>
      <c r="AD39" s="20">
        <f>IF(coder1_YH!AL38="","",IF(coder1_YH!AL38=coder2_NY_MT!AF39,1,0))</f>
        <v>0</v>
      </c>
      <c r="AF39" s="20">
        <f>IF(coder1_YH!AN38="","",IF(coder1_YH!AN38=coder2_NY_MT!AH39,1,0))</f>
        <v>1</v>
      </c>
      <c r="AG39" s="20">
        <f>IF(coder1_YH!AO38="","",IF(coder1_YH!AO38=coder2_NY_MT!AI39,1,0))</f>
        <v>1</v>
      </c>
      <c r="AH39" s="20">
        <f>IF(coder1_YH!AP38="","",IF(coder1_YH!AP38=coder2_NY_MT!AJ39,1,0))</f>
        <v>1</v>
      </c>
      <c r="AI39" s="20">
        <f>IF(coder1_YH!AQ38="","",IF(coder1_YH!AQ38=coder2_NY_MT!AK39,1,0))</f>
        <v>1</v>
      </c>
      <c r="AJ39" s="20">
        <f>IF(coder1_YH!AR38="","",IF(coder1_YH!AR38=coder2_NY_MT!AL39,1,0))</f>
        <v>1</v>
      </c>
      <c r="AK39" s="20">
        <f>IF(coder1_YH!AS38="","",IF(coder1_YH!AS38=coder2_NY_MT!AM39,1,0))</f>
        <v>1</v>
      </c>
      <c r="AL39" s="20">
        <f>IF(coder1_YH!AZ38=coder2_NY_MT!AT39, 1, 0)</f>
        <v>1</v>
      </c>
      <c r="AM39" s="20">
        <f>IF(coder1_YH!BA38=coder2_NY_MT!AU39, 1, 0)</f>
        <v>1</v>
      </c>
      <c r="AN39" s="2"/>
    </row>
    <row r="40" spans="1:40" s="20" customFormat="1" ht="17" hidden="1" customHeight="1" x14ac:dyDescent="0.2">
      <c r="A40" s="20">
        <f>IF(coder1_YH!G39="","",IF(coder1_YH!G39=coder2_NY_MT!A40,1,0))</f>
        <v>1</v>
      </c>
      <c r="B40" s="20">
        <f>IF(coder1_YH!H39="","",IF(RIGHT(coder1_YH!H39,2)=RIGHT(coder2_NY_MT!B40,2),1,0))</f>
        <v>1</v>
      </c>
      <c r="C40" s="20">
        <f>IF(coder1_YH!I39="","",IF(coder1_YH!I39=coder2_NY_MT!C40,1,0))</f>
        <v>1</v>
      </c>
      <c r="E40" s="20">
        <f>IF(coder1_YH!K39="","",IF(coder1_YH!K39=coder2_NY_MT!E40,1,0))</f>
        <v>1</v>
      </c>
      <c r="F40" s="20">
        <f>IF(coder1_YH!L39="","",IF(coder1_YH!L39=coder2_NY_MT!F40,1,0))</f>
        <v>1</v>
      </c>
      <c r="G40" s="20">
        <f>IF(coder1_YH!M39="","",IF(coder1_YH!M39=coder2_NY_MT!G40,1,0))</f>
        <v>1</v>
      </c>
      <c r="H40" s="20">
        <f>IF(coder1_YH!P39="","",IF(RIGHT(coder1_YH!P39,3)=RIGHT(coder2_NY_MT!J40,3),1,0))</f>
        <v>0</v>
      </c>
      <c r="I40" s="20">
        <f>IF(H40="","",IF(OR(coder2_NY_MT!K40="", coder1_YH!Q39 = ""),0,1))</f>
        <v>1</v>
      </c>
      <c r="J40" s="20">
        <f>IF(coder1_YH!R39="","",IF(coder1_YH!R39=coder2_NY_MT!L40,1,0))</f>
        <v>1</v>
      </c>
      <c r="K40" s="20">
        <f>IF(coder1_YH!S39="","",IF(coder1_YH!S39=coder2_NY_MT!M40,1,0))</f>
        <v>1</v>
      </c>
      <c r="L40" s="20">
        <f>IF(coder1_YH!T39="","",IF(coder1_YH!T39=coder2_NY_MT!N40,1,0))</f>
        <v>1</v>
      </c>
      <c r="M40" s="20">
        <f>IF(coder1_YH!U39="","",IF(coder1_YH!U39=coder2_NY_MT!O40,1,0))</f>
        <v>1</v>
      </c>
      <c r="N40" s="20">
        <f>IF(coder1_YH!V39="","",IF(coder1_YH!V39=coder2_NY_MT!P40,1,0))</f>
        <v>1</v>
      </c>
      <c r="O40" s="20">
        <f>IF(coder1_YH!W39="","",IF(coder1_YH!W39=coder2_NY_MT!Q40,1,0))</f>
        <v>1</v>
      </c>
      <c r="P40" s="20">
        <f>IF(coder1_YH!X39="","",IF(coder1_YH!X39=coder2_NY_MT!R40,1,0))</f>
        <v>1</v>
      </c>
      <c r="Q40" s="20">
        <f>IF(coder1_YH!Y39="","",IF(coder1_YH!Y39=coder2_NY_MT!S40,1,0))</f>
        <v>1</v>
      </c>
      <c r="R40" s="20">
        <f>IF(coder1_YH!Z39="","",IF(coder1_YH!Z39=coder2_NY_MT!T40,1,0))</f>
        <v>1</v>
      </c>
      <c r="S40" s="20">
        <f>IF(R40="","",IF(OR(coder2_NY_MT!U40="", coder1_YH!AA39 = ""),0,1))</f>
        <v>1</v>
      </c>
      <c r="T40" s="20">
        <f>IF(coder1_YH!AB39="","",IF(coder1_YH!AB39=coder2_NY_MT!V40,1,0))</f>
        <v>1</v>
      </c>
      <c r="U40" s="20">
        <f>IF(coder1_YH!AC39="","",IF(coder1_YH!AC39=coder2_NY_MT!W40,1,0))</f>
        <v>1</v>
      </c>
      <c r="V40" s="20">
        <f>IF(coder1_YH!AD39="","",IF(coder1_YH!AD39=coder2_NY_MT!X40,1,0))</f>
        <v>1</v>
      </c>
      <c r="W40" s="20">
        <f>IF(coder1_YH!AE39="","",IF(coder1_YH!AE39=coder2_NY_MT!Y40,1,0))</f>
        <v>1</v>
      </c>
      <c r="X40" s="20">
        <f>IF(coder1_YH!AF39="","",IF(coder1_YH!AF39=coder2_NY_MT!Z40,1,0))</f>
        <v>1</v>
      </c>
      <c r="Z40" s="20">
        <f>IF(coder1_YH!AH39="","",IF(coder1_YH!AH39=coder2_NY_MT!AB40,1,0))</f>
        <v>1</v>
      </c>
      <c r="AA40" s="20">
        <f>IF(coder1_YH!AI39="","",IF(coder1_YH!AI39=coder2_NY_MT!AC40,1,0))</f>
        <v>1</v>
      </c>
      <c r="AB40" s="20">
        <f>IF(OR(coder2_NY_MT!AD41="", coder1_YH!AJ39 = ""),0,1)</f>
        <v>1</v>
      </c>
      <c r="AC40" s="20">
        <f>IF(coder1_YH!AK39="","",IF(coder1_YH!AK39=coder2_NY_MT!AE40,1,0))</f>
        <v>1</v>
      </c>
      <c r="AD40" s="20">
        <f>IF(coder1_YH!AL39="","",IF(coder1_YH!AL39=coder2_NY_MT!AF40,1,0))</f>
        <v>0</v>
      </c>
      <c r="AF40" s="20">
        <f>IF(coder1_YH!AN39="","",IF(coder1_YH!AN39=coder2_NY_MT!AH40,1,0))</f>
        <v>1</v>
      </c>
      <c r="AG40" s="20">
        <f>IF(coder1_YH!AO39="","",IF(coder1_YH!AO39=coder2_NY_MT!AI40,1,0))</f>
        <v>1</v>
      </c>
      <c r="AH40" s="62">
        <v>1</v>
      </c>
      <c r="AI40" s="20">
        <f>IF(coder1_YH!AQ39="","",IF(coder1_YH!AQ39=coder2_NY_MT!AK40,1,0))</f>
        <v>1</v>
      </c>
      <c r="AJ40" s="20">
        <f>IF(coder1_YH!AR39="","",IF(coder1_YH!AR39=coder2_NY_MT!AL40,1,0))</f>
        <v>1</v>
      </c>
      <c r="AK40" s="62">
        <v>1</v>
      </c>
      <c r="AL40" s="20">
        <f>IF(coder1_YH!AZ39=coder2_NY_MT!AT40, 1, 0)</f>
        <v>1</v>
      </c>
      <c r="AM40" s="20">
        <f>IF(coder1_YH!BA39=coder2_NY_MT!AU41, 1, 0)</f>
        <v>1</v>
      </c>
      <c r="AN40" s="2"/>
    </row>
    <row r="41" spans="1:40" s="20" customFormat="1" ht="17" hidden="1" customHeight="1" x14ac:dyDescent="0.2">
      <c r="A41" s="20" t="str">
        <f>IF(coder1_YH!G40="","",IF(coder1_YH!G40=coder2_NY_MT!A41,1,0))</f>
        <v/>
      </c>
      <c r="B41" s="20" t="str">
        <f>IF(coder1_YH!H40="","",IF(RIGHT(coder1_YH!H40,2)=RIGHT(coder2_NY_MT!B41,2),1,0))</f>
        <v/>
      </c>
      <c r="C41" s="20" t="str">
        <f>IF(coder1_YH!I40="","",IF(coder1_YH!I40=coder2_NY_MT!C41,1,0))</f>
        <v/>
      </c>
      <c r="E41" s="20" t="str">
        <f>IF(coder1_YH!K40="","",IF(coder1_YH!K40=coder2_NY_MT!E41,1,0))</f>
        <v/>
      </c>
      <c r="F41" s="20" t="str">
        <f>IF(coder1_YH!L40="","",IF(coder1_YH!L40=coder2_NY_MT!F41,1,0))</f>
        <v/>
      </c>
      <c r="G41" s="20" t="str">
        <f>IF(coder1_YH!M40="","",IF(coder1_YH!M40=coder2_NY_MT!G41,1,0))</f>
        <v/>
      </c>
      <c r="H41" s="20" t="str">
        <f>IF(coder1_YH!P40="","",IF(RIGHT(coder1_YH!P40,3)=RIGHT(coder2_NY_MT!J41,3),1,0))</f>
        <v/>
      </c>
      <c r="I41" s="20" t="str">
        <f>IF(H41="","",IF(OR(coder2_NY_MT!K41="", coder1_YH!Q40 = ""),0,1))</f>
        <v/>
      </c>
      <c r="J41" s="20" t="str">
        <f>IF(coder1_YH!R40="","",IF(coder1_YH!R40=coder2_NY_MT!L41,1,0))</f>
        <v/>
      </c>
      <c r="K41" s="20" t="str">
        <f>IF(coder1_YH!S40="","",IF(coder1_YH!S40=coder2_NY_MT!M41,1,0))</f>
        <v/>
      </c>
      <c r="L41" s="20" t="str">
        <f>IF(coder1_YH!T40="","",IF(coder1_YH!T40=coder2_NY_MT!N41,1,0))</f>
        <v/>
      </c>
      <c r="M41" s="20" t="str">
        <f>IF(coder1_YH!U40="","",IF(coder1_YH!U40=coder2_NY_MT!O41,1,0))</f>
        <v/>
      </c>
      <c r="N41" s="20" t="str">
        <f>IF(coder1_YH!V40="","",IF(coder1_YH!V40=coder2_NY_MT!P41,1,0))</f>
        <v/>
      </c>
      <c r="O41" s="20" t="str">
        <f>IF(coder1_YH!W40="","",IF(coder1_YH!W40=coder2_NY_MT!Q41,1,0))</f>
        <v/>
      </c>
      <c r="P41" s="20" t="str">
        <f>IF(coder1_YH!X40="","",IF(coder1_YH!X40=coder2_NY_MT!R41,1,0))</f>
        <v/>
      </c>
      <c r="Q41" s="20" t="str">
        <f>IF(coder1_YH!Y40="","",IF(coder1_YH!Y40=coder2_NY_MT!S41,1,0))</f>
        <v/>
      </c>
      <c r="R41" s="20" t="str">
        <f>IF(coder1_YH!Z40="","",IF(coder1_YH!Z40=coder2_NY_MT!T41,1,0))</f>
        <v/>
      </c>
      <c r="S41" s="20" t="str">
        <f>IF(R41="","",IF(OR(coder2_NY_MT!U41="", coder1_YH!AA40 = ""),0,1))</f>
        <v/>
      </c>
      <c r="T41" s="20" t="str">
        <f>IF(coder1_YH!AB40="","",IF(coder1_YH!AB40=coder2_NY_MT!V41,1,0))</f>
        <v/>
      </c>
      <c r="U41" s="20" t="str">
        <f>IF(coder1_YH!AC40="","",IF(coder1_YH!AC40=coder2_NY_MT!W41,1,0))</f>
        <v/>
      </c>
      <c r="V41" s="20" t="str">
        <f>IF(coder1_YH!AD40="","",IF(coder1_YH!AD40=coder2_NY_MT!X41,1,0))</f>
        <v/>
      </c>
      <c r="W41" s="20" t="str">
        <f>IF(coder1_YH!AE40="","",IF(coder1_YH!AE40=coder2_NY_MT!Y41,1,0))</f>
        <v/>
      </c>
      <c r="X41" s="20" t="str">
        <f>IF(coder1_YH!AF40="","",IF(coder1_YH!AF40=coder2_NY_MT!Z41,1,0))</f>
        <v/>
      </c>
      <c r="Z41" s="20" t="str">
        <f>IF(coder1_YH!AH40="","",IF(coder1_YH!AH40=coder2_NY_MT!AB41,1,0))</f>
        <v/>
      </c>
      <c r="AA41" s="20" t="str">
        <f>IF(coder1_YH!AI40="","",IF(coder1_YH!AI40=coder2_NY_MT!AC41,1,0))</f>
        <v/>
      </c>
      <c r="AB41" s="20">
        <f>IF(OR(coder2_NY_MT!AD40="", coder1_YH!AJ40 = ""),0,1)</f>
        <v>1</v>
      </c>
      <c r="AC41" s="20">
        <f>IF(coder1_YH!AK40="","",IF(coder1_YH!AK40=coder2_NY_MT!AE41,1,0))</f>
        <v>1</v>
      </c>
      <c r="AD41" s="62">
        <v>1</v>
      </c>
      <c r="AE41" s="62"/>
      <c r="AF41" s="20">
        <f>IF(coder1_YH!AN40="","",IF(coder1_YH!AN40=coder2_NY_MT!AH41,1,0))</f>
        <v>1</v>
      </c>
      <c r="AG41" s="20">
        <f>IF(coder1_YH!AO40="","",IF(coder1_YH!AO40=coder2_NY_MT!AI41,1,0))</f>
        <v>1</v>
      </c>
      <c r="AH41" s="62">
        <v>1</v>
      </c>
      <c r="AI41" s="20">
        <f>IF(coder1_YH!AQ40="","",IF(coder1_YH!AQ40=coder2_NY_MT!AK41,1,0))</f>
        <v>1</v>
      </c>
      <c r="AJ41" s="20">
        <f>IF(coder1_YH!AR40="","",IF(coder1_YH!AR40=coder2_NY_MT!AL41,1,0))</f>
        <v>1</v>
      </c>
      <c r="AK41" s="62">
        <v>1</v>
      </c>
      <c r="AL41" s="20">
        <f>IF(coder1_YH!AZ40=coder2_NY_MT!AT41, 1, 0)</f>
        <v>1</v>
      </c>
      <c r="AM41" s="20">
        <f>IF(coder1_YH!BA40=coder2_NY_MT!AU40, 1, 0)</f>
        <v>1</v>
      </c>
      <c r="AN41" s="2"/>
    </row>
    <row r="42" spans="1:40" s="20" customFormat="1" ht="17" hidden="1" customHeight="1" x14ac:dyDescent="0.2">
      <c r="A42" s="20" t="str">
        <f>IF(coder1_YH!G41="","",IF(coder1_YH!G41=coder2_NY_MT!A42,1,0))</f>
        <v/>
      </c>
      <c r="B42" s="20" t="str">
        <f>IF(coder1_YH!H41="","",IF(RIGHT(coder1_YH!H41,2)=RIGHT(coder2_NY_MT!B42,2),1,0))</f>
        <v/>
      </c>
      <c r="C42" s="20" t="str">
        <f>IF(coder1_YH!I41="","",IF(coder1_YH!I41=coder2_NY_MT!C42,1,0))</f>
        <v/>
      </c>
      <c r="E42" s="20" t="str">
        <f>IF(coder1_YH!K41="","",IF(coder1_YH!K41=coder2_NY_MT!E42,1,0))</f>
        <v/>
      </c>
      <c r="F42" s="20" t="str">
        <f>IF(coder1_YH!L41="","",IF(coder1_YH!L41=coder2_NY_MT!F42,1,0))</f>
        <v/>
      </c>
      <c r="G42" s="20" t="str">
        <f>IF(coder1_YH!M41="","",IF(coder1_YH!M41=coder2_NY_MT!G42,1,0))</f>
        <v/>
      </c>
      <c r="H42" s="20">
        <f>IF(coder1_YH!P41="","",IF(RIGHT(coder1_YH!P41,3)=RIGHT(coder2_NY_MT!J42,3),1,0))</f>
        <v>0</v>
      </c>
      <c r="I42" s="20">
        <f>IF(H42="","",IF(OR(coder2_NY_MT!K42="", coder1_YH!Q41 = ""),0,1))</f>
        <v>1</v>
      </c>
      <c r="J42" s="20">
        <f>IF(coder1_YH!R41="","",IF(coder1_YH!R41=coder2_NY_MT!L42,1,0))</f>
        <v>1</v>
      </c>
      <c r="K42" s="20">
        <f>IF(coder1_YH!S41="","",IF(coder1_YH!S41=coder2_NY_MT!M42,1,0))</f>
        <v>1</v>
      </c>
      <c r="L42" s="20">
        <f>IF(coder1_YH!T41="","",IF(coder1_YH!T41=coder2_NY_MT!N42,1,0))</f>
        <v>1</v>
      </c>
      <c r="M42" s="20">
        <f>IF(coder1_YH!U41="","",IF(coder1_YH!U41=coder2_NY_MT!O42,1,0))</f>
        <v>1</v>
      </c>
      <c r="N42" s="20">
        <f>IF(coder1_YH!V41="","",IF(coder1_YH!V41=coder2_NY_MT!P42,1,0))</f>
        <v>1</v>
      </c>
      <c r="O42" s="20">
        <f>IF(coder1_YH!W41="","",IF(coder1_YH!W41=coder2_NY_MT!Q42,1,0))</f>
        <v>1</v>
      </c>
      <c r="P42" s="20">
        <f>IF(coder1_YH!X41="","",IF(coder1_YH!X41=coder2_NY_MT!R42,1,0))</f>
        <v>1</v>
      </c>
      <c r="Q42" s="20">
        <f>IF(coder1_YH!Y41="","",IF(coder1_YH!Y41=coder2_NY_MT!S42,1,0))</f>
        <v>1</v>
      </c>
      <c r="R42" s="20">
        <f>IF(coder1_YH!Z41="","",IF(coder1_YH!Z41=coder2_NY_MT!T42,1,0))</f>
        <v>1</v>
      </c>
      <c r="S42" s="20">
        <f>IF(R42="","",IF(OR(coder2_NY_MT!U42="", coder1_YH!AA41 = ""),0,1))</f>
        <v>1</v>
      </c>
      <c r="T42" s="20">
        <f>IF(coder1_YH!AB41="","",IF(coder1_YH!AB41=coder2_NY_MT!V42,1,0))</f>
        <v>1</v>
      </c>
      <c r="U42" s="20">
        <f>IF(coder1_YH!AC41="","",IF(coder1_YH!AC41=coder2_NY_MT!W42,1,0))</f>
        <v>1</v>
      </c>
      <c r="V42" s="20">
        <f>IF(coder1_YH!AD41="","",IF(coder1_YH!AD41=coder2_NY_MT!X42,1,0))</f>
        <v>1</v>
      </c>
      <c r="W42" s="20">
        <f>IF(coder1_YH!AE41="","",IF(coder1_YH!AE41=coder2_NY_MT!Y42,1,0))</f>
        <v>1</v>
      </c>
      <c r="X42" s="20">
        <f>IF(coder1_YH!AF41="","",IF(coder1_YH!AF41=coder2_NY_MT!Z42,1,0))</f>
        <v>1</v>
      </c>
      <c r="Z42" s="20">
        <f>IF(coder1_YH!AH41="","",IF(coder1_YH!AH41=coder2_NY_MT!AB42,1,0))</f>
        <v>1</v>
      </c>
      <c r="AA42" s="20">
        <f>IF(coder1_YH!AI41="","",IF(coder1_YH!AI41=coder2_NY_MT!AC42,1,0))</f>
        <v>1</v>
      </c>
      <c r="AB42" s="20">
        <f>IF(OR(coder2_NY_MT!AD43="", coder1_YH!AJ41 = ""),0,1)</f>
        <v>1</v>
      </c>
      <c r="AC42" s="20">
        <f>IF(coder1_YH!AK41="","",IF(coder1_YH!AK41=coder2_NY_MT!AE42,1,0))</f>
        <v>1</v>
      </c>
      <c r="AD42" s="20">
        <f>IF(coder1_YH!AL41="","",IF(coder1_YH!AL41=coder2_NY_MT!AF42,1,0))</f>
        <v>0</v>
      </c>
      <c r="AF42" s="20">
        <f>IF(coder1_YH!AN41="","",IF(coder1_YH!AN41=coder2_NY_MT!AH42,1,0))</f>
        <v>1</v>
      </c>
      <c r="AG42" s="20">
        <f>IF(coder1_YH!AO41="","",IF(coder1_YH!AO41=coder2_NY_MT!AI42,1,0))</f>
        <v>1</v>
      </c>
      <c r="AH42" s="62">
        <v>1</v>
      </c>
      <c r="AI42" s="20">
        <f>IF(coder1_YH!AQ41="","",IF(coder1_YH!AQ41=coder2_NY_MT!AK42,1,0))</f>
        <v>1</v>
      </c>
      <c r="AJ42" s="20">
        <f>IF(coder1_YH!AR41="","",IF(coder1_YH!AR41=coder2_NY_MT!AL42,1,0))</f>
        <v>1</v>
      </c>
      <c r="AK42" s="62">
        <v>1</v>
      </c>
      <c r="AL42" s="20">
        <f>IF(coder1_YH!AZ41=coder2_NY_MT!AT42, 1, 0)</f>
        <v>1</v>
      </c>
      <c r="AM42" s="20">
        <f>IF(coder1_YH!BA41=coder2_NY_MT!AU43, 1, 0)</f>
        <v>1</v>
      </c>
      <c r="AN42" s="2"/>
    </row>
    <row r="43" spans="1:40" s="20" customFormat="1" ht="17" hidden="1" customHeight="1" x14ac:dyDescent="0.2">
      <c r="A43" s="20" t="str">
        <f>IF(coder1_YH!G42="","",IF(coder1_YH!G42=coder2_NY_MT!A43,1,0))</f>
        <v/>
      </c>
      <c r="B43" s="20" t="str">
        <f>IF(coder1_YH!H42="","",IF(RIGHT(coder1_YH!H42,2)=RIGHT(coder2_NY_MT!B43,2),1,0))</f>
        <v/>
      </c>
      <c r="C43" s="20" t="str">
        <f>IF(coder1_YH!I42="","",IF(coder1_YH!I42=coder2_NY_MT!C43,1,0))</f>
        <v/>
      </c>
      <c r="E43" s="20" t="str">
        <f>IF(coder1_YH!K42="","",IF(coder1_YH!K42=coder2_NY_MT!E43,1,0))</f>
        <v/>
      </c>
      <c r="F43" s="20" t="str">
        <f>IF(coder1_YH!L42="","",IF(coder1_YH!L42=coder2_NY_MT!F43,1,0))</f>
        <v/>
      </c>
      <c r="G43" s="20" t="str">
        <f>IF(coder1_YH!M42="","",IF(coder1_YH!M42=coder2_NY_MT!G43,1,0))</f>
        <v/>
      </c>
      <c r="H43" s="20" t="str">
        <f>IF(coder1_YH!P42="","",IF(RIGHT(coder1_YH!P42,3)=RIGHT(coder2_NY_MT!J43,3),1,0))</f>
        <v/>
      </c>
      <c r="I43" s="20" t="str">
        <f>IF(H43="","",IF(OR(coder2_NY_MT!K43="", coder1_YH!Q42 = ""),0,1))</f>
        <v/>
      </c>
      <c r="J43" s="20" t="str">
        <f>IF(coder1_YH!R42="","",IF(coder1_YH!R42=coder2_NY_MT!L43,1,0))</f>
        <v/>
      </c>
      <c r="K43" s="20" t="str">
        <f>IF(coder1_YH!S42="","",IF(coder1_YH!S42=coder2_NY_MT!M43,1,0))</f>
        <v/>
      </c>
      <c r="L43" s="20" t="str">
        <f>IF(coder1_YH!T42="","",IF(coder1_YH!T42=coder2_NY_MT!N43,1,0))</f>
        <v/>
      </c>
      <c r="M43" s="20" t="str">
        <f>IF(coder1_YH!U42="","",IF(coder1_YH!U42=coder2_NY_MT!O43,1,0))</f>
        <v/>
      </c>
      <c r="N43" s="20" t="str">
        <f>IF(coder1_YH!V42="","",IF(coder1_YH!V42=coder2_NY_MT!P43,1,0))</f>
        <v/>
      </c>
      <c r="O43" s="20" t="str">
        <f>IF(coder1_YH!W42="","",IF(coder1_YH!W42=coder2_NY_MT!Q43,1,0))</f>
        <v/>
      </c>
      <c r="P43" s="20" t="str">
        <f>IF(coder1_YH!X42="","",IF(coder1_YH!X42=coder2_NY_MT!R43,1,0))</f>
        <v/>
      </c>
      <c r="Q43" s="20" t="str">
        <f>IF(coder1_YH!Y42="","",IF(coder1_YH!Y42=coder2_NY_MT!S43,1,0))</f>
        <v/>
      </c>
      <c r="R43" s="20" t="str">
        <f>IF(coder1_YH!Z42="","",IF(coder1_YH!Z42=coder2_NY_MT!T43,1,0))</f>
        <v/>
      </c>
      <c r="S43" s="20" t="str">
        <f>IF(R43="","",IF(OR(coder2_NY_MT!U43="", coder1_YH!AA42 = ""),0,1))</f>
        <v/>
      </c>
      <c r="T43" s="20" t="str">
        <f>IF(coder1_YH!AB42="","",IF(coder1_YH!AB42=coder2_NY_MT!V43,1,0))</f>
        <v/>
      </c>
      <c r="U43" s="20" t="str">
        <f>IF(coder1_YH!AC42="","",IF(coder1_YH!AC42=coder2_NY_MT!W43,1,0))</f>
        <v/>
      </c>
      <c r="V43" s="20" t="str">
        <f>IF(coder1_YH!AD42="","",IF(coder1_YH!AD42=coder2_NY_MT!X43,1,0))</f>
        <v/>
      </c>
      <c r="W43" s="20" t="str">
        <f>IF(coder1_YH!AE42="","",IF(coder1_YH!AE42=coder2_NY_MT!Y43,1,0))</f>
        <v/>
      </c>
      <c r="X43" s="20" t="str">
        <f>IF(coder1_YH!AF42="","",IF(coder1_YH!AF42=coder2_NY_MT!Z43,1,0))</f>
        <v/>
      </c>
      <c r="Z43" s="20" t="str">
        <f>IF(coder1_YH!AH42="","",IF(coder1_YH!AH42=coder2_NY_MT!AB43,1,0))</f>
        <v/>
      </c>
      <c r="AA43" s="20" t="str">
        <f>IF(coder1_YH!AI42="","",IF(coder1_YH!AI42=coder2_NY_MT!AC43,1,0))</f>
        <v/>
      </c>
      <c r="AB43" s="20">
        <f>IF(OR(coder2_NY_MT!AD42="", coder1_YH!AJ42 = ""),0,1)</f>
        <v>1</v>
      </c>
      <c r="AC43" s="20">
        <f>IF(coder1_YH!AK42="","",IF(coder1_YH!AK42=coder2_NY_MT!AE43,1,0))</f>
        <v>1</v>
      </c>
      <c r="AD43" s="62">
        <v>1</v>
      </c>
      <c r="AE43" s="62"/>
      <c r="AF43" s="20">
        <f>IF(coder1_YH!AN42="","",IF(coder1_YH!AN42=coder2_NY_MT!AH43,1,0))</f>
        <v>1</v>
      </c>
      <c r="AG43" s="20">
        <f>IF(coder1_YH!AO42="","",IF(coder1_YH!AO42=coder2_NY_MT!AI43,1,0))</f>
        <v>1</v>
      </c>
      <c r="AH43" s="62">
        <v>1</v>
      </c>
      <c r="AI43" s="20">
        <f>IF(coder1_YH!AQ42="","",IF(coder1_YH!AQ42=coder2_NY_MT!AK43,1,0))</f>
        <v>1</v>
      </c>
      <c r="AJ43" s="20">
        <f>IF(coder1_YH!AR42="","",IF(coder1_YH!AR42=coder2_NY_MT!AL43,1,0))</f>
        <v>1</v>
      </c>
      <c r="AK43" s="62">
        <v>1</v>
      </c>
      <c r="AL43" s="20">
        <f>IF(coder1_YH!AZ42=coder2_NY_MT!AT43, 1, 0)</f>
        <v>1</v>
      </c>
      <c r="AM43" s="20">
        <f>IF(coder1_YH!BA42=coder2_NY_MT!AU42, 1, 0)</f>
        <v>1</v>
      </c>
      <c r="AN43" s="2"/>
    </row>
    <row r="44" spans="1:40" s="20" customFormat="1" ht="17" hidden="1" customHeight="1" x14ac:dyDescent="0.2">
      <c r="A44" s="20" t="str">
        <f>IF(coder1_YH!G43="","",IF(coder1_YH!G43=coder2_NY_MT!A44,1,0))</f>
        <v/>
      </c>
      <c r="B44" s="20" t="str">
        <f>IF(coder1_YH!H43="","",IF(RIGHT(coder1_YH!H43,2)=RIGHT(coder2_NY_MT!B44,2),1,0))</f>
        <v/>
      </c>
      <c r="C44" s="20" t="str">
        <f>IF(coder1_YH!I43="","",IF(coder1_YH!I43=coder2_NY_MT!C44,1,0))</f>
        <v/>
      </c>
      <c r="E44" s="20" t="str">
        <f>IF(coder1_YH!K43="","",IF(coder1_YH!K43=coder2_NY_MT!E44,1,0))</f>
        <v/>
      </c>
      <c r="F44" s="20" t="str">
        <f>IF(coder1_YH!L43="","",IF(coder1_YH!L43=coder2_NY_MT!F44,1,0))</f>
        <v/>
      </c>
      <c r="G44" s="20" t="str">
        <f>IF(coder1_YH!M43="","",IF(coder1_YH!M43=coder2_NY_MT!G44,1,0))</f>
        <v/>
      </c>
      <c r="H44" s="20">
        <f>IF(coder1_YH!P43="","",IF(RIGHT(coder1_YH!P43,3)=RIGHT(coder2_NY_MT!J44,3),1,0))</f>
        <v>0</v>
      </c>
      <c r="I44" s="20">
        <f>IF(H44="","",IF(OR(coder2_NY_MT!K44="", coder1_YH!Q43 = ""),0,1))</f>
        <v>1</v>
      </c>
      <c r="J44" s="20">
        <f>IF(coder1_YH!R43="","",IF(coder1_YH!R43=coder2_NY_MT!L44,1,0))</f>
        <v>1</v>
      </c>
      <c r="K44" s="20">
        <f>IF(coder1_YH!S43="","",IF(coder1_YH!S43=coder2_NY_MT!M44,1,0))</f>
        <v>1</v>
      </c>
      <c r="L44" s="20">
        <f>IF(coder1_YH!T43="","",IF(coder1_YH!T43=coder2_NY_MT!N44,1,0))</f>
        <v>1</v>
      </c>
      <c r="M44" s="20">
        <f>IF(coder1_YH!U43="","",IF(coder1_YH!U43=coder2_NY_MT!O44,1,0))</f>
        <v>1</v>
      </c>
      <c r="N44" s="20">
        <f>IF(coder1_YH!V43="","",IF(coder1_YH!V43=coder2_NY_MT!P44,1,0))</f>
        <v>1</v>
      </c>
      <c r="O44" s="20">
        <f>IF(coder1_YH!W43="","",IF(coder1_YH!W43=coder2_NY_MT!Q44,1,0))</f>
        <v>1</v>
      </c>
      <c r="P44" s="20">
        <f>IF(coder1_YH!X43="","",IF(coder1_YH!X43=coder2_NY_MT!R44,1,0))</f>
        <v>1</v>
      </c>
      <c r="Q44" s="20">
        <f>IF(coder1_YH!Y43="","",IF(coder1_YH!Y43=coder2_NY_MT!S44,1,0))</f>
        <v>1</v>
      </c>
      <c r="R44" s="20">
        <f>IF(coder1_YH!Z43="","",IF(coder1_YH!Z43=coder2_NY_MT!T44,1,0))</f>
        <v>1</v>
      </c>
      <c r="S44" s="20">
        <f>IF(R44="","",IF(OR(coder2_NY_MT!U44="", coder1_YH!AA43 = ""),0,1))</f>
        <v>1</v>
      </c>
      <c r="T44" s="20">
        <f>IF(coder1_YH!AB43="","",IF(coder1_YH!AB43=coder2_NY_MT!V44,1,0))</f>
        <v>1</v>
      </c>
      <c r="U44" s="20">
        <f>IF(coder1_YH!AC43="","",IF(coder1_YH!AC43=coder2_NY_MT!W44,1,0))</f>
        <v>1</v>
      </c>
      <c r="V44" s="20">
        <f>IF(coder1_YH!AD43="","",IF(coder1_YH!AD43=coder2_NY_MT!X44,1,0))</f>
        <v>1</v>
      </c>
      <c r="W44" s="20">
        <f>IF(coder1_YH!AE43="","",IF(coder1_YH!AE43=coder2_NY_MT!Y44,1,0))</f>
        <v>1</v>
      </c>
      <c r="X44" s="20">
        <f>IF(coder1_YH!AF43="","",IF(coder1_YH!AF43=coder2_NY_MT!Z44,1,0))</f>
        <v>1</v>
      </c>
      <c r="Z44" s="20">
        <f>IF(coder1_YH!AH43="","",IF(coder1_YH!AH43=coder2_NY_MT!AB44,1,0))</f>
        <v>1</v>
      </c>
      <c r="AA44" s="20">
        <f>IF(coder1_YH!AI43="","",IF(coder1_YH!AI43=coder2_NY_MT!AC44,1,0))</f>
        <v>1</v>
      </c>
      <c r="AB44" s="20">
        <f>IF(OR(coder2_NY_MT!AD45="", coder1_YH!AJ43 = ""),0,1)</f>
        <v>1</v>
      </c>
      <c r="AC44" s="20">
        <f>IF(coder1_YH!AK43="","",IF(coder1_YH!AK43=coder2_NY_MT!AE44,1,0))</f>
        <v>1</v>
      </c>
      <c r="AD44" s="20">
        <f>IF(coder1_YH!AL43="","",IF(coder1_YH!AL43=coder2_NY_MT!AF44,1,0))</f>
        <v>0</v>
      </c>
      <c r="AF44" s="20">
        <f>IF(coder1_YH!AN43="","",IF(coder1_YH!AN43=coder2_NY_MT!AH44,1,0))</f>
        <v>1</v>
      </c>
      <c r="AG44" s="20">
        <f>IF(coder1_YH!AO43="","",IF(coder1_YH!AO43=coder2_NY_MT!AI44,1,0))</f>
        <v>1</v>
      </c>
      <c r="AH44" s="62">
        <v>1</v>
      </c>
      <c r="AI44" s="20">
        <f>IF(coder1_YH!AQ43="","",IF(coder1_YH!AQ43=coder2_NY_MT!AK44,1,0))</f>
        <v>1</v>
      </c>
      <c r="AJ44" s="20">
        <f>IF(coder1_YH!AR43="","",IF(coder1_YH!AR43=coder2_NY_MT!AL44,1,0))</f>
        <v>1</v>
      </c>
      <c r="AK44" s="62">
        <v>1</v>
      </c>
      <c r="AL44" s="20">
        <f>IF(coder1_YH!AZ43=coder2_NY_MT!AT44, 1, 0)</f>
        <v>1</v>
      </c>
      <c r="AM44" s="20">
        <f>IF(coder1_YH!BA43=coder2_NY_MT!AU45, 1, 0)</f>
        <v>1</v>
      </c>
      <c r="AN44" s="2"/>
    </row>
    <row r="45" spans="1:40" s="21" customFormat="1" ht="17" hidden="1" customHeight="1" x14ac:dyDescent="0.2">
      <c r="A45" s="21" t="str">
        <f>IF(coder1_YH!G44="","",IF(coder1_YH!G44=coder2_NY_MT!A45,1,0))</f>
        <v/>
      </c>
      <c r="B45" s="21" t="str">
        <f>IF(coder1_YH!H44="","",IF(RIGHT(coder1_YH!H44,2)=RIGHT(coder2_NY_MT!B45,2),1,0))</f>
        <v/>
      </c>
      <c r="C45" s="21" t="str">
        <f>IF(coder1_YH!I44="","",IF(coder1_YH!I44=coder2_NY_MT!C45,1,0))</f>
        <v/>
      </c>
      <c r="E45" s="21" t="str">
        <f>IF(coder1_YH!K44="","",IF(coder1_YH!K44=coder2_NY_MT!E45,1,0))</f>
        <v/>
      </c>
      <c r="F45" s="21" t="str">
        <f>IF(coder1_YH!L44="","",IF(coder1_YH!L44=coder2_NY_MT!F45,1,0))</f>
        <v/>
      </c>
      <c r="G45" s="21" t="str">
        <f>IF(coder1_YH!M44="","",IF(coder1_YH!M44=coder2_NY_MT!G45,1,0))</f>
        <v/>
      </c>
      <c r="H45" s="21" t="str">
        <f>IF(coder1_YH!P44="","",IF(RIGHT(coder1_YH!P44,3)=RIGHT(coder2_NY_MT!J45,3),1,0))</f>
        <v/>
      </c>
      <c r="I45" s="21" t="str">
        <f>IF(H45="","",IF(OR(coder2_NY_MT!K45="", coder1_YH!Q44 = ""),0,1))</f>
        <v/>
      </c>
      <c r="J45" s="21" t="str">
        <f>IF(coder1_YH!R44="","",IF(coder1_YH!R44=coder2_NY_MT!L45,1,0))</f>
        <v/>
      </c>
      <c r="K45" s="21" t="str">
        <f>IF(coder1_YH!S44="","",IF(coder1_YH!S44=coder2_NY_MT!M45,1,0))</f>
        <v/>
      </c>
      <c r="L45" s="21" t="str">
        <f>IF(coder1_YH!T44="","",IF(coder1_YH!T44=coder2_NY_MT!N45,1,0))</f>
        <v/>
      </c>
      <c r="M45" s="21" t="str">
        <f>IF(coder1_YH!U44="","",IF(coder1_YH!U44=coder2_NY_MT!O45,1,0))</f>
        <v/>
      </c>
      <c r="N45" s="21" t="str">
        <f>IF(coder1_YH!V44="","",IF(coder1_YH!V44=coder2_NY_MT!P45,1,0))</f>
        <v/>
      </c>
      <c r="O45" s="21" t="str">
        <f>IF(coder1_YH!W44="","",IF(coder1_YH!W44=coder2_NY_MT!Q45,1,0))</f>
        <v/>
      </c>
      <c r="P45" s="21" t="str">
        <f>IF(coder1_YH!X44="","",IF(coder1_YH!X44=coder2_NY_MT!R45,1,0))</f>
        <v/>
      </c>
      <c r="Q45" s="21" t="str">
        <f>IF(coder1_YH!Y44="","",IF(coder1_YH!Y44=coder2_NY_MT!S45,1,0))</f>
        <v/>
      </c>
      <c r="R45" s="21" t="str">
        <f>IF(coder1_YH!Z44="","",IF(coder1_YH!Z44=coder2_NY_MT!T45,1,0))</f>
        <v/>
      </c>
      <c r="S45" s="21" t="str">
        <f>IF(R45="","",IF(OR(coder2_NY_MT!U45="", coder1_YH!AA44 = ""),0,1))</f>
        <v/>
      </c>
      <c r="T45" s="21" t="str">
        <f>IF(coder1_YH!AB44="","",IF(coder1_YH!AB44=coder2_NY_MT!V45,1,0))</f>
        <v/>
      </c>
      <c r="U45" s="21" t="str">
        <f>IF(coder1_YH!AC44="","",IF(coder1_YH!AC44=coder2_NY_MT!W45,1,0))</f>
        <v/>
      </c>
      <c r="V45" s="21" t="str">
        <f>IF(coder1_YH!AD44="","",IF(coder1_YH!AD44=coder2_NY_MT!X45,1,0))</f>
        <v/>
      </c>
      <c r="W45" s="21" t="str">
        <f>IF(coder1_YH!AE44="","",IF(coder1_YH!AE44=coder2_NY_MT!Y45,1,0))</f>
        <v/>
      </c>
      <c r="X45" s="21" t="str">
        <f>IF(coder1_YH!AF44="","",IF(coder1_YH!AF44=coder2_NY_MT!Z45,1,0))</f>
        <v/>
      </c>
      <c r="Z45" s="21" t="str">
        <f>IF(coder1_YH!AH44="","",IF(coder1_YH!AH44=coder2_NY_MT!AB45,1,0))</f>
        <v/>
      </c>
      <c r="AA45" s="21" t="str">
        <f>IF(coder1_YH!AI44="","",IF(coder1_YH!AI44=coder2_NY_MT!AC45,1,0))</f>
        <v/>
      </c>
      <c r="AB45" s="21">
        <f>IF(OR(coder2_NY_MT!AD44="", coder1_YH!AJ44 = ""),0,1)</f>
        <v>1</v>
      </c>
      <c r="AC45" s="21">
        <f>IF(coder1_YH!AK44="","",IF(coder1_YH!AK44=coder2_NY_MT!AE45,1,0))</f>
        <v>1</v>
      </c>
      <c r="AD45" s="64">
        <v>1</v>
      </c>
      <c r="AE45" s="64"/>
      <c r="AF45" s="21">
        <f>IF(coder1_YH!AN44="","",IF(coder1_YH!AN44=coder2_NY_MT!AH45,1,0))</f>
        <v>1</v>
      </c>
      <c r="AG45" s="21">
        <f>IF(coder1_YH!AO44="","",IF(coder1_YH!AO44=coder2_NY_MT!AI45,1,0))</f>
        <v>1</v>
      </c>
      <c r="AH45" s="64">
        <v>1</v>
      </c>
      <c r="AI45" s="21">
        <f>IF(coder1_YH!AQ44="","",IF(coder1_YH!AQ44=coder2_NY_MT!AK45,1,0))</f>
        <v>1</v>
      </c>
      <c r="AJ45" s="21">
        <f>IF(coder1_YH!AR44="","",IF(coder1_YH!AR44=coder2_NY_MT!AL45,1,0))</f>
        <v>1</v>
      </c>
      <c r="AK45" s="64">
        <v>1</v>
      </c>
      <c r="AL45" s="21">
        <f>IF(coder1_YH!AZ44=coder2_NY_MT!AT45, 1, 0)</f>
        <v>1</v>
      </c>
      <c r="AM45" s="21">
        <f>IF(coder1_YH!BA44=coder2_NY_MT!AU44, 1, 0)</f>
        <v>1</v>
      </c>
      <c r="AN45" s="28"/>
    </row>
    <row r="46" spans="1:40" s="20" customFormat="1" ht="17" hidden="1" customHeight="1" x14ac:dyDescent="0.2">
      <c r="A46" s="20">
        <f>IF(coder1_YH!G45="","",IF(coder1_YH!G45=coder2_NY_MT!A46,1,0))</f>
        <v>1</v>
      </c>
      <c r="B46" s="20">
        <f>IF(coder1_YH!H45="","",IF(RIGHT(coder1_YH!H45,2)=RIGHT(coder2_NY_MT!B46,2),1,0))</f>
        <v>1</v>
      </c>
      <c r="C46" s="20">
        <f>IF(coder1_YH!I45="","",IF(coder1_YH!I45=coder2_NY_MT!C46,1,0))</f>
        <v>1</v>
      </c>
      <c r="E46" s="20">
        <f>IF(coder1_YH!K45="","",IF(coder1_YH!K45=coder2_NY_MT!E46,1,0))</f>
        <v>1</v>
      </c>
      <c r="F46" s="20">
        <f>IF(coder1_YH!L45="","",IF(coder1_YH!L45=coder2_NY_MT!F46,1,0))</f>
        <v>1</v>
      </c>
      <c r="G46" s="20">
        <f>IF(coder1_YH!M45="","",IF(coder1_YH!M45=coder2_NY_MT!G46,1,0))</f>
        <v>1</v>
      </c>
      <c r="H46" s="20">
        <f>IF(coder1_YH!P45="","",IF(RIGHT(coder1_YH!P45,3)=RIGHT(coder2_NY_MT!J46,3),1,0))</f>
        <v>0</v>
      </c>
      <c r="I46" s="20">
        <f>IF(H46="","",IF(OR(coder2_NY_MT!K46="", coder1_YH!Q45 = ""),0,1))</f>
        <v>1</v>
      </c>
      <c r="J46" s="20">
        <f>IF(coder1_YH!R45="","",IF(coder1_YH!R45=coder2_NY_MT!L46,1,0))</f>
        <v>1</v>
      </c>
      <c r="K46" s="20">
        <f>IF(coder1_YH!S45="","",IF(coder1_YH!S45=coder2_NY_MT!M46,1,0))</f>
        <v>1</v>
      </c>
      <c r="L46" s="20">
        <f>IF(coder1_YH!T45="","",IF(coder1_YH!T45=coder2_NY_MT!N46,1,0))</f>
        <v>1</v>
      </c>
      <c r="M46" s="20">
        <f>IF(coder1_YH!U45="","",IF(coder1_YH!U45=coder2_NY_MT!O46,1,0))</f>
        <v>1</v>
      </c>
      <c r="N46" s="20">
        <f>IF(coder1_YH!V45="","",IF(coder1_YH!V45=coder2_NY_MT!P46,1,0))</f>
        <v>1</v>
      </c>
      <c r="O46" s="20">
        <f>IF(coder1_YH!W45="","",IF(coder1_YH!W45=coder2_NY_MT!Q46,1,0))</f>
        <v>1</v>
      </c>
      <c r="P46" s="20">
        <f>IF(coder1_YH!X45="","",IF(coder1_YH!X45=coder2_NY_MT!R46,1,0))</f>
        <v>1</v>
      </c>
      <c r="Q46" s="20">
        <f>IF(coder1_YH!Y45="","",IF(coder1_YH!Y45=coder2_NY_MT!S46,1,0))</f>
        <v>1</v>
      </c>
      <c r="R46" s="20">
        <f>IF(coder1_YH!Z45="","",IF(coder1_YH!Z45=coder2_NY_MT!T46,1,0))</f>
        <v>1</v>
      </c>
      <c r="S46" s="20">
        <f>IF(R46="","",IF(OR(coder2_NY_MT!U46="", coder1_YH!AA45 = ""),0,1))</f>
        <v>1</v>
      </c>
      <c r="T46" s="20">
        <f>IF(coder1_YH!AB45="","",IF(coder1_YH!AB45=coder2_NY_MT!V46,1,0))</f>
        <v>1</v>
      </c>
      <c r="U46" s="20">
        <f>IF(coder1_YH!AC45="","",IF(coder1_YH!AC45=coder2_NY_MT!W46,1,0))</f>
        <v>1</v>
      </c>
      <c r="V46" s="20">
        <f>IF(coder1_YH!AD45="","",IF(coder1_YH!AD45=coder2_NY_MT!X46,1,0))</f>
        <v>1</v>
      </c>
      <c r="W46" s="20">
        <f>IF(coder1_YH!AE45="","",IF(coder1_YH!AE45=coder2_NY_MT!Y46,1,0))</f>
        <v>1</v>
      </c>
      <c r="X46" s="20">
        <f>IF(coder1_YH!AF45="","",IF(coder1_YH!AF45=coder2_NY_MT!Z46,1,0))</f>
        <v>1</v>
      </c>
      <c r="Z46" s="20">
        <f>IF(coder1_YH!AH45="","",IF(coder1_YH!AH45=coder2_NY_MT!AB46,1,0))</f>
        <v>1</v>
      </c>
      <c r="AA46" s="20">
        <f>IF(coder1_YH!AI45="","",IF(coder1_YH!AI45=coder2_NY_MT!AC46,1,0))</f>
        <v>1</v>
      </c>
      <c r="AB46" s="20">
        <f>IF(OR(coder2_NY_MT!AD45="", coder1_YH!AJ45 = ""),0,1)</f>
        <v>1</v>
      </c>
      <c r="AC46" s="20">
        <f>IF(coder1_YH!AK45="","",IF(coder1_YH!AK45=coder2_NY_MT!AE46,1,0))</f>
        <v>1</v>
      </c>
      <c r="AD46" s="20">
        <f>IF(coder1_YH!AL45="","",IF(coder1_YH!AL45=coder2_NY_MT!AF46,1,0))</f>
        <v>1</v>
      </c>
      <c r="AF46" s="20">
        <f>IF(coder1_YH!AN45="","",IF(coder1_YH!AN45=coder2_NY_MT!AH46,1,0))</f>
        <v>1</v>
      </c>
      <c r="AG46" s="20">
        <f>IF(coder1_YH!AO45="","",IF(coder1_YH!AO45=coder2_NY_MT!AI46,1,0))</f>
        <v>1</v>
      </c>
      <c r="AH46" s="20">
        <f>IF(coder1_YH!AP45="","",IF(coder1_YH!AP45=coder2_NY_MT!AJ46,1,0))</f>
        <v>1</v>
      </c>
      <c r="AI46" s="20">
        <f>IF(coder1_YH!AQ45="","",IF(coder1_YH!AQ45=coder2_NY_MT!AK46,1,0))</f>
        <v>1</v>
      </c>
      <c r="AJ46" s="20">
        <f>IF(coder1_YH!AR45="","",IF(coder1_YH!AR45=coder2_NY_MT!AL46,1,0))</f>
        <v>1</v>
      </c>
      <c r="AK46" s="20">
        <f>IF(coder1_YH!AS45="","",IF(coder1_YH!AS45=coder2_NY_MT!AM46,1,0))</f>
        <v>1</v>
      </c>
      <c r="AL46" s="20">
        <f>IF(coder1_YH!AZ45=coder2_NY_MT!AT46, 1, 0)</f>
        <v>1</v>
      </c>
      <c r="AM46" s="20">
        <f>IF(coder1_YH!BA45=coder2_NY_MT!AU45, 1, 0)</f>
        <v>1</v>
      </c>
      <c r="AN46" s="2"/>
    </row>
    <row r="47" spans="1:40" s="20" customFormat="1" ht="17" hidden="1" customHeight="1" x14ac:dyDescent="0.2">
      <c r="A47" s="20" t="str">
        <f>IF(coder1_YH!G46="","",IF(coder1_YH!G46=coder2_NY_MT!A47,1,0))</f>
        <v/>
      </c>
      <c r="B47" s="20" t="str">
        <f>IF(coder1_YH!H46="","",IF(RIGHT(coder1_YH!H46,2)=RIGHT(coder2_NY_MT!B47,2),1,0))</f>
        <v/>
      </c>
      <c r="C47" s="20" t="str">
        <f>IF(coder1_YH!I46="","",IF(coder1_YH!I46=coder2_NY_MT!C47,1,0))</f>
        <v/>
      </c>
      <c r="E47" s="20" t="str">
        <f>IF(coder1_YH!K46="","",IF(coder1_YH!K46=coder2_NY_MT!E47,1,0))</f>
        <v/>
      </c>
      <c r="F47" s="20" t="str">
        <f>IF(coder1_YH!L46="","",IF(coder1_YH!L46=coder2_NY_MT!F47,1,0))</f>
        <v/>
      </c>
      <c r="G47" s="20" t="str">
        <f>IF(coder1_YH!M46="","",IF(coder1_YH!M46=coder2_NY_MT!G47,1,0))</f>
        <v/>
      </c>
      <c r="H47" s="20">
        <f>IF(coder1_YH!P46="","",IF(RIGHT(coder1_YH!P46,3)=RIGHT(coder2_NY_MT!J47,3),1,0))</f>
        <v>0</v>
      </c>
      <c r="I47" s="20">
        <f>IF(H47="","",IF(OR(coder2_NY_MT!K47="", coder1_YH!Q46 = ""),0,1))</f>
        <v>1</v>
      </c>
      <c r="J47" s="20">
        <f>IF(coder1_YH!R46="","",IF(coder1_YH!R46=coder2_NY_MT!L47,1,0))</f>
        <v>1</v>
      </c>
      <c r="K47" s="20">
        <f>IF(coder1_YH!S46="","",IF(coder1_YH!S46=coder2_NY_MT!M47,1,0))</f>
        <v>1</v>
      </c>
      <c r="L47" s="20">
        <f>IF(coder1_YH!T46="","",IF(coder1_YH!T46=coder2_NY_MT!N47,1,0))</f>
        <v>1</v>
      </c>
      <c r="M47" s="20">
        <f>IF(coder1_YH!U46="","",IF(coder1_YH!U46=coder2_NY_MT!O47,1,0))</f>
        <v>1</v>
      </c>
      <c r="N47" s="20">
        <f>IF(coder1_YH!V46="","",IF(coder1_YH!V46=coder2_NY_MT!P47,1,0))</f>
        <v>1</v>
      </c>
      <c r="O47" s="20">
        <f>IF(coder1_YH!W46="","",IF(coder1_YH!W46=coder2_NY_MT!Q47,1,0))</f>
        <v>1</v>
      </c>
      <c r="P47" s="20">
        <f>IF(coder1_YH!X46="","",IF(coder1_YH!X46=coder2_NY_MT!R47,1,0))</f>
        <v>1</v>
      </c>
      <c r="Q47" s="20">
        <f>IF(coder1_YH!Y46="","",IF(coder1_YH!Y46=coder2_NY_MT!S47,1,0))</f>
        <v>1</v>
      </c>
      <c r="R47" s="20">
        <f>IF(coder1_YH!Z46="","",IF(coder1_YH!Z46=coder2_NY_MT!T47,1,0))</f>
        <v>1</v>
      </c>
      <c r="S47" s="20">
        <f>IF(R47="","",IF(OR(coder2_NY_MT!U47="", coder1_YH!AA46 = ""),0,1))</f>
        <v>1</v>
      </c>
      <c r="T47" s="20">
        <f>IF(coder1_YH!AB46="","",IF(coder1_YH!AB46=coder2_NY_MT!V47,1,0))</f>
        <v>1</v>
      </c>
      <c r="U47" s="20">
        <f>IF(coder1_YH!AC46="","",IF(coder1_YH!AC46=coder2_NY_MT!W47,1,0))</f>
        <v>1</v>
      </c>
      <c r="V47" s="20">
        <f>IF(coder1_YH!AD46="","",IF(coder1_YH!AD46=coder2_NY_MT!X47,1,0))</f>
        <v>1</v>
      </c>
      <c r="W47" s="20">
        <f>IF(coder1_YH!AE46="","",IF(coder1_YH!AE46=coder2_NY_MT!Y47,1,0))</f>
        <v>1</v>
      </c>
      <c r="X47" s="20">
        <f>IF(coder1_YH!AF46="","",IF(coder1_YH!AF46=coder2_NY_MT!Z47,1,0))</f>
        <v>1</v>
      </c>
      <c r="Z47" s="20">
        <f>IF(coder1_YH!AH46="","",IF(coder1_YH!AH46=coder2_NY_MT!AB47,1,0))</f>
        <v>1</v>
      </c>
      <c r="AA47" s="20">
        <f>IF(coder1_YH!AI46="","",IF(coder1_YH!AI46=coder2_NY_MT!AC47,1,0))</f>
        <v>1</v>
      </c>
      <c r="AB47" s="20">
        <f>IF(OR(coder2_NY_MT!AD46="", coder1_YH!AJ46 = ""),0,1)</f>
        <v>1</v>
      </c>
      <c r="AC47" s="20">
        <f>IF(coder1_YH!AK46="","",IF(coder1_YH!AK46=coder2_NY_MT!AE47,1,0))</f>
        <v>1</v>
      </c>
      <c r="AD47" s="20">
        <f>IF(coder1_YH!AL46="","",IF(coder1_YH!AL46=coder2_NY_MT!AF47,1,0))</f>
        <v>0</v>
      </c>
      <c r="AF47" s="20">
        <f>IF(coder1_YH!AN46="","",IF(coder1_YH!AN46=coder2_NY_MT!AH47,1,0))</f>
        <v>1</v>
      </c>
      <c r="AG47" s="20">
        <f>IF(coder1_YH!AO46="","",IF(coder1_YH!AO46=coder2_NY_MT!AI47,1,0))</f>
        <v>1</v>
      </c>
      <c r="AH47" s="20">
        <f>IF(coder1_YH!AP46="","",IF(coder1_YH!AP46=coder2_NY_MT!AJ47,1,0))</f>
        <v>1</v>
      </c>
      <c r="AI47" s="20">
        <f>IF(coder1_YH!AQ46="","",IF(coder1_YH!AQ46=coder2_NY_MT!AK47,1,0))</f>
        <v>1</v>
      </c>
      <c r="AJ47" s="20">
        <f>IF(coder1_YH!AR46="","",IF(coder1_YH!AR46=coder2_NY_MT!AL47,1,0))</f>
        <v>1</v>
      </c>
      <c r="AK47" s="20">
        <f>IF(coder1_YH!AS46="","",IF(coder1_YH!AS46=coder2_NY_MT!AM47,1,0))</f>
        <v>1</v>
      </c>
      <c r="AL47" s="20">
        <f>IF(coder1_YH!AZ46=coder2_NY_MT!AT47, 1, 0)</f>
        <v>1</v>
      </c>
      <c r="AM47" s="20">
        <f>IF(coder1_YH!BA46=coder2_NY_MT!AU46, 1, 0)</f>
        <v>1</v>
      </c>
      <c r="AN47" s="2"/>
    </row>
    <row r="48" spans="1:40" s="20" customFormat="1" ht="17" hidden="1" customHeight="1" x14ac:dyDescent="0.2">
      <c r="A48" s="20">
        <f>IF(coder1_YH!G47="","",IF(coder1_YH!G47=coder2_NY_MT!A48,1,0))</f>
        <v>1</v>
      </c>
      <c r="B48" s="20">
        <f>IF(coder1_YH!H47="","",IF(RIGHT(coder1_YH!H47,2)=RIGHT(coder2_NY_MT!B48,2),1,0))</f>
        <v>1</v>
      </c>
      <c r="C48" s="20">
        <f>IF(coder1_YH!I47="","",IF(coder1_YH!I47=coder2_NY_MT!C48,1,0))</f>
        <v>1</v>
      </c>
      <c r="E48" s="20">
        <f>IF(coder1_YH!K47="","",IF(coder1_YH!K47=coder2_NY_MT!E48,1,0))</f>
        <v>1</v>
      </c>
      <c r="F48" s="20">
        <f>IF(coder1_YH!L47="","",IF(coder1_YH!L47=coder2_NY_MT!F48,1,0))</f>
        <v>1</v>
      </c>
      <c r="G48" s="20">
        <f>IF(coder1_YH!M47="","",IF(coder1_YH!M47=coder2_NY_MT!G48,1,0))</f>
        <v>1</v>
      </c>
      <c r="H48" s="20">
        <f>IF(coder1_YH!P47="","",IF(RIGHT(coder1_YH!P47,3)=RIGHT(coder2_NY_MT!J48,3),1,0))</f>
        <v>0</v>
      </c>
      <c r="I48" s="20">
        <f>IF(H48="","",IF(OR(coder2_NY_MT!K48="", coder1_YH!Q47 = ""),0,1))</f>
        <v>1</v>
      </c>
      <c r="J48" s="20">
        <f>IF(coder1_YH!R47="","",IF(coder1_YH!R47=coder2_NY_MT!L48,1,0))</f>
        <v>1</v>
      </c>
      <c r="K48" s="20">
        <f>IF(coder1_YH!S47="","",IF(coder1_YH!S47=coder2_NY_MT!M48,1,0))</f>
        <v>1</v>
      </c>
      <c r="L48" s="20">
        <f>IF(coder1_YH!T47="","",IF(coder1_YH!T47=coder2_NY_MT!N48,1,0))</f>
        <v>1</v>
      </c>
      <c r="M48" s="20">
        <f>IF(coder1_YH!U47="","",IF(coder1_YH!U47=coder2_NY_MT!O48,1,0))</f>
        <v>1</v>
      </c>
      <c r="N48" s="20">
        <f>IF(coder1_YH!V47="","",IF(coder1_YH!V47=coder2_NY_MT!P48,1,0))</f>
        <v>1</v>
      </c>
      <c r="O48" s="20">
        <f>IF(coder1_YH!W47="","",IF(coder1_YH!W47=coder2_NY_MT!Q48,1,0))</f>
        <v>1</v>
      </c>
      <c r="P48" s="20">
        <f>IF(coder1_YH!X47="","",IF(coder1_YH!X47=coder2_NY_MT!R48,1,0))</f>
        <v>1</v>
      </c>
      <c r="Q48" s="20">
        <f>IF(coder1_YH!Y47="","",IF(coder1_YH!Y47=coder2_NY_MT!S48,1,0))</f>
        <v>1</v>
      </c>
      <c r="R48" s="20">
        <f>IF(coder1_YH!Z47="","",IF(coder1_YH!Z47=coder2_NY_MT!T48,1,0))</f>
        <v>1</v>
      </c>
      <c r="S48" s="20">
        <f>IF(R48="","",IF(OR(coder2_NY_MT!U48="", coder1_YH!AA47 = ""),0,1))</f>
        <v>1</v>
      </c>
      <c r="T48" s="20">
        <f>IF(coder1_YH!AB47="","",IF(coder1_YH!AB47=coder2_NY_MT!V48,1,0))</f>
        <v>1</v>
      </c>
      <c r="U48" s="20">
        <f>IF(coder1_YH!AC47="","",IF(coder1_YH!AC47=coder2_NY_MT!W48,1,0))</f>
        <v>1</v>
      </c>
      <c r="V48" s="20">
        <f>IF(coder1_YH!AD47="","",IF(coder1_YH!AD47=coder2_NY_MT!X48,1,0))</f>
        <v>1</v>
      </c>
      <c r="W48" s="20">
        <f>IF(coder1_YH!AE47="","",IF(coder1_YH!AE47=coder2_NY_MT!Y48,1,0))</f>
        <v>1</v>
      </c>
      <c r="X48" s="20">
        <f>IF(coder1_YH!AF47="","",IF(coder1_YH!AF47=coder2_NY_MT!Z48,1,0))</f>
        <v>1</v>
      </c>
      <c r="Z48" s="20">
        <f>IF(coder1_YH!AH47="","",IF(coder1_YH!AH47=coder2_NY_MT!AB48,1,0))</f>
        <v>1</v>
      </c>
      <c r="AA48" s="20">
        <f>IF(coder1_YH!AI47="","",IF(coder1_YH!AI47=coder2_NY_MT!AC48,1,0))</f>
        <v>1</v>
      </c>
      <c r="AB48" s="20">
        <f>IF(OR(coder2_NY_MT!AD47="", coder1_YH!AJ47 = ""),0,1)</f>
        <v>1</v>
      </c>
      <c r="AC48" s="20">
        <f>IF(coder1_YH!AK47="","",IF(coder1_YH!AK47=coder2_NY_MT!AE48,1,0))</f>
        <v>1</v>
      </c>
      <c r="AD48" s="20">
        <f>IF(coder1_YH!AL47="","",IF(coder1_YH!AL47=coder2_NY_MT!AF48,1,0))</f>
        <v>0</v>
      </c>
      <c r="AF48" s="20">
        <f>IF(coder1_YH!AN47="","",IF(coder1_YH!AN47=coder2_NY_MT!AH48,1,0))</f>
        <v>1</v>
      </c>
      <c r="AG48" s="20">
        <f>IF(coder1_YH!AO47="","",IF(coder1_YH!AO47=coder2_NY_MT!AI48,1,0))</f>
        <v>1</v>
      </c>
      <c r="AH48" s="20">
        <f>IF(coder1_YH!AP47="","",IF(coder1_YH!AP47=coder2_NY_MT!AJ48,1,0))</f>
        <v>1</v>
      </c>
      <c r="AI48" s="20">
        <f>IF(coder1_YH!AQ47="","",IF(coder1_YH!AQ47=coder2_NY_MT!AK48,1,0))</f>
        <v>1</v>
      </c>
      <c r="AJ48" s="20">
        <f>IF(coder1_YH!AR47="","",IF(coder1_YH!AR47=coder2_NY_MT!AL48,1,0))</f>
        <v>1</v>
      </c>
      <c r="AK48" s="20">
        <f>IF(coder1_YH!AS47="","",IF(coder1_YH!AS47=coder2_NY_MT!AM48,1,0))</f>
        <v>1</v>
      </c>
      <c r="AL48" s="20">
        <f>IF(coder1_YH!AZ47=coder2_NY_MT!AT48, 1, 0)</f>
        <v>1</v>
      </c>
      <c r="AM48" s="20">
        <f>IF(coder1_YH!BA47=coder2_NY_MT!AU47, 1, 0)</f>
        <v>1</v>
      </c>
      <c r="AN48" s="2"/>
    </row>
    <row r="49" spans="1:40" s="20" customFormat="1" ht="17" hidden="1" customHeight="1" x14ac:dyDescent="0.2">
      <c r="A49" s="20" t="str">
        <f>IF(coder1_YH!G48="","",IF(coder1_YH!G48=coder2_NY_MT!A49,1,0))</f>
        <v/>
      </c>
      <c r="B49" s="20" t="str">
        <f>IF(coder1_YH!H48="","",IF(RIGHT(coder1_YH!H48,2)=RIGHT(coder2_NY_MT!B49,2),1,0))</f>
        <v/>
      </c>
      <c r="C49" s="20" t="str">
        <f>IF(coder1_YH!I48="","",IF(coder1_YH!I48=coder2_NY_MT!C49,1,0))</f>
        <v/>
      </c>
      <c r="E49" s="20" t="str">
        <f>IF(coder1_YH!K48="","",IF(coder1_YH!K48=coder2_NY_MT!E49,1,0))</f>
        <v/>
      </c>
      <c r="F49" s="20" t="str">
        <f>IF(coder1_YH!L48="","",IF(coder1_YH!L48=coder2_NY_MT!F49,1,0))</f>
        <v/>
      </c>
      <c r="G49" s="20" t="str">
        <f>IF(coder1_YH!M48="","",IF(coder1_YH!M48=coder2_NY_MT!G49,1,0))</f>
        <v/>
      </c>
      <c r="H49" s="20">
        <f>IF(coder1_YH!P48="","",IF(RIGHT(coder1_YH!P48,3)=RIGHT(coder2_NY_MT!J49,3),1,0))</f>
        <v>0</v>
      </c>
      <c r="I49" s="20">
        <f>IF(H49="","",IF(OR(coder2_NY_MT!K49="", coder1_YH!Q48 = ""),0,1))</f>
        <v>1</v>
      </c>
      <c r="J49" s="20">
        <f>IF(coder1_YH!R48="","",IF(coder1_YH!R48=coder2_NY_MT!L49,1,0))</f>
        <v>1</v>
      </c>
      <c r="K49" s="20">
        <f>IF(coder1_YH!S48="","",IF(coder1_YH!S48=coder2_NY_MT!M49,1,0))</f>
        <v>1</v>
      </c>
      <c r="L49" s="20">
        <f>IF(coder1_YH!T48="","",IF(coder1_YH!T48=coder2_NY_MT!N49,1,0))</f>
        <v>1</v>
      </c>
      <c r="M49" s="20">
        <f>IF(coder1_YH!U48="","",IF(coder1_YH!U48=coder2_NY_MT!O49,1,0))</f>
        <v>1</v>
      </c>
      <c r="N49" s="20">
        <f>IF(coder1_YH!V48="","",IF(coder1_YH!V48=coder2_NY_MT!P49,1,0))</f>
        <v>1</v>
      </c>
      <c r="O49" s="20">
        <f>IF(coder1_YH!W48="","",IF(coder1_YH!W48=coder2_NY_MT!Q49,1,0))</f>
        <v>1</v>
      </c>
      <c r="P49" s="20">
        <f>IF(coder1_YH!X48="","",IF(coder1_YH!X48=coder2_NY_MT!R49,1,0))</f>
        <v>1</v>
      </c>
      <c r="Q49" s="20">
        <f>IF(coder1_YH!Y48="","",IF(coder1_YH!Y48=coder2_NY_MT!S49,1,0))</f>
        <v>1</v>
      </c>
      <c r="R49" s="20">
        <f>IF(coder1_YH!Z48="","",IF(coder1_YH!Z48=coder2_NY_MT!T49,1,0))</f>
        <v>1</v>
      </c>
      <c r="S49" s="20">
        <f>IF(R49="","",IF(OR(coder2_NY_MT!U49="", coder1_YH!AA48 = ""),0,1))</f>
        <v>1</v>
      </c>
      <c r="T49" s="20">
        <f>IF(coder1_YH!AB48="","",IF(coder1_YH!AB48=coder2_NY_MT!V49,1,0))</f>
        <v>1</v>
      </c>
      <c r="U49" s="20">
        <f>IF(coder1_YH!AC48="","",IF(coder1_YH!AC48=coder2_NY_MT!W49,1,0))</f>
        <v>1</v>
      </c>
      <c r="V49" s="20">
        <f>IF(coder1_YH!AD48="","",IF(coder1_YH!AD48=coder2_NY_MT!X49,1,0))</f>
        <v>1</v>
      </c>
      <c r="W49" s="20">
        <f>IF(coder1_YH!AE48="","",IF(coder1_YH!AE48=coder2_NY_MT!Y49,1,0))</f>
        <v>1</v>
      </c>
      <c r="X49" s="20">
        <f>IF(coder1_YH!AF48="","",IF(coder1_YH!AF48=coder2_NY_MT!Z49,1,0))</f>
        <v>1</v>
      </c>
      <c r="Z49" s="20">
        <f>IF(coder1_YH!AH48="","",IF(coder1_YH!AH48=coder2_NY_MT!AB49,1,0))</f>
        <v>1</v>
      </c>
      <c r="AA49" s="20">
        <f>IF(coder1_YH!AI48="","",IF(coder1_YH!AI48=coder2_NY_MT!AC49,1,0))</f>
        <v>1</v>
      </c>
      <c r="AB49" s="20">
        <f>IF(OR(coder2_NY_MT!AD48="", coder1_YH!AJ48 = ""),0,1)</f>
        <v>1</v>
      </c>
      <c r="AC49" s="20">
        <f>IF(coder1_YH!AK48="","",IF(coder1_YH!AK48=coder2_NY_MT!AE49,1,0))</f>
        <v>1</v>
      </c>
      <c r="AD49" s="20">
        <f>IF(coder1_YH!AL48="","",IF(coder1_YH!AL48=coder2_NY_MT!AF49,1,0))</f>
        <v>0</v>
      </c>
      <c r="AF49" s="20">
        <f>IF(coder1_YH!AN48="","",IF(coder1_YH!AN48=coder2_NY_MT!AH49,1,0))</f>
        <v>1</v>
      </c>
      <c r="AG49" s="20">
        <f>IF(coder1_YH!AO48="","",IF(coder1_YH!AO48=coder2_NY_MT!AI49,1,0))</f>
        <v>1</v>
      </c>
      <c r="AH49" s="20">
        <f>IF(coder1_YH!AP48="","",IF(coder1_YH!AP48=coder2_NY_MT!AJ49,1,0))</f>
        <v>1</v>
      </c>
      <c r="AI49" s="20">
        <f>IF(coder1_YH!AQ48="","",IF(coder1_YH!AQ48=coder2_NY_MT!AK49,1,0))</f>
        <v>1</v>
      </c>
      <c r="AJ49" s="20">
        <f>IF(coder1_YH!AR48="","",IF(coder1_YH!AR48=coder2_NY_MT!AL49,1,0))</f>
        <v>1</v>
      </c>
      <c r="AK49" s="20">
        <f>IF(coder1_YH!AS48="","",IF(coder1_YH!AS48=coder2_NY_MT!AM49,1,0))</f>
        <v>1</v>
      </c>
      <c r="AL49" s="20">
        <f>IF(coder1_YH!AZ48=coder2_NY_MT!AT49, 1, 0)</f>
        <v>1</v>
      </c>
      <c r="AM49" s="20">
        <f>IF(coder1_YH!BA48=coder2_NY_MT!AU48, 1, 0)</f>
        <v>1</v>
      </c>
      <c r="AN49" s="2"/>
    </row>
    <row r="50" spans="1:40" s="20" customFormat="1" ht="17" hidden="1" customHeight="1" x14ac:dyDescent="0.2">
      <c r="A50" s="20">
        <f>IF(coder1_YH!G49="","",IF(coder1_YH!G49=coder2_NY_MT!A50,1,0))</f>
        <v>1</v>
      </c>
      <c r="B50" s="20">
        <f>IF(coder1_YH!H49="","",IF(RIGHT(coder1_YH!H49,2)=RIGHT(coder2_NY_MT!B50,2),1,0))</f>
        <v>1</v>
      </c>
      <c r="C50" s="20">
        <f>IF(coder1_YH!I49="","",IF(coder1_YH!I49=coder2_NY_MT!C50,1,0))</f>
        <v>1</v>
      </c>
      <c r="E50" s="20">
        <f>IF(coder1_YH!K49="","",IF(coder1_YH!K49=coder2_NY_MT!E50,1,0))</f>
        <v>1</v>
      </c>
      <c r="F50" s="20">
        <f>IF(coder1_YH!L49="","",IF(coder1_YH!L49=coder2_NY_MT!F50,1,0))</f>
        <v>1</v>
      </c>
      <c r="G50" s="20">
        <f>IF(coder1_YH!M49="","",IF(coder1_YH!M49=coder2_NY_MT!G50,1,0))</f>
        <v>1</v>
      </c>
      <c r="H50" s="20">
        <f>IF(coder1_YH!P49="","",IF(RIGHT(coder1_YH!P49,3)=RIGHT(coder2_NY_MT!J50,3),1,0))</f>
        <v>0</v>
      </c>
      <c r="I50" s="20">
        <f>IF(H50="","",IF(OR(coder2_NY_MT!K50="", coder1_YH!Q49 = ""),0,1))</f>
        <v>1</v>
      </c>
      <c r="J50" s="20">
        <f>IF(coder1_YH!R49="","",IF(coder1_YH!R49=coder2_NY_MT!L50,1,0))</f>
        <v>1</v>
      </c>
      <c r="K50" s="20">
        <f>IF(coder1_YH!S49="","",IF(coder1_YH!S49=coder2_NY_MT!M50,1,0))</f>
        <v>1</v>
      </c>
      <c r="L50" s="20">
        <f>IF(coder1_YH!T49="","",IF(coder1_YH!T49=coder2_NY_MT!N50,1,0))</f>
        <v>1</v>
      </c>
      <c r="M50" s="20">
        <f>IF(coder1_YH!U49="","",IF(coder1_YH!U49=coder2_NY_MT!O50,1,0))</f>
        <v>1</v>
      </c>
      <c r="N50" s="20">
        <f>IF(coder1_YH!V49="","",IF(coder1_YH!V49=coder2_NY_MT!P50,1,0))</f>
        <v>1</v>
      </c>
      <c r="O50" s="20">
        <f>IF(coder1_YH!W49="","",IF(coder1_YH!W49=coder2_NY_MT!Q50,1,0))</f>
        <v>1</v>
      </c>
      <c r="P50" s="20">
        <f>IF(coder1_YH!X49="","",IF(coder1_YH!X49=coder2_NY_MT!R50,1,0))</f>
        <v>1</v>
      </c>
      <c r="Q50" s="20">
        <f>IF(coder1_YH!Y49="","",IF(coder1_YH!Y49=coder2_NY_MT!S50,1,0))</f>
        <v>1</v>
      </c>
      <c r="R50" s="20">
        <f>IF(coder1_YH!Z49="","",IF(coder1_YH!Z49=coder2_NY_MT!T50,1,0))</f>
        <v>1</v>
      </c>
      <c r="S50" s="20">
        <f>IF(R50="","",IF(OR(coder2_NY_MT!U50="", coder1_YH!AA49 = ""),0,1))</f>
        <v>1</v>
      </c>
      <c r="T50" s="20">
        <f>IF(coder1_YH!AB49="","",IF(coder1_YH!AB49=coder2_NY_MT!V50,1,0))</f>
        <v>1</v>
      </c>
      <c r="U50" s="20">
        <f>IF(coder1_YH!AC49="","",IF(coder1_YH!AC49=coder2_NY_MT!W50,1,0))</f>
        <v>1</v>
      </c>
      <c r="V50" s="20">
        <f>IF(coder1_YH!AD49="","",IF(coder1_YH!AD49=coder2_NY_MT!X50,1,0))</f>
        <v>1</v>
      </c>
      <c r="W50" s="20">
        <f>IF(coder1_YH!AE49="","",IF(coder1_YH!AE49=coder2_NY_MT!Y50,1,0))</f>
        <v>1</v>
      </c>
      <c r="X50" s="20">
        <f>IF(coder1_YH!AF49="","",IF(coder1_YH!AF49=coder2_NY_MT!Z50,1,0))</f>
        <v>1</v>
      </c>
      <c r="Z50" s="20">
        <f>IF(coder1_YH!AH49="","",IF(coder1_YH!AH49=coder2_NY_MT!AB50,1,0))</f>
        <v>1</v>
      </c>
      <c r="AA50" s="20">
        <f>IF(coder1_YH!AI49="","",IF(coder1_YH!AI49=coder2_NY_MT!AC50,1,0))</f>
        <v>1</v>
      </c>
      <c r="AB50" s="20">
        <f>IF(OR(coder2_NY_MT!AD49="", coder1_YH!AJ49 = ""),0,1)</f>
        <v>1</v>
      </c>
      <c r="AC50" s="20">
        <f>IF(coder1_YH!AK49="","",IF(coder1_YH!AK49=coder2_NY_MT!AE50,1,0))</f>
        <v>1</v>
      </c>
      <c r="AD50" s="20">
        <f>IF(coder1_YH!AL49="","",IF(coder1_YH!AL49=coder2_NY_MT!AF50,1,0))</f>
        <v>0</v>
      </c>
      <c r="AF50" s="20">
        <f>IF(coder1_YH!AN49="","",IF(coder1_YH!AN49=coder2_NY_MT!AH50,1,0))</f>
        <v>1</v>
      </c>
      <c r="AG50" s="20">
        <f>IF(coder1_YH!AO49="","",IF(coder1_YH!AO49=coder2_NY_MT!AI50,1,0))</f>
        <v>1</v>
      </c>
      <c r="AH50" s="20">
        <f>IF(coder1_YH!AP49="","",IF(coder1_YH!AP49=coder2_NY_MT!AJ50,1,0))</f>
        <v>1</v>
      </c>
      <c r="AI50" s="20">
        <f>IF(coder1_YH!AQ49="","",IF(coder1_YH!AQ49=coder2_NY_MT!AK50,1,0))</f>
        <v>1</v>
      </c>
      <c r="AJ50" s="20">
        <f>IF(coder1_YH!AR49="","",IF(coder1_YH!AR49=coder2_NY_MT!AL50,1,0))</f>
        <v>1</v>
      </c>
      <c r="AK50" s="20">
        <f>IF(coder1_YH!AS49="","",IF(coder1_YH!AS49=coder2_NY_MT!AM50,1,0))</f>
        <v>1</v>
      </c>
      <c r="AL50" s="20">
        <f>IF(coder1_YH!AZ49=coder2_NY_MT!AT50, 1, 0)</f>
        <v>1</v>
      </c>
      <c r="AM50" s="20">
        <f>IF(coder1_YH!BA49=coder2_NY_MT!AU49, 1, 0)</f>
        <v>1</v>
      </c>
      <c r="AN50" s="2"/>
    </row>
    <row r="51" spans="1:40" s="20" customFormat="1" ht="17" hidden="1" customHeight="1" x14ac:dyDescent="0.2">
      <c r="A51" s="20" t="str">
        <f>IF(coder1_YH!G50="","",IF(coder1_YH!G50=coder2_NY_MT!A51,1,0))</f>
        <v/>
      </c>
      <c r="B51" s="20" t="str">
        <f>IF(coder1_YH!H50="","",IF(RIGHT(coder1_YH!H50,2)=RIGHT(coder2_NY_MT!B51,2),1,0))</f>
        <v/>
      </c>
      <c r="C51" s="20" t="str">
        <f>IF(coder1_YH!I50="","",IF(coder1_YH!I50=coder2_NY_MT!C51,1,0))</f>
        <v/>
      </c>
      <c r="E51" s="20" t="str">
        <f>IF(coder1_YH!K50="","",IF(coder1_YH!K50=coder2_NY_MT!E51,1,0))</f>
        <v/>
      </c>
      <c r="F51" s="20" t="str">
        <f>IF(coder1_YH!L50="","",IF(coder1_YH!L50=coder2_NY_MT!F51,1,0))</f>
        <v/>
      </c>
      <c r="G51" s="20" t="str">
        <f>IF(coder1_YH!M50="","",IF(coder1_YH!M50=coder2_NY_MT!G51,1,0))</f>
        <v/>
      </c>
      <c r="H51" s="20" t="str">
        <f>IF(coder1_YH!P50="","",IF(RIGHT(coder1_YH!P50,3)=RIGHT(coder2_NY_MT!J51,3),1,0))</f>
        <v/>
      </c>
      <c r="I51" s="20" t="str">
        <f>IF(H51="","",IF(OR(coder2_NY_MT!K51="", coder1_YH!Q50 = ""),0,1))</f>
        <v/>
      </c>
      <c r="J51" s="20" t="str">
        <f>IF(coder1_YH!R50="","",IF(coder1_YH!R50=coder2_NY_MT!L51,1,0))</f>
        <v/>
      </c>
      <c r="K51" s="20" t="str">
        <f>IF(coder1_YH!S50="","",IF(coder1_YH!S50=coder2_NY_MT!M51,1,0))</f>
        <v/>
      </c>
      <c r="L51" s="20" t="str">
        <f>IF(coder1_YH!T50="","",IF(coder1_YH!T50=coder2_NY_MT!N51,1,0))</f>
        <v/>
      </c>
      <c r="M51" s="20" t="str">
        <f>IF(coder1_YH!U50="","",IF(coder1_YH!U50=coder2_NY_MT!O51,1,0))</f>
        <v/>
      </c>
      <c r="N51" s="20" t="str">
        <f>IF(coder1_YH!V50="","",IF(coder1_YH!V50=coder2_NY_MT!P51,1,0))</f>
        <v/>
      </c>
      <c r="O51" s="20" t="str">
        <f>IF(coder1_YH!W50="","",IF(coder1_YH!W50=coder2_NY_MT!Q51,1,0))</f>
        <v/>
      </c>
      <c r="P51" s="20" t="str">
        <f>IF(coder1_YH!X50="","",IF(coder1_YH!X50=coder2_NY_MT!R51,1,0))</f>
        <v/>
      </c>
      <c r="Q51" s="20" t="str">
        <f>IF(coder1_YH!Y50="","",IF(coder1_YH!Y50=coder2_NY_MT!S51,1,0))</f>
        <v/>
      </c>
      <c r="R51" s="20" t="str">
        <f>IF(coder1_YH!Z50="","",IF(coder1_YH!Z50=coder2_NY_MT!T51,1,0))</f>
        <v/>
      </c>
      <c r="S51" s="20" t="str">
        <f>IF(R51="","",IF(OR(coder2_NY_MT!U51="", coder1_YH!AA50 = ""),0,1))</f>
        <v/>
      </c>
      <c r="T51" s="20" t="str">
        <f>IF(coder1_YH!AB50="","",IF(coder1_YH!AB50=coder2_NY_MT!V51,1,0))</f>
        <v/>
      </c>
      <c r="U51" s="20" t="str">
        <f>IF(coder1_YH!AC50="","",IF(coder1_YH!AC50=coder2_NY_MT!W51,1,0))</f>
        <v/>
      </c>
      <c r="V51" s="20" t="str">
        <f>IF(coder1_YH!AD50="","",IF(coder1_YH!AD50=coder2_NY_MT!X51,1,0))</f>
        <v/>
      </c>
      <c r="W51" s="20" t="str">
        <f>IF(coder1_YH!AE50="","",IF(coder1_YH!AE50=coder2_NY_MT!Y51,1,0))</f>
        <v/>
      </c>
      <c r="X51" s="20" t="str">
        <f>IF(coder1_YH!AF50="","",IF(coder1_YH!AF50=coder2_NY_MT!Z51,1,0))</f>
        <v/>
      </c>
      <c r="Z51" s="20" t="str">
        <f>IF(coder1_YH!AH50="","",IF(coder1_YH!AH50=coder2_NY_MT!AB51,1,0))</f>
        <v/>
      </c>
      <c r="AA51" s="20" t="str">
        <f>IF(coder1_YH!AI50="","",IF(coder1_YH!AI50=coder2_NY_MT!AC51,1,0))</f>
        <v/>
      </c>
      <c r="AB51" s="20">
        <f>IF(OR(coder2_NY_MT!AD50="", coder1_YH!AJ50 = ""),0,1)</f>
        <v>1</v>
      </c>
      <c r="AC51" s="20">
        <f>IF(coder1_YH!AK50="","",IF(coder1_YH!AK50=coder2_NY_MT!AE51,1,0))</f>
        <v>1</v>
      </c>
      <c r="AD51" s="20">
        <f>IF(coder1_YH!AL50="","",IF(coder1_YH!AL50=coder2_NY_MT!AF51,1,0))</f>
        <v>1</v>
      </c>
      <c r="AF51" s="20">
        <f>IF(coder1_YH!AN50="","",IF(coder1_YH!AN50=coder2_NY_MT!AH51,1,0))</f>
        <v>1</v>
      </c>
      <c r="AG51" s="20">
        <f>IF(coder1_YH!AO50="","",IF(coder1_YH!AO50=coder2_NY_MT!AI51,1,0))</f>
        <v>1</v>
      </c>
      <c r="AH51" s="20">
        <f>IF(coder1_YH!AP50="","",IF(coder1_YH!AP50=coder2_NY_MT!AJ51,1,0))</f>
        <v>1</v>
      </c>
      <c r="AI51" s="20">
        <f>IF(coder1_YH!AQ50="","",IF(coder1_YH!AQ50=coder2_NY_MT!AK51,1,0))</f>
        <v>1</v>
      </c>
      <c r="AJ51" s="20">
        <f>IF(coder1_YH!AR50="","",IF(coder1_YH!AR50=coder2_NY_MT!AL51,1,0))</f>
        <v>1</v>
      </c>
      <c r="AK51" s="20">
        <f>IF(coder1_YH!AS50="","",IF(coder1_YH!AS50=coder2_NY_MT!AM51,1,0))</f>
        <v>1</v>
      </c>
      <c r="AL51" s="20">
        <f>IF(coder1_YH!AZ50=coder2_NY_MT!AT51, 1, 0)</f>
        <v>1</v>
      </c>
      <c r="AM51" s="20">
        <f>IF(coder1_YH!BA50=coder2_NY_MT!AU50, 1, 0)</f>
        <v>1</v>
      </c>
      <c r="AN51" s="2"/>
    </row>
    <row r="52" spans="1:40" s="20" customFormat="1" ht="17" hidden="1" customHeight="1" x14ac:dyDescent="0.2">
      <c r="A52" s="20" t="str">
        <f>IF(coder1_YH!G51="","",IF(coder1_YH!G51=coder2_NY_MT!A52,1,0))</f>
        <v/>
      </c>
      <c r="B52" s="20" t="str">
        <f>IF(coder1_YH!H51="","",IF(RIGHT(coder1_YH!H51,2)=RIGHT(coder2_NY_MT!B52,2),1,0))</f>
        <v/>
      </c>
      <c r="C52" s="20" t="str">
        <f>IF(coder1_YH!I51="","",IF(coder1_YH!I51=coder2_NY_MT!C52,1,0))</f>
        <v/>
      </c>
      <c r="E52" s="20" t="str">
        <f>IF(coder1_YH!K51="","",IF(coder1_YH!K51=coder2_NY_MT!E52,1,0))</f>
        <v/>
      </c>
      <c r="F52" s="20" t="str">
        <f>IF(coder1_YH!L51="","",IF(coder1_YH!L51=coder2_NY_MT!F52,1,0))</f>
        <v/>
      </c>
      <c r="G52" s="20" t="str">
        <f>IF(coder1_YH!M51="","",IF(coder1_YH!M51=coder2_NY_MT!G52,1,0))</f>
        <v/>
      </c>
      <c r="H52" s="20">
        <f>IF(coder1_YH!P51="","",IF(RIGHT(coder1_YH!P51,3)=RIGHT(coder2_NY_MT!J52,3),1,0))</f>
        <v>0</v>
      </c>
      <c r="I52" s="20">
        <f>IF(H52="","",IF(OR(coder2_NY_MT!K52="", coder1_YH!Q51 = ""),0,1))</f>
        <v>1</v>
      </c>
      <c r="J52" s="20">
        <f>IF(coder1_YH!R51="","",IF(coder1_YH!R51=coder2_NY_MT!L52,1,0))</f>
        <v>1</v>
      </c>
      <c r="K52" s="20">
        <f>IF(coder1_YH!S51="","",IF(coder1_YH!S51=coder2_NY_MT!M52,1,0))</f>
        <v>1</v>
      </c>
      <c r="L52" s="20">
        <f>IF(coder1_YH!T51="","",IF(coder1_YH!T51=coder2_NY_MT!N52,1,0))</f>
        <v>1</v>
      </c>
      <c r="M52" s="20">
        <f>IF(coder1_YH!U51="","",IF(coder1_YH!U51=coder2_NY_MT!O52,1,0))</f>
        <v>1</v>
      </c>
      <c r="N52" s="20">
        <f>IF(coder1_YH!V51="","",IF(coder1_YH!V51=coder2_NY_MT!P52,1,0))</f>
        <v>1</v>
      </c>
      <c r="O52" s="20">
        <f>IF(coder1_YH!W51="","",IF(coder1_YH!W51=coder2_NY_MT!Q52,1,0))</f>
        <v>1</v>
      </c>
      <c r="P52" s="20">
        <f>IF(coder1_YH!X51="","",IF(coder1_YH!X51=coder2_NY_MT!R52,1,0))</f>
        <v>1</v>
      </c>
      <c r="Q52" s="20">
        <f>IF(coder1_YH!Y51="","",IF(coder1_YH!Y51=coder2_NY_MT!S52,1,0))</f>
        <v>1</v>
      </c>
      <c r="R52" s="20">
        <f>IF(coder1_YH!Z51="","",IF(coder1_YH!Z51=coder2_NY_MT!T52,1,0))</f>
        <v>1</v>
      </c>
      <c r="S52" s="20">
        <f>IF(R52="","",IF(OR(coder2_NY_MT!U52="", coder1_YH!AA51 = ""),0,1))</f>
        <v>1</v>
      </c>
      <c r="T52" s="20">
        <f>IF(coder1_YH!AB51="","",IF(coder1_YH!AB51=coder2_NY_MT!V52,1,0))</f>
        <v>1</v>
      </c>
      <c r="U52" s="20">
        <f>IF(coder1_YH!AC51="","",IF(coder1_YH!AC51=coder2_NY_MT!W52,1,0))</f>
        <v>1</v>
      </c>
      <c r="V52" s="20">
        <f>IF(coder1_YH!AD51="","",IF(coder1_YH!AD51=coder2_NY_MT!X52,1,0))</f>
        <v>1</v>
      </c>
      <c r="W52" s="20">
        <f>IF(coder1_YH!AE51="","",IF(coder1_YH!AE51=coder2_NY_MT!Y52,1,0))</f>
        <v>1</v>
      </c>
      <c r="X52" s="20">
        <f>IF(coder1_YH!AF51="","",IF(coder1_YH!AF51=coder2_NY_MT!Z52,1,0))</f>
        <v>1</v>
      </c>
      <c r="Z52" s="20">
        <f>IF(coder1_YH!AH51="","",IF(coder1_YH!AH51=coder2_NY_MT!AB52,1,0))</f>
        <v>1</v>
      </c>
      <c r="AA52" s="20">
        <f>IF(coder1_YH!AI51="","",IF(coder1_YH!AI51=coder2_NY_MT!AC52,1,0))</f>
        <v>1</v>
      </c>
      <c r="AB52" s="20">
        <f>IF(OR(coder2_NY_MT!AD51="", coder1_YH!AJ51 = ""),0,1)</f>
        <v>1</v>
      </c>
      <c r="AC52" s="20">
        <f>IF(coder1_YH!AK51="","",IF(coder1_YH!AK51=coder2_NY_MT!AE52,1,0))</f>
        <v>1</v>
      </c>
      <c r="AD52" s="20">
        <f>IF(coder1_YH!AL51="","",IF(coder1_YH!AL51=coder2_NY_MT!AF52,1,0))</f>
        <v>0</v>
      </c>
      <c r="AF52" s="20">
        <f>IF(coder1_YH!AN51="","",IF(coder1_YH!AN51=coder2_NY_MT!AH52,1,0))</f>
        <v>1</v>
      </c>
      <c r="AG52" s="20">
        <f>IF(coder1_YH!AO51="","",IF(coder1_YH!AO51=coder2_NY_MT!AI52,1,0))</f>
        <v>1</v>
      </c>
      <c r="AH52" s="20">
        <f>IF(coder1_YH!AP51="","",IF(coder1_YH!AP51=coder2_NY_MT!AJ52,1,0))</f>
        <v>1</v>
      </c>
      <c r="AI52" s="20">
        <f>IF(coder1_YH!AQ51="","",IF(coder1_YH!AQ51=coder2_NY_MT!AK52,1,0))</f>
        <v>1</v>
      </c>
      <c r="AJ52" s="20">
        <f>IF(coder1_YH!AR51="","",IF(coder1_YH!AR51=coder2_NY_MT!AL52,1,0))</f>
        <v>1</v>
      </c>
      <c r="AK52" s="20">
        <f>IF(coder1_YH!AS51="","",IF(coder1_YH!AS51=coder2_NY_MT!AM52,1,0))</f>
        <v>1</v>
      </c>
      <c r="AL52" s="20">
        <f>IF(coder1_YH!AZ51=coder2_NY_MT!AT52, 1, 0)</f>
        <v>1</v>
      </c>
      <c r="AM52" s="20">
        <f>IF(coder1_YH!BA51=coder2_NY_MT!AU51, 1, 0)</f>
        <v>1</v>
      </c>
      <c r="AN52" s="2"/>
    </row>
    <row r="53" spans="1:40" s="20" customFormat="1" ht="17" hidden="1" customHeight="1" x14ac:dyDescent="0.2">
      <c r="A53" s="20" t="str">
        <f>IF(coder1_YH!G52="","",IF(coder1_YH!G52=coder2_NY_MT!A53,1,0))</f>
        <v/>
      </c>
      <c r="B53" s="20" t="str">
        <f>IF(coder1_YH!H52="","",IF(RIGHT(coder1_YH!H52,2)=RIGHT(coder2_NY_MT!B53,2),1,0))</f>
        <v/>
      </c>
      <c r="C53" s="20" t="str">
        <f>IF(coder1_YH!I52="","",IF(coder1_YH!I52=coder2_NY_MT!C53,1,0))</f>
        <v/>
      </c>
      <c r="E53" s="20" t="str">
        <f>IF(coder1_YH!K52="","",IF(coder1_YH!K52=coder2_NY_MT!E53,1,0))</f>
        <v/>
      </c>
      <c r="F53" s="20" t="str">
        <f>IF(coder1_YH!L52="","",IF(coder1_YH!L52=coder2_NY_MT!F53,1,0))</f>
        <v/>
      </c>
      <c r="G53" s="20" t="str">
        <f>IF(coder1_YH!M52="","",IF(coder1_YH!M52=coder2_NY_MT!G53,1,0))</f>
        <v/>
      </c>
      <c r="H53" s="20" t="str">
        <f>IF(coder1_YH!P52="","",IF(RIGHT(coder1_YH!P52,3)=RIGHT(coder2_NY_MT!J53,3),1,0))</f>
        <v/>
      </c>
      <c r="I53" s="20" t="str">
        <f>IF(H53="","",IF(OR(coder2_NY_MT!K53="", coder1_YH!Q52 = ""),0,1))</f>
        <v/>
      </c>
      <c r="J53" s="20" t="str">
        <f>IF(coder1_YH!R52="","",IF(coder1_YH!R52=coder2_NY_MT!L53,1,0))</f>
        <v/>
      </c>
      <c r="K53" s="20" t="str">
        <f>IF(coder1_YH!S52="","",IF(coder1_YH!S52=coder2_NY_MT!M53,1,0))</f>
        <v/>
      </c>
      <c r="L53" s="20" t="str">
        <f>IF(coder1_YH!T52="","",IF(coder1_YH!T52=coder2_NY_MT!N53,1,0))</f>
        <v/>
      </c>
      <c r="M53" s="20" t="str">
        <f>IF(coder1_YH!U52="","",IF(coder1_YH!U52=coder2_NY_MT!O53,1,0))</f>
        <v/>
      </c>
      <c r="N53" s="20" t="str">
        <f>IF(coder1_YH!V52="","",IF(coder1_YH!V52=coder2_NY_MT!P53,1,0))</f>
        <v/>
      </c>
      <c r="O53" s="20" t="str">
        <f>IF(coder1_YH!W52="","",IF(coder1_YH!W52=coder2_NY_MT!Q53,1,0))</f>
        <v/>
      </c>
      <c r="P53" s="20" t="str">
        <f>IF(coder1_YH!X52="","",IF(coder1_YH!X52=coder2_NY_MT!R53,1,0))</f>
        <v/>
      </c>
      <c r="Q53" s="20" t="str">
        <f>IF(coder1_YH!Y52="","",IF(coder1_YH!Y52=coder2_NY_MT!S53,1,0))</f>
        <v/>
      </c>
      <c r="R53" s="20" t="str">
        <f>IF(coder1_YH!Z52="","",IF(coder1_YH!Z52=coder2_NY_MT!T53,1,0))</f>
        <v/>
      </c>
      <c r="S53" s="20" t="str">
        <f>IF(R53="","",IF(OR(coder2_NY_MT!U53="", coder1_YH!AA52 = ""),0,1))</f>
        <v/>
      </c>
      <c r="T53" s="20" t="str">
        <f>IF(coder1_YH!AB52="","",IF(coder1_YH!AB52=coder2_NY_MT!V53,1,0))</f>
        <v/>
      </c>
      <c r="U53" s="20" t="str">
        <f>IF(coder1_YH!AC52="","",IF(coder1_YH!AC52=coder2_NY_MT!W53,1,0))</f>
        <v/>
      </c>
      <c r="V53" s="20" t="str">
        <f>IF(coder1_YH!AD52="","",IF(coder1_YH!AD52=coder2_NY_MT!X53,1,0))</f>
        <v/>
      </c>
      <c r="W53" s="20" t="str">
        <f>IF(coder1_YH!AE52="","",IF(coder1_YH!AE52=coder2_NY_MT!Y53,1,0))</f>
        <v/>
      </c>
      <c r="X53" s="20" t="str">
        <f>IF(coder1_YH!AF52="","",IF(coder1_YH!AF52=coder2_NY_MT!Z53,1,0))</f>
        <v/>
      </c>
      <c r="Z53" s="20" t="str">
        <f>IF(coder1_YH!AH52="","",IF(coder1_YH!AH52=coder2_NY_MT!AB53,1,0))</f>
        <v/>
      </c>
      <c r="AA53" s="20" t="str">
        <f>IF(coder1_YH!AI52="","",IF(coder1_YH!AI52=coder2_NY_MT!AC53,1,0))</f>
        <v/>
      </c>
      <c r="AB53" s="20">
        <f>IF(OR(coder2_NY_MT!AD52="", coder1_YH!AJ52 = ""),0,1)</f>
        <v>1</v>
      </c>
      <c r="AC53" s="20">
        <f>IF(coder1_YH!AK52="","",IF(coder1_YH!AK52=coder2_NY_MT!AE53,1,0))</f>
        <v>1</v>
      </c>
      <c r="AD53" s="20">
        <f>IF(coder1_YH!AL52="","",IF(coder1_YH!AL52=coder2_NY_MT!AF53,1,0))</f>
        <v>0</v>
      </c>
      <c r="AF53" s="20">
        <f>IF(coder1_YH!AN52="","",IF(coder1_YH!AN52=coder2_NY_MT!AH53,1,0))</f>
        <v>1</v>
      </c>
      <c r="AG53" s="20">
        <f>IF(coder1_YH!AO52="","",IF(coder1_YH!AO52=coder2_NY_MT!AI53,1,0))</f>
        <v>1</v>
      </c>
      <c r="AH53" s="20">
        <f>IF(coder1_YH!AP52="","",IF(coder1_YH!AP52=coder2_NY_MT!AJ53,1,0))</f>
        <v>1</v>
      </c>
      <c r="AI53" s="20">
        <f>IF(coder1_YH!AQ52="","",IF(coder1_YH!AQ52=coder2_NY_MT!AK53,1,0))</f>
        <v>1</v>
      </c>
      <c r="AJ53" s="20">
        <f>IF(coder1_YH!AR52="","",IF(coder1_YH!AR52=coder2_NY_MT!AL53,1,0))</f>
        <v>1</v>
      </c>
      <c r="AK53" s="20">
        <f>IF(coder1_YH!AS52="","",IF(coder1_YH!AS52=coder2_NY_MT!AM53,1,0))</f>
        <v>1</v>
      </c>
      <c r="AL53" s="20">
        <f>IF(coder1_YH!AZ52=coder2_NY_MT!AT53, 1, 0)</f>
        <v>1</v>
      </c>
      <c r="AM53" s="20">
        <f>IF(coder1_YH!BA52=coder2_NY_MT!AU52, 1, 0)</f>
        <v>1</v>
      </c>
      <c r="AN53" s="2"/>
    </row>
    <row r="54" spans="1:40" s="20" customFormat="1" ht="17" hidden="1" customHeight="1" x14ac:dyDescent="0.2">
      <c r="A54" s="20" t="str">
        <f>IF(coder1_YH!G53="","",IF(coder1_YH!G53=coder2_NY_MT!A54,1,0))</f>
        <v/>
      </c>
      <c r="B54" s="20" t="str">
        <f>IF(coder1_YH!H53="","",IF(RIGHT(coder1_YH!H53,2)=RIGHT(coder2_NY_MT!B54,2),1,0))</f>
        <v/>
      </c>
      <c r="C54" s="20" t="str">
        <f>IF(coder1_YH!I53="","",IF(coder1_YH!I53=coder2_NY_MT!C54,1,0))</f>
        <v/>
      </c>
      <c r="E54" s="20" t="str">
        <f>IF(coder1_YH!K53="","",IF(coder1_YH!K53=coder2_NY_MT!E54,1,0))</f>
        <v/>
      </c>
      <c r="F54" s="20" t="str">
        <f>IF(coder1_YH!L53="","",IF(coder1_YH!L53=coder2_NY_MT!F54,1,0))</f>
        <v/>
      </c>
      <c r="G54" s="20" t="str">
        <f>IF(coder1_YH!M53="","",IF(coder1_YH!M53=coder2_NY_MT!G54,1,0))</f>
        <v/>
      </c>
      <c r="H54" s="20">
        <f>IF(coder1_YH!P53="","",IF(RIGHT(coder1_YH!P53,3)=RIGHT(coder2_NY_MT!J54,3),1,0))</f>
        <v>0</v>
      </c>
      <c r="I54" s="20">
        <f>IF(H54="","",IF(OR(coder2_NY_MT!K54="", coder1_YH!Q53 = ""),0,1))</f>
        <v>1</v>
      </c>
      <c r="J54" s="20">
        <f>IF(coder1_YH!R53="","",IF(coder1_YH!R53=coder2_NY_MT!L54,1,0))</f>
        <v>1</v>
      </c>
      <c r="K54" s="20">
        <f>IF(coder1_YH!S53="","",IF(coder1_YH!S53=coder2_NY_MT!M54,1,0))</f>
        <v>1</v>
      </c>
      <c r="L54" s="20">
        <f>IF(coder1_YH!T53="","",IF(coder1_YH!T53=coder2_NY_MT!N54,1,0))</f>
        <v>1</v>
      </c>
      <c r="M54" s="20">
        <f>IF(coder1_YH!U53="","",IF(coder1_YH!U53=coder2_NY_MT!O54,1,0))</f>
        <v>1</v>
      </c>
      <c r="N54" s="20">
        <f>IF(coder1_YH!V53="","",IF(coder1_YH!V53=coder2_NY_MT!P54,1,0))</f>
        <v>1</v>
      </c>
      <c r="O54" s="20">
        <f>IF(coder1_YH!W53="","",IF(coder1_YH!W53=coder2_NY_MT!Q54,1,0))</f>
        <v>1</v>
      </c>
      <c r="P54" s="20">
        <f>IF(coder1_YH!X53="","",IF(coder1_YH!X53=coder2_NY_MT!R54,1,0))</f>
        <v>1</v>
      </c>
      <c r="Q54" s="20">
        <f>IF(coder1_YH!Y53="","",IF(coder1_YH!Y53=coder2_NY_MT!S54,1,0))</f>
        <v>1</v>
      </c>
      <c r="R54" s="20">
        <f>IF(coder1_YH!Z53="","",IF(coder1_YH!Z53=coder2_NY_MT!T54,1,0))</f>
        <v>1</v>
      </c>
      <c r="S54" s="20">
        <f>IF(R54="","",IF(OR(coder2_NY_MT!U54="", coder1_YH!AA53 = ""),0,1))</f>
        <v>1</v>
      </c>
      <c r="T54" s="20">
        <f>IF(coder1_YH!AB53="","",IF(coder1_YH!AB53=coder2_NY_MT!V54,1,0))</f>
        <v>1</v>
      </c>
      <c r="U54" s="20">
        <f>IF(coder1_YH!AC53="","",IF(coder1_YH!AC53=coder2_NY_MT!W54,1,0))</f>
        <v>1</v>
      </c>
      <c r="V54" s="20">
        <f>IF(coder1_YH!AD53="","",IF(coder1_YH!AD53=coder2_NY_MT!X54,1,0))</f>
        <v>1</v>
      </c>
      <c r="W54" s="20">
        <f>IF(coder1_YH!AE53="","",IF(coder1_YH!AE53=coder2_NY_MT!Y54,1,0))</f>
        <v>1</v>
      </c>
      <c r="X54" s="20">
        <f>IF(coder1_YH!AF53="","",IF(coder1_YH!AF53=coder2_NY_MT!Z54,1,0))</f>
        <v>1</v>
      </c>
      <c r="Z54" s="20">
        <f>IF(coder1_YH!AH53="","",IF(coder1_YH!AH53=coder2_NY_MT!AB54,1,0))</f>
        <v>1</v>
      </c>
      <c r="AA54" s="20">
        <f>IF(coder1_YH!AI53="","",IF(coder1_YH!AI53=coder2_NY_MT!AC54,1,0))</f>
        <v>1</v>
      </c>
      <c r="AB54" s="20">
        <f>IF(OR(coder2_NY_MT!AD53="", coder1_YH!AJ53 = ""),0,1)</f>
        <v>1</v>
      </c>
      <c r="AC54" s="20">
        <f>IF(coder1_YH!AK53="","",IF(coder1_YH!AK53=coder2_NY_MT!AE54,1,0))</f>
        <v>1</v>
      </c>
      <c r="AD54" s="20">
        <f>IF(coder1_YH!AL53="","",IF(coder1_YH!AL53=coder2_NY_MT!AF54,1,0))</f>
        <v>0</v>
      </c>
      <c r="AF54" s="20">
        <f>IF(coder1_YH!AN53="","",IF(coder1_YH!AN53=coder2_NY_MT!AH54,1,0))</f>
        <v>1</v>
      </c>
      <c r="AG54" s="20">
        <f>IF(coder1_YH!AO53="","",IF(coder1_YH!AO53=coder2_NY_MT!AI54,1,0))</f>
        <v>1</v>
      </c>
      <c r="AH54" s="20">
        <f>IF(coder1_YH!AP53="","",IF(coder1_YH!AP53=coder2_NY_MT!AJ54,1,0))</f>
        <v>1</v>
      </c>
      <c r="AI54" s="20">
        <f>IF(coder1_YH!AQ53="","",IF(coder1_YH!AQ53=coder2_NY_MT!AK54,1,0))</f>
        <v>1</v>
      </c>
      <c r="AJ54" s="20">
        <f>IF(coder1_YH!AR53="","",IF(coder1_YH!AR53=coder2_NY_MT!AL54,1,0))</f>
        <v>1</v>
      </c>
      <c r="AK54" s="20">
        <f>IF(coder1_YH!AS53="","",IF(coder1_YH!AS53=coder2_NY_MT!AM54,1,0))</f>
        <v>1</v>
      </c>
      <c r="AL54" s="20">
        <f>IF(coder1_YH!AZ53=coder2_NY_MT!AT54, 1, 0)</f>
        <v>1</v>
      </c>
      <c r="AM54" s="20">
        <f>IF(coder1_YH!BA53=coder2_NY_MT!AU53, 1, 0)</f>
        <v>1</v>
      </c>
      <c r="AN54" s="2"/>
    </row>
    <row r="55" spans="1:40" s="20" customFormat="1" ht="17" hidden="1" customHeight="1" x14ac:dyDescent="0.2">
      <c r="A55" s="20" t="str">
        <f>IF(coder1_YH!G54="","",IF(coder1_YH!G54=coder2_NY_MT!A55,1,0))</f>
        <v/>
      </c>
      <c r="B55" s="20" t="str">
        <f>IF(coder1_YH!H54="","",IF(RIGHT(coder1_YH!H54,2)=RIGHT(coder2_NY_MT!B55,2),1,0))</f>
        <v/>
      </c>
      <c r="C55" s="20" t="str">
        <f>IF(coder1_YH!I54="","",IF(coder1_YH!I54=coder2_NY_MT!C55,1,0))</f>
        <v/>
      </c>
      <c r="E55" s="20" t="str">
        <f>IF(coder1_YH!K54="","",IF(coder1_YH!K54=coder2_NY_MT!E55,1,0))</f>
        <v/>
      </c>
      <c r="F55" s="20" t="str">
        <f>IF(coder1_YH!L54="","",IF(coder1_YH!L54=coder2_NY_MT!F55,1,0))</f>
        <v/>
      </c>
      <c r="G55" s="20" t="str">
        <f>IF(coder1_YH!M54="","",IF(coder1_YH!M54=coder2_NY_MT!G55,1,0))</f>
        <v/>
      </c>
      <c r="H55" s="20" t="str">
        <f>IF(coder1_YH!P54="","",IF(RIGHT(coder1_YH!P54,3)=RIGHT(coder2_NY_MT!J55,3),1,0))</f>
        <v/>
      </c>
      <c r="I55" s="20" t="str">
        <f>IF(H55="","",IF(OR(coder2_NY_MT!K55="", coder1_YH!Q54 = ""),0,1))</f>
        <v/>
      </c>
      <c r="J55" s="20" t="str">
        <f>IF(coder1_YH!R54="","",IF(coder1_YH!R54=coder2_NY_MT!L55,1,0))</f>
        <v/>
      </c>
      <c r="K55" s="20" t="str">
        <f>IF(coder1_YH!S54="","",IF(coder1_YH!S54=coder2_NY_MT!M55,1,0))</f>
        <v/>
      </c>
      <c r="L55" s="20" t="str">
        <f>IF(coder1_YH!T54="","",IF(coder1_YH!T54=coder2_NY_MT!N55,1,0))</f>
        <v/>
      </c>
      <c r="M55" s="20" t="str">
        <f>IF(coder1_YH!U54="","",IF(coder1_YH!U54=coder2_NY_MT!O55,1,0))</f>
        <v/>
      </c>
      <c r="N55" s="20" t="str">
        <f>IF(coder1_YH!V54="","",IF(coder1_YH!V54=coder2_NY_MT!P55,1,0))</f>
        <v/>
      </c>
      <c r="O55" s="20" t="str">
        <f>IF(coder1_YH!W54="","",IF(coder1_YH!W54=coder2_NY_MT!Q55,1,0))</f>
        <v/>
      </c>
      <c r="P55" s="20" t="str">
        <f>IF(coder1_YH!X54="","",IF(coder1_YH!X54=coder2_NY_MT!R55,1,0))</f>
        <v/>
      </c>
      <c r="Q55" s="20" t="str">
        <f>IF(coder1_YH!Y54="","",IF(coder1_YH!Y54=coder2_NY_MT!S55,1,0))</f>
        <v/>
      </c>
      <c r="R55" s="20" t="str">
        <f>IF(coder1_YH!Z54="","",IF(coder1_YH!Z54=coder2_NY_MT!T55,1,0))</f>
        <v/>
      </c>
      <c r="S55" s="20" t="str">
        <f>IF(R55="","",IF(OR(coder2_NY_MT!U55="", coder1_YH!AA54 = ""),0,1))</f>
        <v/>
      </c>
      <c r="T55" s="20" t="str">
        <f>IF(coder1_YH!AB54="","",IF(coder1_YH!AB54=coder2_NY_MT!V55,1,0))</f>
        <v/>
      </c>
      <c r="U55" s="20" t="str">
        <f>IF(coder1_YH!AC54="","",IF(coder1_YH!AC54=coder2_NY_MT!W55,1,0))</f>
        <v/>
      </c>
      <c r="V55" s="20" t="str">
        <f>IF(coder1_YH!AD54="","",IF(coder1_YH!AD54=coder2_NY_MT!X55,1,0))</f>
        <v/>
      </c>
      <c r="W55" s="20" t="str">
        <f>IF(coder1_YH!AE54="","",IF(coder1_YH!AE54=coder2_NY_MT!Y55,1,0))</f>
        <v/>
      </c>
      <c r="X55" s="20" t="str">
        <f>IF(coder1_YH!AF54="","",IF(coder1_YH!AF54=coder2_NY_MT!Z55,1,0))</f>
        <v/>
      </c>
      <c r="Z55" s="20" t="str">
        <f>IF(coder1_YH!AH54="","",IF(coder1_YH!AH54=coder2_NY_MT!AB55,1,0))</f>
        <v/>
      </c>
      <c r="AA55" s="20" t="str">
        <f>IF(coder1_YH!AI54="","",IF(coder1_YH!AI54=coder2_NY_MT!AC55,1,0))</f>
        <v/>
      </c>
      <c r="AB55" s="20">
        <f>IF(OR(coder2_NY_MT!AD54="", coder1_YH!AJ54 = ""),0,1)</f>
        <v>1</v>
      </c>
      <c r="AC55" s="20">
        <f>IF(coder1_YH!AK54="","",IF(coder1_YH!AK54=coder2_NY_MT!AE55,1,0))</f>
        <v>1</v>
      </c>
      <c r="AD55" s="20">
        <f>IF(coder1_YH!AL54="","",IF(coder1_YH!AL54=coder2_NY_MT!AF55,1,0))</f>
        <v>0</v>
      </c>
      <c r="AF55" s="20">
        <f>IF(coder1_YH!AN54="","",IF(coder1_YH!AN54=coder2_NY_MT!AH55,1,0))</f>
        <v>1</v>
      </c>
      <c r="AG55" s="20">
        <f>IF(coder1_YH!AO54="","",IF(coder1_YH!AO54=coder2_NY_MT!AI55,1,0))</f>
        <v>1</v>
      </c>
      <c r="AH55" s="20">
        <f>IF(coder1_YH!AP54="","",IF(coder1_YH!AP54=coder2_NY_MT!AJ55,1,0))</f>
        <v>1</v>
      </c>
      <c r="AI55" s="20">
        <f>IF(coder1_YH!AQ54="","",IF(coder1_YH!AQ54=coder2_NY_MT!AK55,1,0))</f>
        <v>1</v>
      </c>
      <c r="AJ55" s="20">
        <f>IF(coder1_YH!AR54="","",IF(coder1_YH!AR54=coder2_NY_MT!AL55,1,0))</f>
        <v>1</v>
      </c>
      <c r="AK55" s="20">
        <f>IF(coder1_YH!AS54="","",IF(coder1_YH!AS54=coder2_NY_MT!AM55,1,0))</f>
        <v>1</v>
      </c>
      <c r="AL55" s="20">
        <f>IF(coder1_YH!AZ54=coder2_NY_MT!AT55, 1, 0)</f>
        <v>1</v>
      </c>
      <c r="AM55" s="20">
        <f>IF(coder1_YH!BA54=coder2_NY_MT!AU54, 1, 0)</f>
        <v>1</v>
      </c>
      <c r="AN55" s="2"/>
    </row>
    <row r="56" spans="1:40" s="20" customFormat="1" ht="17" hidden="1" customHeight="1" x14ac:dyDescent="0.2">
      <c r="A56" s="20">
        <f>IF(coder1_YH!G55="","",IF(coder1_YH!G55=coder2_NY_MT!A56,1,0))</f>
        <v>1</v>
      </c>
      <c r="B56" s="20">
        <f>IF(coder1_YH!H55="","",IF(RIGHT(coder1_YH!H55,2)=RIGHT(coder2_NY_MT!B56,2),1,0))</f>
        <v>1</v>
      </c>
      <c r="C56" s="20">
        <f>IF(coder1_YH!I55="","",IF(coder1_YH!I55=coder2_NY_MT!C56,1,0))</f>
        <v>1</v>
      </c>
      <c r="E56" s="20">
        <f>IF(coder1_YH!K55="","",IF(coder1_YH!K55=coder2_NY_MT!E56,1,0))</f>
        <v>1</v>
      </c>
      <c r="F56" s="20">
        <f>IF(coder1_YH!L55="","",IF(coder1_YH!L55=coder2_NY_MT!F56,1,0))</f>
        <v>1</v>
      </c>
      <c r="G56" s="20">
        <f>IF(coder1_YH!M55="","",IF(coder1_YH!M55=coder2_NY_MT!G56,1,0))</f>
        <v>1</v>
      </c>
      <c r="H56" s="20">
        <f>IF(coder1_YH!P55="","",IF(RIGHT(coder1_YH!P55,3)=RIGHT(coder2_NY_MT!J56,3),1,0))</f>
        <v>0</v>
      </c>
      <c r="I56" s="20">
        <f>IF(H56="","",IF(OR(coder2_NY_MT!K56="", coder1_YH!Q55 = ""),0,1))</f>
        <v>1</v>
      </c>
      <c r="J56" s="20">
        <f>IF(coder1_YH!R55="","",IF(coder1_YH!R55=coder2_NY_MT!L56,1,0))</f>
        <v>1</v>
      </c>
      <c r="K56" s="20">
        <f>IF(coder1_YH!S55="","",IF(coder1_YH!S55=coder2_NY_MT!M56,1,0))</f>
        <v>1</v>
      </c>
      <c r="L56" s="20">
        <f>IF(coder1_YH!T55="","",IF(coder1_YH!T55=coder2_NY_MT!N56,1,0))</f>
        <v>1</v>
      </c>
      <c r="M56" s="20">
        <f>IF(coder1_YH!U55="","",IF(coder1_YH!U55=coder2_NY_MT!O56,1,0))</f>
        <v>1</v>
      </c>
      <c r="N56" s="20">
        <f>IF(coder1_YH!V55="","",IF(coder1_YH!V55=coder2_NY_MT!P56,1,0))</f>
        <v>1</v>
      </c>
      <c r="O56" s="20">
        <f>IF(coder1_YH!W55="","",IF(coder1_YH!W55=coder2_NY_MT!Q56,1,0))</f>
        <v>0</v>
      </c>
      <c r="P56" s="20">
        <f>IF(coder1_YH!X55="","",IF(coder1_YH!X55=coder2_NY_MT!R56,1,0))</f>
        <v>1</v>
      </c>
      <c r="Q56" s="20">
        <f>IF(coder1_YH!Y55="","",IF(coder1_YH!Y55=coder2_NY_MT!S56,1,0))</f>
        <v>0</v>
      </c>
      <c r="R56" s="20">
        <f>IF(coder1_YH!Z55="","",IF(coder1_YH!Z55=coder2_NY_MT!T56,1,0))</f>
        <v>1</v>
      </c>
      <c r="S56" s="20">
        <f>IF(R56="","",IF(OR(coder2_NY_MT!U56="", coder1_YH!AA55 = ""),0,1))</f>
        <v>1</v>
      </c>
      <c r="T56" s="20">
        <f>IF(coder1_YH!AB55="","",IF(coder1_YH!AB55=coder2_NY_MT!V56,1,0))</f>
        <v>1</v>
      </c>
      <c r="U56" s="20">
        <f>IF(coder1_YH!AC55="","",IF(coder1_YH!AC55=coder2_NY_MT!W56,1,0))</f>
        <v>1</v>
      </c>
      <c r="V56" s="20">
        <f>IF(coder1_YH!AD55="","",IF(coder1_YH!AD55=coder2_NY_MT!X56,1,0))</f>
        <v>1</v>
      </c>
      <c r="W56" s="20">
        <f>IF(coder1_YH!AE55="","",IF(coder1_YH!AE55=coder2_NY_MT!Y56,1,0))</f>
        <v>1</v>
      </c>
      <c r="X56" s="20">
        <f>IF(coder1_YH!AF55="","",IF(coder1_YH!AF55=coder2_NY_MT!Z56,1,0))</f>
        <v>1</v>
      </c>
      <c r="Z56" s="20">
        <f>IF(coder1_YH!AH55="","",IF(coder1_YH!AH55=coder2_NY_MT!AB56,1,0))</f>
        <v>1</v>
      </c>
      <c r="AA56" s="20">
        <f>IF(coder1_YH!AI55="","",IF(coder1_YH!AI55=coder2_NY_MT!AC56,1,0))</f>
        <v>1</v>
      </c>
      <c r="AB56" s="20">
        <f>IF(OR(coder2_NY_MT!AD55="", coder1_YH!AJ55 = ""),0,1)</f>
        <v>1</v>
      </c>
      <c r="AC56" s="20">
        <f>IF(coder1_YH!AK55="","",IF(coder1_YH!AK55=coder2_NY_MT!AE56,1,0))</f>
        <v>1</v>
      </c>
      <c r="AD56" s="20">
        <f>IF(coder1_YH!AL55="","",IF(coder1_YH!AL55=coder2_NY_MT!AF56,1,0))</f>
        <v>0</v>
      </c>
      <c r="AF56" s="20">
        <f>IF(coder1_YH!AN55="","",IF(coder1_YH!AN55=coder2_NY_MT!AH56,1,0))</f>
        <v>1</v>
      </c>
      <c r="AG56" s="20">
        <f>IF(coder1_YH!AO55="","",IF(coder1_YH!AO55=coder2_NY_MT!AI56,1,0))</f>
        <v>1</v>
      </c>
      <c r="AH56" s="20">
        <f>IF(coder1_YH!AP55="","",IF(coder1_YH!AP55=coder2_NY_MT!AJ56,1,0))</f>
        <v>1</v>
      </c>
      <c r="AI56" s="20">
        <f>IF(coder1_YH!AQ55="","",IF(coder1_YH!AQ55=coder2_NY_MT!AK56,1,0))</f>
        <v>1</v>
      </c>
      <c r="AJ56" s="20">
        <f>IF(coder1_YH!AR55="","",IF(coder1_YH!AR55=coder2_NY_MT!AL56,1,0))</f>
        <v>1</v>
      </c>
      <c r="AK56" s="20">
        <f>IF(coder1_YH!AS55="","",IF(coder1_YH!AS55=coder2_NY_MT!AM56,1,0))</f>
        <v>1</v>
      </c>
      <c r="AL56" s="20">
        <f>IF(coder1_YH!AZ55=coder2_NY_MT!AT56, 1, 0)</f>
        <v>1</v>
      </c>
      <c r="AM56" s="20">
        <f>IF(coder1_YH!BA55=coder2_NY_MT!AU55, 1, 0)</f>
        <v>1</v>
      </c>
      <c r="AN56" s="2"/>
    </row>
    <row r="57" spans="1:40" s="66" customFormat="1" ht="17" hidden="1" customHeight="1" thickBot="1" x14ac:dyDescent="0.25">
      <c r="A57" s="66" t="str">
        <f>IF(coder1_YH!G56="","",IF(coder1_YH!G56=coder2_NY_MT!A57,1,0))</f>
        <v/>
      </c>
      <c r="B57" s="66" t="str">
        <f>IF(coder1_YH!H56="","",IF(RIGHT(coder1_YH!H56,2)=RIGHT(coder2_NY_MT!B57,2),1,0))</f>
        <v/>
      </c>
      <c r="C57" s="66" t="str">
        <f>IF(coder1_YH!I56="","",IF(coder1_YH!I56=coder2_NY_MT!C57,1,0))</f>
        <v/>
      </c>
      <c r="E57" s="66" t="str">
        <f>IF(coder1_YH!K56="","",IF(coder1_YH!K56=coder2_NY_MT!E57,1,0))</f>
        <v/>
      </c>
      <c r="F57" s="66" t="str">
        <f>IF(coder1_YH!L56="","",IF(coder1_YH!L56=coder2_NY_MT!F57,1,0))</f>
        <v/>
      </c>
      <c r="G57" s="66" t="str">
        <f>IF(coder1_YH!M56="","",IF(coder1_YH!M56=coder2_NY_MT!G57,1,0))</f>
        <v/>
      </c>
      <c r="H57" s="66">
        <f>IF(coder1_YH!P56="","",IF(RIGHT(coder1_YH!P56,3)=RIGHT(coder2_NY_MT!J57,3),1,0))</f>
        <v>0</v>
      </c>
      <c r="I57" s="66">
        <f>IF(H57="","",IF(OR(coder2_NY_MT!K57="", coder1_YH!Q56 = ""),0,1))</f>
        <v>1</v>
      </c>
      <c r="J57" s="66">
        <f>IF(coder1_YH!R56="","",IF(coder1_YH!R56=coder2_NY_MT!L57,1,0))</f>
        <v>1</v>
      </c>
      <c r="K57" s="66">
        <f>IF(coder1_YH!S56="","",IF(coder1_YH!S56=coder2_NY_MT!M57,1,0))</f>
        <v>1</v>
      </c>
      <c r="L57" s="66">
        <f>IF(coder1_YH!T56="","",IF(coder1_YH!T56=coder2_NY_MT!N57,1,0))</f>
        <v>1</v>
      </c>
      <c r="M57" s="66">
        <f>IF(coder1_YH!U56="","",IF(coder1_YH!U56=coder2_NY_MT!O57,1,0))</f>
        <v>1</v>
      </c>
      <c r="N57" s="66">
        <f>IF(coder1_YH!V56="","",IF(coder1_YH!V56=coder2_NY_MT!P57,1,0))</f>
        <v>1</v>
      </c>
      <c r="O57" s="66">
        <f>IF(coder1_YH!W56="","",IF(coder1_YH!W56=coder2_NY_MT!Q57,1,0))</f>
        <v>0</v>
      </c>
      <c r="P57" s="66">
        <f>IF(coder1_YH!X56="","",IF(coder1_YH!X56=coder2_NY_MT!R57,1,0))</f>
        <v>1</v>
      </c>
      <c r="Q57" s="66">
        <f>IF(coder1_YH!Y56="","",IF(coder1_YH!Y56=coder2_NY_MT!S57,1,0))</f>
        <v>0</v>
      </c>
      <c r="R57" s="66">
        <f>IF(coder1_YH!Z56="","",IF(coder1_YH!Z56=coder2_NY_MT!T57,1,0))</f>
        <v>1</v>
      </c>
      <c r="S57" s="66">
        <f>IF(R57="","",IF(OR(coder2_NY_MT!U57="", coder1_YH!AA56 = ""),0,1))</f>
        <v>1</v>
      </c>
      <c r="T57" s="66">
        <f>IF(coder1_YH!AB56="","",IF(coder1_YH!AB56=coder2_NY_MT!V57,1,0))</f>
        <v>1</v>
      </c>
      <c r="U57" s="66">
        <f>IF(coder1_YH!AC56="","",IF(coder1_YH!AC56=coder2_NY_MT!W57,1,0))</f>
        <v>1</v>
      </c>
      <c r="V57" s="66">
        <f>IF(coder1_YH!AD56="","",IF(coder1_YH!AD56=coder2_NY_MT!X57,1,0))</f>
        <v>1</v>
      </c>
      <c r="W57" s="66">
        <f>IF(coder1_YH!AE56="","",IF(coder1_YH!AE56=coder2_NY_MT!Y57,1,0))</f>
        <v>1</v>
      </c>
      <c r="X57" s="66">
        <f>IF(coder1_YH!AF56="","",IF(coder1_YH!AF56=coder2_NY_MT!Z57,1,0))</f>
        <v>1</v>
      </c>
      <c r="Z57" s="66">
        <f>IF(coder1_YH!AH56="","",IF(coder1_YH!AH56=coder2_NY_MT!AB57,1,0))</f>
        <v>1</v>
      </c>
      <c r="AA57" s="66">
        <f>IF(coder1_YH!AI56="","",IF(coder1_YH!AI56=coder2_NY_MT!AC57,1,0))</f>
        <v>1</v>
      </c>
      <c r="AB57" s="66">
        <f>IF(OR(coder2_NY_MT!AD56="", coder1_YH!AJ56 = ""),0,1)</f>
        <v>1</v>
      </c>
      <c r="AC57" s="66">
        <f>IF(coder1_YH!AK56="","",IF(coder1_YH!AK56=coder2_NY_MT!AE57,1,0))</f>
        <v>1</v>
      </c>
      <c r="AD57" s="66">
        <f>IF(coder1_YH!AL56="","",IF(coder1_YH!AL56=coder2_NY_MT!AF57,1,0))</f>
        <v>0</v>
      </c>
      <c r="AF57" s="66">
        <f>IF(coder1_YH!AN56="","",IF(coder1_YH!AN56=coder2_NY_MT!AH57,1,0))</f>
        <v>1</v>
      </c>
      <c r="AG57" s="66">
        <f>IF(coder1_YH!AO56="","",IF(coder1_YH!AO56=coder2_NY_MT!AI57,1,0))</f>
        <v>1</v>
      </c>
      <c r="AH57" s="66">
        <f>IF(coder1_YH!AP56="","",IF(coder1_YH!AP56=coder2_NY_MT!AJ57,1,0))</f>
        <v>1</v>
      </c>
      <c r="AI57" s="66">
        <f>IF(coder1_YH!AQ56="","",IF(coder1_YH!AQ56=coder2_NY_MT!AK57,1,0))</f>
        <v>1</v>
      </c>
      <c r="AJ57" s="66">
        <f>IF(coder1_YH!AR56="","",IF(coder1_YH!AR56=coder2_NY_MT!AL57,1,0))</f>
        <v>1</v>
      </c>
      <c r="AK57" s="66">
        <f>IF(coder1_YH!AS56="","",IF(coder1_YH!AS56=coder2_NY_MT!AM57,1,0))</f>
        <v>1</v>
      </c>
      <c r="AL57" s="66">
        <f>IF(coder1_YH!AZ56=coder2_NY_MT!AT57, 1, 0)</f>
        <v>1</v>
      </c>
      <c r="AM57" s="66">
        <f>IF(coder1_YH!BA56=coder2_NY_MT!AU56, 1, 0)</f>
        <v>1</v>
      </c>
      <c r="AN57" s="68"/>
    </row>
    <row r="58" spans="1:40" s="20" customFormat="1" ht="17" hidden="1" customHeight="1" x14ac:dyDescent="0.2">
      <c r="A58" s="20">
        <f>IF(coder1_YH!G57="","",IF(coder1_YH!G57=coder2_NY_MT!A58,1,0))</f>
        <v>1</v>
      </c>
      <c r="B58" s="20">
        <f>IF(coder1_YH!H57="","",IF(RIGHT(coder1_YH!H57,2)=RIGHT(coder2_NY_MT!B58,2),1,0))</f>
        <v>1</v>
      </c>
      <c r="C58" s="20">
        <f>IF(coder1_YH!I57="","",IF(coder1_YH!I57=coder2_NY_MT!C58,1,0))</f>
        <v>1</v>
      </c>
      <c r="E58" s="20">
        <f>IF(coder1_YH!K57="","",IF(coder1_YH!K57=coder2_NY_MT!E58,1,0))</f>
        <v>1</v>
      </c>
      <c r="F58" s="20">
        <f>IF(coder1_YH!L57="","",IF(coder1_YH!L57=coder2_NY_MT!F58,1,0))</f>
        <v>1</v>
      </c>
      <c r="G58" s="20">
        <f>IF(coder1_YH!M57="","",IF(coder1_YH!M57=coder2_NY_MT!G58,1,0))</f>
        <v>1</v>
      </c>
      <c r="H58" s="20">
        <f>IF(coder1_YH!P57="","",IF(RIGHT(coder1_YH!P57,3)=RIGHT(coder2_NY_MT!J58,3),1,0))</f>
        <v>0</v>
      </c>
      <c r="I58" s="20">
        <f>IF(H58="","",IF(OR(coder2_NY_MT!K58="", coder1_YH!Q57 = ""),0,1))</f>
        <v>1</v>
      </c>
      <c r="J58" s="20">
        <f>IF(coder1_YH!R57="","",IF(coder1_YH!R57=coder2_NY_MT!L58,1,0))</f>
        <v>1</v>
      </c>
      <c r="K58" s="20">
        <f>IF(coder1_YH!S57="","",IF(coder1_YH!S57=coder2_NY_MT!M58,1,0))</f>
        <v>1</v>
      </c>
      <c r="L58" s="20">
        <f>IF(coder1_YH!T57="","",IF(coder1_YH!T57=coder2_NY_MT!N58,1,0))</f>
        <v>0</v>
      </c>
      <c r="M58" s="20">
        <f>IF(coder1_YH!U57="","",IF(coder1_YH!U57=coder2_NY_MT!O58,1,0))</f>
        <v>1</v>
      </c>
      <c r="N58" s="20">
        <f>IF(coder1_YH!V57="","",IF(coder1_YH!V57=coder2_NY_MT!P58,1,0))</f>
        <v>1</v>
      </c>
      <c r="O58" s="20">
        <f>IF(coder1_YH!W57="","",IF(coder1_YH!W57=coder2_NY_MT!Q58,1,0))</f>
        <v>1</v>
      </c>
      <c r="P58" s="20">
        <f>IF(coder1_YH!X57="","",IF(coder1_YH!X57=coder2_NY_MT!R58,1,0))</f>
        <v>1</v>
      </c>
      <c r="Q58" s="20">
        <f>IF(coder1_YH!Y57="","",IF(coder1_YH!Y57=coder2_NY_MT!S58,1,0))</f>
        <v>1</v>
      </c>
      <c r="R58" s="20">
        <f>IF(coder1_YH!Z57="","",IF(coder1_YH!Z57=coder2_NY_MT!T58,1,0))</f>
        <v>1</v>
      </c>
      <c r="S58" s="20">
        <f>IF(R58="","",IF(OR(coder2_NY_MT!U58="", coder1_YH!AA57 = ""),0,1))</f>
        <v>1</v>
      </c>
      <c r="T58" s="20">
        <f>IF(coder1_YH!AB57="","",IF(coder1_YH!AB57=coder2_NY_MT!V58,1,0))</f>
        <v>1</v>
      </c>
      <c r="U58" s="20">
        <f>IF(coder1_YH!AC57="","",IF(coder1_YH!AC57=coder2_NY_MT!W58,1,0))</f>
        <v>1</v>
      </c>
      <c r="V58" s="20">
        <f>IF(coder1_YH!AD57="","",IF(coder1_YH!AD57=coder2_NY_MT!X58,1,0))</f>
        <v>1</v>
      </c>
      <c r="W58" s="20">
        <f>IF(coder1_YH!AE57="","",IF(coder1_YH!AE57=coder2_NY_MT!Y58,1,0))</f>
        <v>1</v>
      </c>
      <c r="X58" s="20">
        <f>IF(coder1_YH!AF57="","",IF(coder1_YH!AF57=coder2_NY_MT!Z58,1,0))</f>
        <v>1</v>
      </c>
      <c r="Y58" s="20">
        <f>IF(coder1_YH!AG57="","",IF(coder1_YH!AG57=coder2_NY_MT!AA58,1,0))</f>
        <v>1</v>
      </c>
      <c r="Z58" s="20">
        <f>IF(coder1_YH!AH57="","",IF(coder1_YH!AH57=coder2_NY_MT!AB58,1,0))</f>
        <v>1</v>
      </c>
      <c r="AA58" s="20">
        <f>IF(coder1_YH!AI57="","",IF(coder1_YH!AI57=coder2_NY_MT!AC58,1,0))</f>
        <v>1</v>
      </c>
      <c r="AB58" s="20">
        <f>IF(OR(coder2_NY_MT!AD57="", coder1_YH!AJ57 = ""),0,1)</f>
        <v>1</v>
      </c>
      <c r="AC58" s="20">
        <f>IF(coder1_YH!AK57="","",IF(coder1_YH!AK57=coder2_NY_MT!AE58,1,0))</f>
        <v>1</v>
      </c>
      <c r="AD58" s="20">
        <f>IF(OR(coder2_NY_MT!AF57="", coder1_YH!AL57 = ""),0,1)</f>
        <v>0</v>
      </c>
      <c r="AF58" s="20">
        <f>IF(coder1_YH!AN57="","",IF(coder1_YH!AN57=coder2_NY_MT!AH58,1,0))</f>
        <v>1</v>
      </c>
      <c r="AG58" s="20">
        <f>IF(coder1_YH!AO57="","",IF(coder1_YH!AO57=coder2_NY_MT!AI58,1,0))</f>
        <v>1</v>
      </c>
      <c r="AH58" s="20">
        <f>IF(coder1_YH!AP57="","",IF(coder1_YH!AP57=coder2_NY_MT!AJ58,1,0))</f>
        <v>1</v>
      </c>
      <c r="AI58" s="20">
        <f>IF(coder1_YH!AQ57="","",IF(coder1_YH!AQ57=coder2_NY_MT!AK58,1,0))</f>
        <v>1</v>
      </c>
      <c r="AJ58" s="20">
        <f>IF(coder1_YH!AR57="","",IF(coder1_YH!AR57=coder2_NY_MT!AL58,1,0))</f>
        <v>1</v>
      </c>
      <c r="AK58" s="20">
        <f>IF(coder1_YH!AS57="","",IF(coder1_YH!AS57=coder2_NY_MT!AM58,1,0))</f>
        <v>0</v>
      </c>
      <c r="AL58" s="20" t="str">
        <f>IF(coder1_YH!AZ57="","",IF(coder1_YH!AZ57=coder2_NY_MT!AT58,1,0))</f>
        <v/>
      </c>
      <c r="AM58" s="20" t="e">
        <f>IF(coder1_YH!BA57="","",IF(coder1_YH!BA57=coder2_NY_MT!#REF!,1,0))</f>
        <v>#REF!</v>
      </c>
      <c r="AN58" s="2"/>
    </row>
    <row r="59" spans="1:40" s="20" customFormat="1" ht="17" hidden="1" customHeight="1" x14ac:dyDescent="0.2">
      <c r="A59" s="20">
        <f>IF(coder1_YH!G58="","",IF(coder1_YH!G58=coder2_NY_MT!A59,1,0))</f>
        <v>0</v>
      </c>
      <c r="B59" s="20">
        <f>IF(coder1_YH!H58="","",IF(RIGHT(coder1_YH!H58,2)=RIGHT(coder2_NY_MT!B59,2),1,0))</f>
        <v>0</v>
      </c>
      <c r="C59" s="20">
        <f>IF(coder1_YH!I58="","",IF(coder1_YH!I58=coder2_NY_MT!C59,1,0))</f>
        <v>0</v>
      </c>
      <c r="E59" s="20">
        <f>IF(coder1_YH!K58="","",IF(coder1_YH!K58=coder2_NY_MT!E59,1,0))</f>
        <v>0</v>
      </c>
      <c r="F59" s="20">
        <f>IF(coder1_YH!L58="","",IF(coder1_YH!L58=coder2_NY_MT!F59,1,0))</f>
        <v>0</v>
      </c>
      <c r="G59" s="20">
        <f>IF(coder1_YH!M58="","",IF(coder1_YH!M58=coder2_NY_MT!G59,1,0))</f>
        <v>0</v>
      </c>
      <c r="H59" s="20">
        <f>IF(coder1_YH!P58="","",IF(RIGHT(coder1_YH!P58,3)=RIGHT(coder2_NY_MT!J59,3),1,0))</f>
        <v>0</v>
      </c>
      <c r="I59" s="20">
        <f>IF(H59="","",IF(OR(coder2_NY_MT!K59="", coder1_YH!Q58 = ""),0,1))</f>
        <v>0</v>
      </c>
      <c r="J59" s="20">
        <f>IF(coder1_YH!R58="","",IF(coder1_YH!R58=coder2_NY_MT!L59,1,0))</f>
        <v>0</v>
      </c>
      <c r="K59" s="20">
        <f>IF(coder1_YH!S58="","",IF(coder1_YH!S58=coder2_NY_MT!M59,1,0))</f>
        <v>0</v>
      </c>
      <c r="L59" s="20">
        <f>IF(coder1_YH!T58="","",IF(coder1_YH!T58=coder2_NY_MT!N59,1,0))</f>
        <v>0</v>
      </c>
      <c r="M59" s="20">
        <f>IF(coder1_YH!U58="","",IF(coder1_YH!U58=coder2_NY_MT!O59,1,0))</f>
        <v>0</v>
      </c>
      <c r="N59" s="20">
        <f>IF(coder1_YH!V58="","",IF(coder1_YH!V58=coder2_NY_MT!P59,1,0))</f>
        <v>1</v>
      </c>
      <c r="O59" s="20">
        <f>IF(coder1_YH!W58="","",IF(coder1_YH!W58=coder2_NY_MT!Q59,1,0))</f>
        <v>0</v>
      </c>
      <c r="P59" s="20">
        <f>IF(coder1_YH!X58="","",IF(coder1_YH!X58=coder2_NY_MT!R59,1,0))</f>
        <v>0</v>
      </c>
      <c r="Q59" s="20">
        <f>IF(coder1_YH!Y58="","",IF(coder1_YH!Y58=coder2_NY_MT!S59,1,0))</f>
        <v>0</v>
      </c>
      <c r="R59" s="20">
        <f>IF(coder1_YH!Z58="","",IF(coder1_YH!Z58=coder2_NY_MT!T59,1,0))</f>
        <v>0</v>
      </c>
      <c r="S59" s="20">
        <f>IF(R59="","",IF(OR(coder2_NY_MT!U59="", coder1_YH!AA58 = ""),0,1))</f>
        <v>0</v>
      </c>
      <c r="T59" s="20">
        <f>IF(coder1_YH!AB58="","",IF(coder1_YH!AB58=coder2_NY_MT!V59,1,0))</f>
        <v>0</v>
      </c>
      <c r="U59" s="20">
        <f>IF(coder1_YH!AC58="","",IF(coder1_YH!AC58=coder2_NY_MT!W59,1,0))</f>
        <v>0</v>
      </c>
      <c r="V59" s="20">
        <f>IF(coder1_YH!AD58="","",IF(coder1_YH!AD58=coder2_NY_MT!X59,1,0))</f>
        <v>0</v>
      </c>
      <c r="W59" s="20">
        <f>IF(coder1_YH!AE58="","",IF(coder1_YH!AE58=coder2_NY_MT!Y59,1,0))</f>
        <v>0</v>
      </c>
      <c r="X59" s="20">
        <f>IF(coder1_YH!AF58="","",IF(coder1_YH!AF58=coder2_NY_MT!Z59,1,0))</f>
        <v>0</v>
      </c>
      <c r="Y59" s="20">
        <f>IF(coder1_YH!AG58="","",IF(coder1_YH!AG58=coder2_NY_MT!AA59,1,0))</f>
        <v>0</v>
      </c>
      <c r="Z59" s="20">
        <f>IF(coder1_YH!AH58="","",IF(coder1_YH!AH58=coder2_NY_MT!AB59,1,0))</f>
        <v>0</v>
      </c>
      <c r="AA59" s="20">
        <f>IF(coder1_YH!AI58="","",IF(coder1_YH!AI58=coder2_NY_MT!AC59,1,0))</f>
        <v>0</v>
      </c>
      <c r="AB59" s="20">
        <f>IF(OR(coder2_NY_MT!AD58="", coder1_YH!AJ58 = ""),0,1)</f>
        <v>1</v>
      </c>
      <c r="AC59" s="20">
        <f>IF(coder1_YH!AK58="","",IF(coder1_YH!AK58=coder2_NY_MT!AE59,1,0))</f>
        <v>1</v>
      </c>
      <c r="AD59" s="20">
        <f>IF(OR(coder2_NY_MT!AF58="", coder1_YH!AL58 = ""),0,1)</f>
        <v>1</v>
      </c>
      <c r="AF59" s="20">
        <f>IF(coder1_YH!AN58="","",IF(coder1_YH!AN58=coder2_NY_MT!AH59,1,0))</f>
        <v>1</v>
      </c>
      <c r="AG59" s="20">
        <f>IF(coder1_YH!AO58="","",IF(coder1_YH!AO58=coder2_NY_MT!AI59,1,0))</f>
        <v>1</v>
      </c>
      <c r="AH59" s="20">
        <f>IF(coder1_YH!AP58="","",IF(coder1_YH!AP58=coder2_NY_MT!AJ59,1,0))</f>
        <v>1</v>
      </c>
      <c r="AI59" s="20">
        <f>IF(coder1_YH!AQ58="","",IF(coder1_YH!AQ58=coder2_NY_MT!AK59,1,0))</f>
        <v>1</v>
      </c>
      <c r="AJ59" s="20">
        <f>IF(coder1_YH!AR58="","",IF(coder1_YH!AR58=coder2_NY_MT!AL59,1,0))</f>
        <v>1</v>
      </c>
      <c r="AK59" s="20">
        <f>IF(coder1_YH!AS58="","",IF(coder1_YH!AS58=coder2_NY_MT!AM59,1,0))</f>
        <v>1</v>
      </c>
      <c r="AL59" s="20" t="str">
        <f>IF(coder1_YH!AZ58="","",IF(coder1_YH!AZ58=coder2_NY_MT!AT59,1,0))</f>
        <v/>
      </c>
      <c r="AM59" s="20" t="e">
        <f>IF(coder1_YH!BA58="","",IF(coder1_YH!BA58=coder2_NY_MT!#REF!,1,0))</f>
        <v>#REF!</v>
      </c>
      <c r="AN59" s="2"/>
    </row>
    <row r="60" spans="1:40" s="20" customFormat="1" ht="17" hidden="1" customHeight="1" x14ac:dyDescent="0.2">
      <c r="A60" s="20">
        <f>IF(coder1_YH!G59="","",IF(coder1_YH!G59=coder2_NY_MT!A60,1,0))</f>
        <v>0</v>
      </c>
      <c r="B60" s="20">
        <f>IF(coder1_YH!H59="","",IF(RIGHT(coder1_YH!H59,2)=RIGHT(coder2_NY_MT!B60,2),1,0))</f>
        <v>0</v>
      </c>
      <c r="C60" s="20">
        <f>IF(coder1_YH!I59="","",IF(coder1_YH!I59=coder2_NY_MT!C60,1,0))</f>
        <v>0</v>
      </c>
      <c r="E60" s="20">
        <f>IF(coder1_YH!K59="","",IF(coder1_YH!K59=coder2_NY_MT!E60,1,0))</f>
        <v>0</v>
      </c>
      <c r="F60" s="20">
        <f>IF(coder1_YH!L59="","",IF(coder1_YH!L59=coder2_NY_MT!F60,1,0))</f>
        <v>0</v>
      </c>
      <c r="G60" s="20">
        <f>IF(coder1_YH!M59="","",IF(coder1_YH!M59=coder2_NY_MT!G60,1,0))</f>
        <v>0</v>
      </c>
      <c r="H60" s="20">
        <f>IF(coder1_YH!P59="","",IF(RIGHT(coder1_YH!P59,3)=RIGHT(coder2_NY_MT!J60,3),1,0))</f>
        <v>0</v>
      </c>
      <c r="I60" s="20">
        <f>IF(H60="","",IF(OR(coder2_NY_MT!K60="", coder1_YH!Q59 = ""),0,1))</f>
        <v>0</v>
      </c>
      <c r="J60" s="20">
        <f>IF(coder1_YH!R59="","",IF(coder1_YH!R59=coder2_NY_MT!L60,1,0))</f>
        <v>0</v>
      </c>
      <c r="K60" s="20">
        <f>IF(coder1_YH!S59="","",IF(coder1_YH!S59=coder2_NY_MT!M60,1,0))</f>
        <v>0</v>
      </c>
      <c r="L60" s="20">
        <f>IF(coder1_YH!T59="","",IF(coder1_YH!T59=coder2_NY_MT!N60,1,0))</f>
        <v>0</v>
      </c>
      <c r="M60" s="20">
        <f>IF(coder1_YH!U59="","",IF(coder1_YH!U59=coder2_NY_MT!O60,1,0))</f>
        <v>0</v>
      </c>
      <c r="N60" s="20">
        <f>IF(coder1_YH!V59="","",IF(coder1_YH!V59=coder2_NY_MT!P60,1,0))</f>
        <v>1</v>
      </c>
      <c r="O60" s="20">
        <f>IF(coder1_YH!W59="","",IF(coder1_YH!W59=coder2_NY_MT!Q60,1,0))</f>
        <v>0</v>
      </c>
      <c r="P60" s="20">
        <f>IF(coder1_YH!X59="","",IF(coder1_YH!X59=coder2_NY_MT!R60,1,0))</f>
        <v>0</v>
      </c>
      <c r="Q60" s="20">
        <f>IF(coder1_YH!Y59="","",IF(coder1_YH!Y59=coder2_NY_MT!S60,1,0))</f>
        <v>0</v>
      </c>
      <c r="R60" s="20">
        <f>IF(coder1_YH!Z59="","",IF(coder1_YH!Z59=coder2_NY_MT!T60,1,0))</f>
        <v>0</v>
      </c>
      <c r="S60" s="20">
        <f>IF(R60="","",IF(OR(coder2_NY_MT!U60="", coder1_YH!AA59 = ""),0,1))</f>
        <v>0</v>
      </c>
      <c r="T60" s="20">
        <f>IF(coder1_YH!AB59="","",IF(coder1_YH!AB59=coder2_NY_MT!V60,1,0))</f>
        <v>0</v>
      </c>
      <c r="U60" s="20">
        <f>IF(coder1_YH!AC59="","",IF(coder1_YH!AC59=coder2_NY_MT!W60,1,0))</f>
        <v>0</v>
      </c>
      <c r="V60" s="20">
        <f>IF(coder1_YH!AD59="","",IF(coder1_YH!AD59=coder2_NY_MT!X60,1,0))</f>
        <v>0</v>
      </c>
      <c r="W60" s="20">
        <f>IF(coder1_YH!AE59="","",IF(coder1_YH!AE59=coder2_NY_MT!Y60,1,0))</f>
        <v>0</v>
      </c>
      <c r="X60" s="20">
        <f>IF(coder1_YH!AF59="","",IF(coder1_YH!AF59=coder2_NY_MT!Z60,1,0))</f>
        <v>0</v>
      </c>
      <c r="Y60" s="20">
        <f>IF(coder1_YH!AG59="","",IF(coder1_YH!AG59=coder2_NY_MT!AA60,1,0))</f>
        <v>0</v>
      </c>
      <c r="Z60" s="20">
        <f>IF(coder1_YH!AH59="","",IF(coder1_YH!AH59=coder2_NY_MT!AB60,1,0))</f>
        <v>0</v>
      </c>
      <c r="AA60" s="20">
        <f>IF(coder1_YH!AI59="","",IF(coder1_YH!AI59=coder2_NY_MT!AC60,1,0))</f>
        <v>0</v>
      </c>
      <c r="AB60" s="20">
        <f>IF(OR(coder2_NY_MT!AD59="", coder1_YH!AJ59 = ""),0,1)</f>
        <v>1</v>
      </c>
      <c r="AC60" s="20">
        <f>IF(coder1_YH!AK59="","",IF(coder1_YH!AK59=coder2_NY_MT!AE60,1,0))</f>
        <v>1</v>
      </c>
      <c r="AD60" s="20">
        <f>IF(OR(coder2_NY_MT!AF59="", coder1_YH!AL59 = ""),0,1)</f>
        <v>1</v>
      </c>
      <c r="AF60" s="20">
        <f>IF(coder1_YH!AN59="","",IF(coder1_YH!AN59=coder2_NY_MT!AH60,1,0))</f>
        <v>1</v>
      </c>
      <c r="AG60" s="20">
        <f>IF(coder1_YH!AO59="","",IF(coder1_YH!AO59=coder2_NY_MT!AI60,1,0))</f>
        <v>1</v>
      </c>
      <c r="AH60" s="20">
        <f>IF(coder1_YH!AP59="","",IF(coder1_YH!AP59=coder2_NY_MT!AJ60,1,0))</f>
        <v>1</v>
      </c>
      <c r="AI60" s="20">
        <f>IF(coder1_YH!AQ59="","",IF(coder1_YH!AQ59=coder2_NY_MT!AK60,1,0))</f>
        <v>1</v>
      </c>
      <c r="AJ60" s="20">
        <f>IF(coder1_YH!AR59="","",IF(coder1_YH!AR59=coder2_NY_MT!AL60,1,0))</f>
        <v>1</v>
      </c>
      <c r="AK60" s="20">
        <f>IF(coder1_YH!AS59="","",IF(coder1_YH!AS59=coder2_NY_MT!AM60,1,0))</f>
        <v>1</v>
      </c>
      <c r="AL60" s="20" t="str">
        <f>IF(coder1_YH!AZ59="","",IF(coder1_YH!AZ59=coder2_NY_MT!AT60,1,0))</f>
        <v/>
      </c>
      <c r="AM60" s="20" t="e">
        <f>IF(coder1_YH!BA59="","",IF(coder1_YH!BA59=coder2_NY_MT!#REF!,1,0))</f>
        <v>#REF!</v>
      </c>
      <c r="AN60" s="2"/>
    </row>
    <row r="61" spans="1:40" s="20" customFormat="1" ht="17" hidden="1" customHeight="1" x14ac:dyDescent="0.2">
      <c r="A61" s="20">
        <f>IF(coder1_YH!G60="","",IF(coder1_YH!G60=coder2_NY_MT!A61,1,0))</f>
        <v>0</v>
      </c>
      <c r="B61" s="20">
        <f>IF(coder1_YH!H60="","",IF(RIGHT(coder1_YH!H60,2)=RIGHT(coder2_NY_MT!B61,2),1,0))</f>
        <v>0</v>
      </c>
      <c r="C61" s="20">
        <f>IF(coder1_YH!I60="","",IF(coder1_YH!I60=coder2_NY_MT!C61,1,0))</f>
        <v>0</v>
      </c>
      <c r="E61" s="20">
        <f>IF(coder1_YH!K60="","",IF(coder1_YH!K60=coder2_NY_MT!E61,1,0))</f>
        <v>0</v>
      </c>
      <c r="F61" s="20">
        <f>IF(coder1_YH!L60="","",IF(coder1_YH!L60=coder2_NY_MT!F61,1,0))</f>
        <v>0</v>
      </c>
      <c r="G61" s="20">
        <f>IF(coder1_YH!M60="","",IF(coder1_YH!M60=coder2_NY_MT!G61,1,0))</f>
        <v>0</v>
      </c>
      <c r="H61" s="20">
        <f>IF(coder1_YH!P60="","",IF(RIGHT(coder1_YH!P60,3)=RIGHT(coder2_NY_MT!J61,3),1,0))</f>
        <v>0</v>
      </c>
      <c r="I61" s="20">
        <f>IF(H61="","",IF(OR(coder2_NY_MT!K61="", coder1_YH!Q60 = ""),0,1))</f>
        <v>0</v>
      </c>
      <c r="J61" s="20">
        <f>IF(coder1_YH!R60="","",IF(coder1_YH!R60=coder2_NY_MT!L61,1,0))</f>
        <v>0</v>
      </c>
      <c r="K61" s="20">
        <f>IF(coder1_YH!S60="","",IF(coder1_YH!S60=coder2_NY_MT!M61,1,0))</f>
        <v>0</v>
      </c>
      <c r="L61" s="20">
        <f>IF(coder1_YH!T60="","",IF(coder1_YH!T60=coder2_NY_MT!N61,1,0))</f>
        <v>0</v>
      </c>
      <c r="M61" s="20">
        <f>IF(coder1_YH!U60="","",IF(coder1_YH!U60=coder2_NY_MT!O61,1,0))</f>
        <v>0</v>
      </c>
      <c r="N61" s="20">
        <f>IF(coder1_YH!V60="","",IF(coder1_YH!V60=coder2_NY_MT!P61,1,0))</f>
        <v>1</v>
      </c>
      <c r="O61" s="20">
        <f>IF(coder1_YH!W60="","",IF(coder1_YH!W60=coder2_NY_MT!Q61,1,0))</f>
        <v>0</v>
      </c>
      <c r="P61" s="20">
        <f>IF(coder1_YH!X60="","",IF(coder1_YH!X60=coder2_NY_MT!R61,1,0))</f>
        <v>0</v>
      </c>
      <c r="Q61" s="20">
        <f>IF(coder1_YH!Y60="","",IF(coder1_YH!Y60=coder2_NY_MT!S61,1,0))</f>
        <v>0</v>
      </c>
      <c r="R61" s="20">
        <f>IF(coder1_YH!Z60="","",IF(coder1_YH!Z60=coder2_NY_MT!T61,1,0))</f>
        <v>0</v>
      </c>
      <c r="S61" s="20">
        <f>IF(R61="","",IF(OR(coder2_NY_MT!U61="", coder1_YH!AA60 = ""),0,1))</f>
        <v>0</v>
      </c>
      <c r="T61" s="20">
        <f>IF(coder1_YH!AB60="","",IF(coder1_YH!AB60=coder2_NY_MT!V61,1,0))</f>
        <v>0</v>
      </c>
      <c r="U61" s="20">
        <f>IF(coder1_YH!AC60="","",IF(coder1_YH!AC60=coder2_NY_MT!W61,1,0))</f>
        <v>0</v>
      </c>
      <c r="V61" s="20">
        <f>IF(coder1_YH!AD60="","",IF(coder1_YH!AD60=coder2_NY_MT!X61,1,0))</f>
        <v>0</v>
      </c>
      <c r="W61" s="20">
        <f>IF(coder1_YH!AE60="","",IF(coder1_YH!AE60=coder2_NY_MT!Y61,1,0))</f>
        <v>0</v>
      </c>
      <c r="X61" s="20">
        <f>IF(coder1_YH!AF60="","",IF(coder1_YH!AF60=coder2_NY_MT!Z61,1,0))</f>
        <v>0</v>
      </c>
      <c r="Y61" s="20">
        <f>IF(coder1_YH!AG60="","",IF(coder1_YH!AG60=coder2_NY_MT!AA61,1,0))</f>
        <v>0</v>
      </c>
      <c r="Z61" s="20">
        <f>IF(coder1_YH!AH60="","",IF(coder1_YH!AH60=coder2_NY_MT!AB61,1,0))</f>
        <v>0</v>
      </c>
      <c r="AA61" s="20">
        <f>IF(coder1_YH!AI60="","",IF(coder1_YH!AI60=coder2_NY_MT!AC61,1,0))</f>
        <v>0</v>
      </c>
      <c r="AB61" s="20">
        <f>IF(OR(coder2_NY_MT!AD60="", coder1_YH!AJ60 = ""),0,1)</f>
        <v>1</v>
      </c>
      <c r="AC61" s="20">
        <f>IF(coder1_YH!AK60="","",IF(coder1_YH!AK60=coder2_NY_MT!AE61,1,0))</f>
        <v>1</v>
      </c>
      <c r="AD61" s="20">
        <f>IF(OR(coder2_NY_MT!AF60="", coder1_YH!AL60 = ""),0,1)</f>
        <v>1</v>
      </c>
      <c r="AF61" s="20">
        <f>IF(coder1_YH!AN60="","",IF(coder1_YH!AN60=coder2_NY_MT!AH61,1,0))</f>
        <v>1</v>
      </c>
      <c r="AG61" s="20">
        <f>IF(coder1_YH!AO60="","",IF(coder1_YH!AO60=coder2_NY_MT!AI61,1,0))</f>
        <v>1</v>
      </c>
      <c r="AH61" s="20">
        <f>IF(coder1_YH!AP60="","",IF(coder1_YH!AP60=coder2_NY_MT!AJ61,1,0))</f>
        <v>1</v>
      </c>
      <c r="AI61" s="20">
        <f>IF(coder1_YH!AQ60="","",IF(coder1_YH!AQ60=coder2_NY_MT!AK61,1,0))</f>
        <v>1</v>
      </c>
      <c r="AJ61" s="20">
        <f>IF(coder1_YH!AR60="","",IF(coder1_YH!AR60=coder2_NY_MT!AL61,1,0))</f>
        <v>1</v>
      </c>
      <c r="AK61" s="20">
        <f>IF(coder1_YH!AS60="","",IF(coder1_YH!AS60=coder2_NY_MT!AM61,1,0))</f>
        <v>1</v>
      </c>
      <c r="AL61" s="20" t="str">
        <f>IF(coder1_YH!AZ60="","",IF(coder1_YH!AZ60=coder2_NY_MT!AT61,1,0))</f>
        <v/>
      </c>
      <c r="AM61" s="20" t="e">
        <f>IF(coder1_YH!BA60="","",IF(coder1_YH!BA60=coder2_NY_MT!#REF!,1,0))</f>
        <v>#REF!</v>
      </c>
      <c r="AN61" s="2"/>
    </row>
    <row r="62" spans="1:40" s="20" customFormat="1" ht="17" hidden="1" customHeight="1" x14ac:dyDescent="0.2">
      <c r="A62" s="20">
        <f>IF(coder1_YH!G61="","",IF(coder1_YH!G61=coder2_NY_MT!A62,1,0))</f>
        <v>0</v>
      </c>
      <c r="B62" s="20">
        <f>IF(coder1_YH!H61="","",IF(RIGHT(coder1_YH!H61,2)=RIGHT(coder2_NY_MT!B62,2),1,0))</f>
        <v>0</v>
      </c>
      <c r="C62" s="20">
        <f>IF(coder1_YH!I61="","",IF(coder1_YH!I61=coder2_NY_MT!C62,1,0))</f>
        <v>0</v>
      </c>
      <c r="E62" s="20">
        <f>IF(coder1_YH!K61="","",IF(coder1_YH!K61=coder2_NY_MT!E62,1,0))</f>
        <v>0</v>
      </c>
      <c r="F62" s="20">
        <f>IF(coder1_YH!L61="","",IF(coder1_YH!L61=coder2_NY_MT!F62,1,0))</f>
        <v>0</v>
      </c>
      <c r="G62" s="20">
        <f>IF(coder1_YH!M61="","",IF(coder1_YH!M61=coder2_NY_MT!G62,1,0))</f>
        <v>0</v>
      </c>
      <c r="H62" s="20">
        <f>IF(coder1_YH!P61="","",IF(RIGHT(coder1_YH!P61,3)=RIGHT(coder2_NY_MT!J62,3),1,0))</f>
        <v>0</v>
      </c>
      <c r="I62" s="20">
        <f>IF(H62="","",IF(OR(coder2_NY_MT!K62="", coder1_YH!Q61 = ""),0,1))</f>
        <v>1</v>
      </c>
      <c r="J62" s="20">
        <f>IF(coder1_YH!R61="","",IF(coder1_YH!R61=coder2_NY_MT!L62,1,0))</f>
        <v>1</v>
      </c>
      <c r="K62" s="20">
        <f>IF(coder1_YH!S61="","",IF(coder1_YH!S61=coder2_NY_MT!M62,1,0))</f>
        <v>1</v>
      </c>
      <c r="L62" s="20">
        <f>IF(coder1_YH!T61="","",IF(coder1_YH!T61=coder2_NY_MT!N62,1,0))</f>
        <v>0</v>
      </c>
      <c r="M62" s="20">
        <f>IF(coder1_YH!U61="","",IF(coder1_YH!U61=coder2_NY_MT!O62,1,0))</f>
        <v>1</v>
      </c>
      <c r="N62" s="20">
        <f>IF(coder1_YH!V61="","",IF(coder1_YH!V61=coder2_NY_MT!P62,1,0))</f>
        <v>1</v>
      </c>
      <c r="O62" s="20">
        <f>IF(coder1_YH!W61="","",IF(coder1_YH!W61=coder2_NY_MT!Q62,1,0))</f>
        <v>1</v>
      </c>
      <c r="P62" s="20">
        <f>IF(coder1_YH!X61="","",IF(coder1_YH!X61=coder2_NY_MT!R62,1,0))</f>
        <v>1</v>
      </c>
      <c r="Q62" s="20">
        <f>IF(coder1_YH!Y61="","",IF(coder1_YH!Y61=coder2_NY_MT!S62,1,0))</f>
        <v>1</v>
      </c>
      <c r="R62" s="20">
        <f>IF(coder1_YH!Z61="","",IF(coder1_YH!Z61=coder2_NY_MT!T62,1,0))</f>
        <v>1</v>
      </c>
      <c r="S62" s="20">
        <f>IF(R62="","",IF(OR(coder2_NY_MT!U62="", coder1_YH!AA61 = ""),0,1))</f>
        <v>1</v>
      </c>
      <c r="T62" s="20">
        <f>IF(coder1_YH!AB61="","",IF(coder1_YH!AB61=coder2_NY_MT!V62,1,0))</f>
        <v>1</v>
      </c>
      <c r="U62" s="20">
        <f>IF(coder1_YH!AC61="","",IF(coder1_YH!AC61=coder2_NY_MT!W62,1,0))</f>
        <v>1</v>
      </c>
      <c r="V62" s="20">
        <f>IF(coder1_YH!AD61="","",IF(coder1_YH!AD61=coder2_NY_MT!X62,1,0))</f>
        <v>1</v>
      </c>
      <c r="W62" s="20">
        <f>IF(coder1_YH!AE61="","",IF(coder1_YH!AE61=coder2_NY_MT!Y62,1,0))</f>
        <v>1</v>
      </c>
      <c r="X62" s="20">
        <f>IF(coder1_YH!AF61="","",IF(coder1_YH!AF61=coder2_NY_MT!Z62,1,0))</f>
        <v>1</v>
      </c>
      <c r="Y62" s="20">
        <f>IF(coder1_YH!AG61="","",IF(coder1_YH!AG61=coder2_NY_MT!AA62,1,0))</f>
        <v>1</v>
      </c>
      <c r="Z62" s="20">
        <f>IF(coder1_YH!AH61="","",IF(coder1_YH!AH61=coder2_NY_MT!AB62,1,0))</f>
        <v>1</v>
      </c>
      <c r="AA62" s="20">
        <f>IF(coder1_YH!AI61="","",IF(coder1_YH!AI61=coder2_NY_MT!AC62,1,0))</f>
        <v>1</v>
      </c>
      <c r="AB62" s="20">
        <f>IF(OR(coder2_NY_MT!AD61="", coder1_YH!AJ61 = ""),0,1)</f>
        <v>1</v>
      </c>
      <c r="AC62" s="20">
        <f>IF(coder1_YH!AK61="","",IF(coder1_YH!AK61=coder2_NY_MT!AE62,1,0))</f>
        <v>1</v>
      </c>
      <c r="AD62" s="20">
        <f>IF(OR(coder2_NY_MT!AF61="", coder1_YH!AL61 = ""),0,1)</f>
        <v>1</v>
      </c>
      <c r="AF62" s="20">
        <f>IF(coder1_YH!AN61="","",IF(coder1_YH!AN61=coder2_NY_MT!AH62,1,0))</f>
        <v>1</v>
      </c>
      <c r="AG62" s="20">
        <f>IF(coder1_YH!AO61="","",IF(coder1_YH!AO61=coder2_NY_MT!AI62,1,0))</f>
        <v>1</v>
      </c>
      <c r="AH62" s="20">
        <f>IF(coder1_YH!AP61="","",IF(coder1_YH!AP61=coder2_NY_MT!AJ62,1,0))</f>
        <v>1</v>
      </c>
      <c r="AI62" s="20">
        <f>IF(coder1_YH!AQ61="","",IF(coder1_YH!AQ61=coder2_NY_MT!AK62,1,0))</f>
        <v>1</v>
      </c>
      <c r="AJ62" s="20">
        <f>IF(coder1_YH!AR61="","",IF(coder1_YH!AR61=coder2_NY_MT!AL62,1,0))</f>
        <v>1</v>
      </c>
      <c r="AK62" s="20">
        <f>IF(coder1_YH!AS61="","",IF(coder1_YH!AS61=coder2_NY_MT!AM62,1,0))</f>
        <v>0</v>
      </c>
      <c r="AL62" s="20" t="str">
        <f>IF(coder1_YH!AZ61="","",IF(coder1_YH!AZ61=coder2_NY_MT!AT62,1,0))</f>
        <v/>
      </c>
      <c r="AM62" s="20" t="e">
        <f>IF(coder1_YH!BA61="","",IF(coder1_YH!BA61=coder2_NY_MT!#REF!,1,0))</f>
        <v>#REF!</v>
      </c>
      <c r="AN62" s="2"/>
    </row>
    <row r="63" spans="1:40" s="20" customFormat="1" ht="17" hidden="1" customHeight="1" x14ac:dyDescent="0.2">
      <c r="A63" s="20">
        <f>IF(coder1_YH!G62="","",IF(coder1_YH!G62=coder2_NY_MT!A63,1,0))</f>
        <v>0</v>
      </c>
      <c r="B63" s="20">
        <f>IF(coder1_YH!H62="","",IF(RIGHT(coder1_YH!H62,2)=RIGHT(coder2_NY_MT!B63,2),1,0))</f>
        <v>0</v>
      </c>
      <c r="C63" s="20">
        <f>IF(coder1_YH!I62="","",IF(coder1_YH!I62=coder2_NY_MT!C63,1,0))</f>
        <v>0</v>
      </c>
      <c r="E63" s="20">
        <f>IF(coder1_YH!K62="","",IF(coder1_YH!K62=coder2_NY_MT!E63,1,0))</f>
        <v>0</v>
      </c>
      <c r="F63" s="20">
        <f>IF(coder1_YH!L62="","",IF(coder1_YH!L62=coder2_NY_MT!F63,1,0))</f>
        <v>0</v>
      </c>
      <c r="G63" s="20">
        <f>IF(coder1_YH!M62="","",IF(coder1_YH!M62=coder2_NY_MT!G63,1,0))</f>
        <v>0</v>
      </c>
      <c r="H63" s="20">
        <f>IF(coder1_YH!P62="","",IF(RIGHT(coder1_YH!P62,3)=RIGHT(coder2_NY_MT!J63,3),1,0))</f>
        <v>0</v>
      </c>
      <c r="I63" s="20">
        <f>IF(H63="","",IF(OR(coder2_NY_MT!K63="", coder1_YH!Q62 = ""),0,1))</f>
        <v>0</v>
      </c>
      <c r="J63" s="20">
        <f>IF(coder1_YH!R62="","",IF(coder1_YH!R62=coder2_NY_MT!L63,1,0))</f>
        <v>0</v>
      </c>
      <c r="K63" s="20">
        <f>IF(coder1_YH!S62="","",IF(coder1_YH!S62=coder2_NY_MT!M63,1,0))</f>
        <v>0</v>
      </c>
      <c r="L63" s="20">
        <f>IF(coder1_YH!T62="","",IF(coder1_YH!T62=coder2_NY_MT!N63,1,0))</f>
        <v>0</v>
      </c>
      <c r="M63" s="20">
        <f>IF(coder1_YH!U62="","",IF(coder1_YH!U62=coder2_NY_MT!O63,1,0))</f>
        <v>0</v>
      </c>
      <c r="N63" s="20">
        <f>IF(coder1_YH!V62="","",IF(coder1_YH!V62=coder2_NY_MT!P63,1,0))</f>
        <v>1</v>
      </c>
      <c r="O63" s="20">
        <f>IF(coder1_YH!W62="","",IF(coder1_YH!W62=coder2_NY_MT!Q63,1,0))</f>
        <v>0</v>
      </c>
      <c r="P63" s="20">
        <f>IF(coder1_YH!X62="","",IF(coder1_YH!X62=coder2_NY_MT!R63,1,0))</f>
        <v>0</v>
      </c>
      <c r="Q63" s="20">
        <f>IF(coder1_YH!Y62="","",IF(coder1_YH!Y62=coder2_NY_MT!S63,1,0))</f>
        <v>0</v>
      </c>
      <c r="R63" s="20">
        <f>IF(coder1_YH!Z62="","",IF(coder1_YH!Z62=coder2_NY_MT!T63,1,0))</f>
        <v>0</v>
      </c>
      <c r="S63" s="20">
        <f>IF(R63="","",IF(OR(coder2_NY_MT!U63="", coder1_YH!AA62 = ""),0,1))</f>
        <v>0</v>
      </c>
      <c r="T63" s="20">
        <f>IF(coder1_YH!AB62="","",IF(coder1_YH!AB62=coder2_NY_MT!V63,1,0))</f>
        <v>0</v>
      </c>
      <c r="U63" s="20">
        <f>IF(coder1_YH!AC62="","",IF(coder1_YH!AC62=coder2_NY_MT!W63,1,0))</f>
        <v>0</v>
      </c>
      <c r="V63" s="20">
        <f>IF(coder1_YH!AD62="","",IF(coder1_YH!AD62=coder2_NY_MT!X63,1,0))</f>
        <v>0</v>
      </c>
      <c r="W63" s="20">
        <f>IF(coder1_YH!AE62="","",IF(coder1_YH!AE62=coder2_NY_MT!Y63,1,0))</f>
        <v>0</v>
      </c>
      <c r="X63" s="20">
        <f>IF(coder1_YH!AF62="","",IF(coder1_YH!AF62=coder2_NY_MT!Z63,1,0))</f>
        <v>0</v>
      </c>
      <c r="Y63" s="20">
        <f>IF(coder1_YH!AG62="","",IF(coder1_YH!AG62=coder2_NY_MT!AA63,1,0))</f>
        <v>0</v>
      </c>
      <c r="Z63" s="20">
        <f>IF(coder1_YH!AH62="","",IF(coder1_YH!AH62=coder2_NY_MT!AB63,1,0))</f>
        <v>0</v>
      </c>
      <c r="AA63" s="20">
        <f>IF(coder1_YH!AI62="","",IF(coder1_YH!AI62=coder2_NY_MT!AC63,1,0))</f>
        <v>0</v>
      </c>
      <c r="AB63" s="20">
        <f>IF(OR(coder2_NY_MT!AD62="", coder1_YH!AJ62 = ""),0,1)</f>
        <v>1</v>
      </c>
      <c r="AC63" s="20">
        <f>IF(coder1_YH!AK62="","",IF(coder1_YH!AK62=coder2_NY_MT!AE63,1,0))</f>
        <v>1</v>
      </c>
      <c r="AD63" s="20">
        <f>IF(OR(coder2_NY_MT!AF62="", coder1_YH!AL62 = ""),0,1)</f>
        <v>0</v>
      </c>
      <c r="AF63" s="20">
        <f>IF(coder1_YH!AN62="","",IF(coder1_YH!AN62=coder2_NY_MT!AH63,1,0))</f>
        <v>1</v>
      </c>
      <c r="AG63" s="20">
        <f>IF(coder1_YH!AO62="","",IF(coder1_YH!AO62=coder2_NY_MT!AI63,1,0))</f>
        <v>1</v>
      </c>
      <c r="AH63" s="20">
        <f>IF(coder1_YH!AP62="","",IF(coder1_YH!AP62=coder2_NY_MT!AJ63,1,0))</f>
        <v>1</v>
      </c>
      <c r="AI63" s="20">
        <f>IF(coder1_YH!AQ62="","",IF(coder1_YH!AQ62=coder2_NY_MT!AK63,1,0))</f>
        <v>1</v>
      </c>
      <c r="AJ63" s="20">
        <f>IF(coder1_YH!AR62="","",IF(coder1_YH!AR62=coder2_NY_MT!AL63,1,0))</f>
        <v>1</v>
      </c>
      <c r="AK63" s="20">
        <f>IF(coder1_YH!AS62="","",IF(coder1_YH!AS62=coder2_NY_MT!AM63,1,0))</f>
        <v>1</v>
      </c>
      <c r="AL63" s="20" t="str">
        <f>IF(coder1_YH!AZ62="","",IF(coder1_YH!AZ62=coder2_NY_MT!AT63,1,0))</f>
        <v/>
      </c>
      <c r="AM63" s="20" t="e">
        <f>IF(coder1_YH!BA62="","",IF(coder1_YH!BA62=coder2_NY_MT!#REF!,1,0))</f>
        <v>#REF!</v>
      </c>
      <c r="AN63" s="2"/>
    </row>
    <row r="64" spans="1:40" s="20" customFormat="1" ht="17" hidden="1" customHeight="1" x14ac:dyDescent="0.2">
      <c r="A64" s="20">
        <f>IF(coder1_YH!G63="","",IF(coder1_YH!G63=coder2_NY_MT!A64,1,0))</f>
        <v>0</v>
      </c>
      <c r="B64" s="20">
        <f>IF(coder1_YH!H63="","",IF(RIGHT(coder1_YH!H63,2)=RIGHT(coder2_NY_MT!B64,2),1,0))</f>
        <v>0</v>
      </c>
      <c r="C64" s="20">
        <f>IF(coder1_YH!I63="","",IF(coder1_YH!I63=coder2_NY_MT!C64,1,0))</f>
        <v>0</v>
      </c>
      <c r="E64" s="20">
        <f>IF(coder1_YH!K63="","",IF(coder1_YH!K63=coder2_NY_MT!E64,1,0))</f>
        <v>0</v>
      </c>
      <c r="F64" s="20">
        <f>IF(coder1_YH!L63="","",IF(coder1_YH!L63=coder2_NY_MT!F64,1,0))</f>
        <v>0</v>
      </c>
      <c r="G64" s="20">
        <f>IF(coder1_YH!M63="","",IF(coder1_YH!M63=coder2_NY_MT!G64,1,0))</f>
        <v>0</v>
      </c>
      <c r="H64" s="20">
        <f>IF(coder1_YH!P63="","",IF(RIGHT(coder1_YH!P63,3)=RIGHT(coder2_NY_MT!J64,3),1,0))</f>
        <v>0</v>
      </c>
      <c r="I64" s="20">
        <f>IF(H64="","",IF(OR(coder2_NY_MT!K64="", coder1_YH!Q63 = ""),0,1))</f>
        <v>0</v>
      </c>
      <c r="J64" s="20">
        <f>IF(coder1_YH!R63="","",IF(coder1_YH!R63=coder2_NY_MT!L64,1,0))</f>
        <v>0</v>
      </c>
      <c r="K64" s="20">
        <f>IF(coder1_YH!S63="","",IF(coder1_YH!S63=coder2_NY_MT!M64,1,0))</f>
        <v>0</v>
      </c>
      <c r="L64" s="20">
        <f>IF(coder1_YH!T63="","",IF(coder1_YH!T63=coder2_NY_MT!N64,1,0))</f>
        <v>0</v>
      </c>
      <c r="M64" s="20">
        <f>IF(coder1_YH!U63="","",IF(coder1_YH!U63=coder2_NY_MT!O64,1,0))</f>
        <v>0</v>
      </c>
      <c r="N64" s="20">
        <f>IF(coder1_YH!V63="","",IF(coder1_YH!V63=coder2_NY_MT!P64,1,0))</f>
        <v>1</v>
      </c>
      <c r="O64" s="20">
        <f>IF(coder1_YH!W63="","",IF(coder1_YH!W63=coder2_NY_MT!Q64,1,0))</f>
        <v>0</v>
      </c>
      <c r="P64" s="20">
        <f>IF(coder1_YH!X63="","",IF(coder1_YH!X63=coder2_NY_MT!R64,1,0))</f>
        <v>0</v>
      </c>
      <c r="Q64" s="20">
        <f>IF(coder1_YH!Y63="","",IF(coder1_YH!Y63=coder2_NY_MT!S64,1,0))</f>
        <v>0</v>
      </c>
      <c r="R64" s="20">
        <f>IF(coder1_YH!Z63="","",IF(coder1_YH!Z63=coder2_NY_MT!T64,1,0))</f>
        <v>0</v>
      </c>
      <c r="S64" s="20">
        <f>IF(R64="","",IF(OR(coder2_NY_MT!U64="", coder1_YH!AA63 = ""),0,1))</f>
        <v>0</v>
      </c>
      <c r="T64" s="20">
        <f>IF(coder1_YH!AB63="","",IF(coder1_YH!AB63=coder2_NY_MT!V64,1,0))</f>
        <v>0</v>
      </c>
      <c r="U64" s="20">
        <f>IF(coder1_YH!AC63="","",IF(coder1_YH!AC63=coder2_NY_MT!W64,1,0))</f>
        <v>0</v>
      </c>
      <c r="V64" s="20">
        <f>IF(coder1_YH!AD63="","",IF(coder1_YH!AD63=coder2_NY_MT!X64,1,0))</f>
        <v>0</v>
      </c>
      <c r="W64" s="20">
        <f>IF(coder1_YH!AE63="","",IF(coder1_YH!AE63=coder2_NY_MT!Y64,1,0))</f>
        <v>0</v>
      </c>
      <c r="X64" s="20">
        <f>IF(coder1_YH!AF63="","",IF(coder1_YH!AF63=coder2_NY_MT!Z64,1,0))</f>
        <v>0</v>
      </c>
      <c r="Y64" s="20">
        <f>IF(coder1_YH!AG63="","",IF(coder1_YH!AG63=coder2_NY_MT!AA64,1,0))</f>
        <v>0</v>
      </c>
      <c r="Z64" s="20">
        <f>IF(coder1_YH!AH63="","",IF(coder1_YH!AH63=coder2_NY_MT!AB64,1,0))</f>
        <v>0</v>
      </c>
      <c r="AA64" s="20">
        <f>IF(coder1_YH!AI63="","",IF(coder1_YH!AI63=coder2_NY_MT!AC64,1,0))</f>
        <v>0</v>
      </c>
      <c r="AB64" s="20">
        <f>IF(OR(coder2_NY_MT!AD63="", coder1_YH!AJ63 = ""),0,1)</f>
        <v>1</v>
      </c>
      <c r="AC64" s="20">
        <f>IF(coder1_YH!AK63="","",IF(coder1_YH!AK63=coder2_NY_MT!AE64,1,0))</f>
        <v>1</v>
      </c>
      <c r="AD64" s="20">
        <f>IF(OR(coder2_NY_MT!AF63="", coder1_YH!AL63 = ""),0,1)</f>
        <v>0</v>
      </c>
      <c r="AF64" s="20">
        <f>IF(coder1_YH!AN63="","",IF(coder1_YH!AN63=coder2_NY_MT!AH64,1,0))</f>
        <v>1</v>
      </c>
      <c r="AG64" s="20">
        <f>IF(coder1_YH!AO63="","",IF(coder1_YH!AO63=coder2_NY_MT!AI64,1,0))</f>
        <v>1</v>
      </c>
      <c r="AH64" s="20">
        <f>IF(coder1_YH!AP63="","",IF(coder1_YH!AP63=coder2_NY_MT!AJ64,1,0))</f>
        <v>1</v>
      </c>
      <c r="AI64" s="20">
        <f>IF(coder1_YH!AQ63="","",IF(coder1_YH!AQ63=coder2_NY_MT!AK64,1,0))</f>
        <v>1</v>
      </c>
      <c r="AJ64" s="20">
        <f>IF(coder1_YH!AR63="","",IF(coder1_YH!AR63=coder2_NY_MT!AL64,1,0))</f>
        <v>1</v>
      </c>
      <c r="AK64" s="20">
        <f>IF(coder1_YH!AS63="","",IF(coder1_YH!AS63=coder2_NY_MT!AM64,1,0))</f>
        <v>1</v>
      </c>
      <c r="AL64" s="20" t="str">
        <f>IF(coder1_YH!AZ63="","",IF(coder1_YH!AZ63=coder2_NY_MT!AT64,1,0))</f>
        <v/>
      </c>
      <c r="AM64" s="20" t="e">
        <f>IF(coder1_YH!BA63="","",IF(coder1_YH!BA63=coder2_NY_MT!#REF!,1,0))</f>
        <v>#REF!</v>
      </c>
      <c r="AN64" s="2"/>
    </row>
    <row r="65" spans="1:40" s="20" customFormat="1" ht="17" hidden="1" customHeight="1" x14ac:dyDescent="0.2">
      <c r="A65" s="20">
        <f>IF(coder1_YH!G64="","",IF(coder1_YH!G64=coder2_NY_MT!A65,1,0))</f>
        <v>0</v>
      </c>
      <c r="B65" s="20">
        <f>IF(coder1_YH!H64="","",IF(RIGHT(coder1_YH!H64,2)=RIGHT(coder2_NY_MT!B65,2),1,0))</f>
        <v>0</v>
      </c>
      <c r="C65" s="20">
        <f>IF(coder1_YH!I64="","",IF(coder1_YH!I64=coder2_NY_MT!C65,1,0))</f>
        <v>0</v>
      </c>
      <c r="E65" s="20">
        <f>IF(coder1_YH!K64="","",IF(coder1_YH!K64=coder2_NY_MT!E65,1,0))</f>
        <v>0</v>
      </c>
      <c r="F65" s="20">
        <f>IF(coder1_YH!L64="","",IF(coder1_YH!L64=coder2_NY_MT!F65,1,0))</f>
        <v>0</v>
      </c>
      <c r="G65" s="20">
        <f>IF(coder1_YH!M64="","",IF(coder1_YH!M64=coder2_NY_MT!G65,1,0))</f>
        <v>0</v>
      </c>
      <c r="H65" s="20">
        <f>IF(coder1_YH!P64="","",IF(RIGHT(coder1_YH!P64,3)=RIGHT(coder2_NY_MT!J65,3),1,0))</f>
        <v>0</v>
      </c>
      <c r="I65" s="20">
        <f>IF(H65="","",IF(OR(coder2_NY_MT!K65="", coder1_YH!Q64 = ""),0,1))</f>
        <v>0</v>
      </c>
      <c r="J65" s="20">
        <f>IF(coder1_YH!R64="","",IF(coder1_YH!R64=coder2_NY_MT!L65,1,0))</f>
        <v>0</v>
      </c>
      <c r="K65" s="20">
        <f>IF(coder1_YH!S64="","",IF(coder1_YH!S64=coder2_NY_MT!M65,1,0))</f>
        <v>0</v>
      </c>
      <c r="L65" s="20">
        <f>IF(coder1_YH!T64="","",IF(coder1_YH!T64=coder2_NY_MT!N65,1,0))</f>
        <v>0</v>
      </c>
      <c r="M65" s="20">
        <f>IF(coder1_YH!U64="","",IF(coder1_YH!U64=coder2_NY_MT!O65,1,0))</f>
        <v>0</v>
      </c>
      <c r="N65" s="20">
        <f>IF(coder1_YH!V64="","",IF(coder1_YH!V64=coder2_NY_MT!P65,1,0))</f>
        <v>1</v>
      </c>
      <c r="O65" s="20">
        <f>IF(coder1_YH!W64="","",IF(coder1_YH!W64=coder2_NY_MT!Q65,1,0))</f>
        <v>0</v>
      </c>
      <c r="P65" s="20">
        <f>IF(coder1_YH!X64="","",IF(coder1_YH!X64=coder2_NY_MT!R65,1,0))</f>
        <v>0</v>
      </c>
      <c r="Q65" s="20">
        <f>IF(coder1_YH!Y64="","",IF(coder1_YH!Y64=coder2_NY_MT!S65,1,0))</f>
        <v>0</v>
      </c>
      <c r="R65" s="20">
        <f>IF(coder1_YH!Z64="","",IF(coder1_YH!Z64=coder2_NY_MT!T65,1,0))</f>
        <v>0</v>
      </c>
      <c r="S65" s="20">
        <f>IF(R65="","",IF(OR(coder2_NY_MT!U65="", coder1_YH!AA64 = ""),0,1))</f>
        <v>0</v>
      </c>
      <c r="T65" s="20">
        <f>IF(coder1_YH!AB64="","",IF(coder1_YH!AB64=coder2_NY_MT!V65,1,0))</f>
        <v>0</v>
      </c>
      <c r="U65" s="20">
        <f>IF(coder1_YH!AC64="","",IF(coder1_YH!AC64=coder2_NY_MT!W65,1,0))</f>
        <v>0</v>
      </c>
      <c r="V65" s="20">
        <f>IF(coder1_YH!AD64="","",IF(coder1_YH!AD64=coder2_NY_MT!X65,1,0))</f>
        <v>0</v>
      </c>
      <c r="W65" s="20">
        <f>IF(coder1_YH!AE64="","",IF(coder1_YH!AE64=coder2_NY_MT!Y65,1,0))</f>
        <v>0</v>
      </c>
      <c r="X65" s="20">
        <f>IF(coder1_YH!AF64="","",IF(coder1_YH!AF64=coder2_NY_MT!Z65,1,0))</f>
        <v>0</v>
      </c>
      <c r="Y65" s="20">
        <f>IF(coder1_YH!AG64="","",IF(coder1_YH!AG64=coder2_NY_MT!AA65,1,0))</f>
        <v>0</v>
      </c>
      <c r="Z65" s="20">
        <f>IF(coder1_YH!AH64="","",IF(coder1_YH!AH64=coder2_NY_MT!AB65,1,0))</f>
        <v>0</v>
      </c>
      <c r="AA65" s="20">
        <f>IF(coder1_YH!AI64="","",IF(coder1_YH!AI64=coder2_NY_MT!AC65,1,0))</f>
        <v>0</v>
      </c>
      <c r="AB65" s="20">
        <f>IF(OR(coder2_NY_MT!AD64="", coder1_YH!AJ64 = ""),0,1)</f>
        <v>1</v>
      </c>
      <c r="AC65" s="20">
        <f>IF(coder1_YH!AK64="","",IF(coder1_YH!AK64=coder2_NY_MT!AE65,1,0))</f>
        <v>1</v>
      </c>
      <c r="AD65" s="20">
        <f>IF(OR(coder2_NY_MT!AF64="", coder1_YH!AL64 = ""),0,1)</f>
        <v>0</v>
      </c>
      <c r="AF65" s="20">
        <f>IF(coder1_YH!AN64="","",IF(coder1_YH!AN64=coder2_NY_MT!AH65,1,0))</f>
        <v>1</v>
      </c>
      <c r="AG65" s="20">
        <f>IF(coder1_YH!AO64="","",IF(coder1_YH!AO64=coder2_NY_MT!AI65,1,0))</f>
        <v>1</v>
      </c>
      <c r="AH65" s="20">
        <f>IF(coder1_YH!AP64="","",IF(coder1_YH!AP64=coder2_NY_MT!AJ65,1,0))</f>
        <v>1</v>
      </c>
      <c r="AI65" s="20">
        <f>IF(coder1_YH!AQ64="","",IF(coder1_YH!AQ64=coder2_NY_MT!AK65,1,0))</f>
        <v>1</v>
      </c>
      <c r="AJ65" s="20">
        <f>IF(coder1_YH!AR64="","",IF(coder1_YH!AR64=coder2_NY_MT!AL65,1,0))</f>
        <v>1</v>
      </c>
      <c r="AK65" s="20">
        <f>IF(coder1_YH!AS64="","",IF(coder1_YH!AS64=coder2_NY_MT!AM65,1,0))</f>
        <v>1</v>
      </c>
      <c r="AL65" s="20" t="str">
        <f>IF(coder1_YH!AZ64="","",IF(coder1_YH!AZ64=coder2_NY_MT!AT65,1,0))</f>
        <v/>
      </c>
      <c r="AM65" s="20" t="e">
        <f>IF(coder1_YH!BA64="","",IF(coder1_YH!BA64=coder2_NY_MT!#REF!,1,0))</f>
        <v>#REF!</v>
      </c>
      <c r="AN65" s="2"/>
    </row>
    <row r="66" spans="1:40" s="20" customFormat="1" ht="17" hidden="1" customHeight="1" x14ac:dyDescent="0.2">
      <c r="A66" s="20">
        <f>IF(coder1_YH!G65="","",IF(coder1_YH!G65=coder2_NY_MT!A66,1,0))</f>
        <v>1</v>
      </c>
      <c r="B66" s="20">
        <f>IF(coder1_YH!H65="","",IF(RIGHT(coder1_YH!H65,2)=RIGHT(coder2_NY_MT!B66,2),1,0))</f>
        <v>1</v>
      </c>
      <c r="C66" s="20">
        <f>IF(coder1_YH!I65="","",IF(coder1_YH!I65=coder2_NY_MT!C66,1,0))</f>
        <v>1</v>
      </c>
      <c r="E66" s="20">
        <f>IF(coder1_YH!K65="","",IF(coder1_YH!K65=coder2_NY_MT!E66,1,0))</f>
        <v>1</v>
      </c>
      <c r="F66" s="20">
        <f>IF(coder1_YH!L65="","",IF(coder1_YH!L65=coder2_NY_MT!F66,1,0))</f>
        <v>1</v>
      </c>
      <c r="G66" s="20">
        <f>IF(coder1_YH!M65="","",IF(coder1_YH!M65=coder2_NY_MT!G66,1,0))</f>
        <v>1</v>
      </c>
      <c r="H66" s="20">
        <f>IF(coder1_YH!P65="","",IF(RIGHT(coder1_YH!P65,3)=RIGHT(coder2_NY_MT!J66,3),1,0))</f>
        <v>0</v>
      </c>
      <c r="I66" s="20">
        <f>IF(H66="","",IF(OR(coder2_NY_MT!K66="", coder1_YH!Q65 = ""),0,1))</f>
        <v>1</v>
      </c>
      <c r="J66" s="20">
        <f>IF(coder1_YH!R65="","",IF(coder1_YH!R65=coder2_NY_MT!L66,1,0))</f>
        <v>1</v>
      </c>
      <c r="K66" s="20">
        <f>IF(coder1_YH!S65="","",IF(coder1_YH!S65=coder2_NY_MT!M66,1,0))</f>
        <v>1</v>
      </c>
      <c r="L66" s="20">
        <f>IF(coder1_YH!T65="","",IF(coder1_YH!T65=coder2_NY_MT!N66,1,0))</f>
        <v>1</v>
      </c>
      <c r="M66" s="20">
        <f>IF(coder1_YH!U65="","",IF(coder1_YH!U65=coder2_NY_MT!O66,1,0))</f>
        <v>1</v>
      </c>
      <c r="N66" s="20">
        <f>IF(coder1_YH!V65="","",IF(coder1_YH!V65=coder2_NY_MT!P66,1,0))</f>
        <v>1</v>
      </c>
      <c r="O66" s="20">
        <f>IF(coder1_YH!W65="","",IF(coder1_YH!W65=coder2_NY_MT!Q66,1,0))</f>
        <v>1</v>
      </c>
      <c r="P66" s="20">
        <f>IF(coder1_YH!X65="","",IF(coder1_YH!X65=coder2_NY_MT!R66,1,0))</f>
        <v>1</v>
      </c>
      <c r="Q66" s="20">
        <f>IF(coder1_YH!Y65="","",IF(coder1_YH!Y65=coder2_NY_MT!S66,1,0))</f>
        <v>1</v>
      </c>
      <c r="R66" s="20">
        <f>IF(coder1_YH!Z65="","",IF(coder1_YH!Z65=coder2_NY_MT!T66,1,0))</f>
        <v>1</v>
      </c>
      <c r="S66" s="20">
        <f>IF(R66="","",IF(OR(coder2_NY_MT!U66="", coder1_YH!AA65 = ""),0,1))</f>
        <v>1</v>
      </c>
      <c r="T66" s="20">
        <f>IF(coder1_YH!AB65="","",IF(coder1_YH!AB65=coder2_NY_MT!V66,1,0))</f>
        <v>1</v>
      </c>
      <c r="U66" s="20">
        <f>IF(coder1_YH!AC65="","",IF(coder1_YH!AC65=coder2_NY_MT!W66,1,0))</f>
        <v>1</v>
      </c>
      <c r="V66" s="20">
        <f>IF(coder1_YH!AD65="","",IF(coder1_YH!AD65=coder2_NY_MT!X66,1,0))</f>
        <v>1</v>
      </c>
      <c r="W66" s="20">
        <f>IF(coder1_YH!AE65="","",IF(coder1_YH!AE65=coder2_NY_MT!Y66,1,0))</f>
        <v>1</v>
      </c>
      <c r="X66" s="20">
        <f>IF(coder1_YH!AF65="","",IF(coder1_YH!AF65=coder2_NY_MT!Z66,1,0))</f>
        <v>1</v>
      </c>
      <c r="Y66" s="20">
        <f>IF(coder1_YH!AG65="","",IF(coder1_YH!AG65=coder2_NY_MT!AA66,1,0))</f>
        <v>1</v>
      </c>
      <c r="Z66" s="20">
        <f>IF(coder1_YH!AH65="","",IF(coder1_YH!AH65=coder2_NY_MT!AB66,1,0))</f>
        <v>1</v>
      </c>
      <c r="AA66" s="20" t="str">
        <f>IF(coder1_YH!AI65="","",IF(coder1_YH!AI65=coder2_NY_MT!AC66,1,0))</f>
        <v/>
      </c>
      <c r="AB66" s="20">
        <f>IF(OR(coder2_NY_MT!AD65="", coder1_YH!AJ65 = ""),0,1)</f>
        <v>1</v>
      </c>
      <c r="AC66" s="20">
        <f>IF(coder1_YH!AK65="","",IF(coder1_YH!AK65=coder2_NY_MT!AE66,1,0))</f>
        <v>1</v>
      </c>
      <c r="AD66" s="20">
        <f>IF(OR(coder2_NY_MT!AF65="", coder1_YH!AL65 = ""),0,1)</f>
        <v>0</v>
      </c>
      <c r="AF66" s="20">
        <f>IF(coder1_YH!AN65="","",IF(coder1_YH!AN65=coder2_NY_MT!AH66,1,0))</f>
        <v>1</v>
      </c>
      <c r="AG66" s="20">
        <f>IF(coder1_YH!AO65="","",IF(coder1_YH!AO65=coder2_NY_MT!AI66,1,0))</f>
        <v>1</v>
      </c>
      <c r="AH66" s="20">
        <f>IF(coder1_YH!AP65="","",IF(coder1_YH!AP65=coder2_NY_MT!AJ66,1,0))</f>
        <v>1</v>
      </c>
      <c r="AI66" s="20">
        <f>IF(coder1_YH!AQ65="","",IF(coder1_YH!AQ65=coder2_NY_MT!AK66,1,0))</f>
        <v>1</v>
      </c>
      <c r="AJ66" s="20">
        <f>IF(coder1_YH!AR65="","",IF(coder1_YH!AR65=coder2_NY_MT!AL66,1,0))</f>
        <v>1</v>
      </c>
      <c r="AK66" s="20">
        <f>IF(coder1_YH!AS65="","",IF(coder1_YH!AS65=coder2_NY_MT!AM66,1,0))</f>
        <v>1</v>
      </c>
      <c r="AL66" s="20" t="str">
        <f>IF(coder1_YH!AZ65="","",IF(coder1_YH!AZ65=coder2_NY_MT!AT66,1,0))</f>
        <v/>
      </c>
      <c r="AM66" s="20" t="e">
        <f>IF(coder1_YH!BA65="","",IF(coder1_YH!BA65=coder2_NY_MT!#REF!,1,0))</f>
        <v>#REF!</v>
      </c>
      <c r="AN66" s="2"/>
    </row>
    <row r="67" spans="1:40" s="20" customFormat="1" ht="17" hidden="1" customHeight="1" x14ac:dyDescent="0.2">
      <c r="A67" s="20" t="str">
        <f>IF(coder1_YH!G66="","",IF(coder1_YH!G66=coder2_NY_MT!A67,1,0))</f>
        <v/>
      </c>
      <c r="B67" s="20" t="str">
        <f>IF(coder1_YH!H66="","",IF(RIGHT(coder1_YH!H66,2)=RIGHT(coder2_NY_MT!B67,2),1,0))</f>
        <v/>
      </c>
      <c r="C67" s="20" t="str">
        <f>IF(coder1_YH!I66="","",IF(coder1_YH!I66=coder2_NY_MT!C67,1,0))</f>
        <v/>
      </c>
      <c r="E67" s="20" t="str">
        <f>IF(coder1_YH!K66="","",IF(coder1_YH!K66=coder2_NY_MT!E67,1,0))</f>
        <v/>
      </c>
      <c r="F67" s="20" t="str">
        <f>IF(coder1_YH!L66="","",IF(coder1_YH!L66=coder2_NY_MT!F67,1,0))</f>
        <v/>
      </c>
      <c r="G67" s="20" t="str">
        <f>IF(coder1_YH!M66="","",IF(coder1_YH!M66=coder2_NY_MT!G67,1,0))</f>
        <v/>
      </c>
      <c r="H67" s="20" t="str">
        <f>IF(coder1_YH!P66="","",IF(RIGHT(coder1_YH!P66,3)=RIGHT(coder2_NY_MT!J67,3),1,0))</f>
        <v/>
      </c>
      <c r="I67" s="20" t="str">
        <f>IF(H67="","",IF(OR(coder2_NY_MT!K67="", coder1_YH!Q66 = ""),0,1))</f>
        <v/>
      </c>
      <c r="J67" s="20" t="str">
        <f>IF(coder1_YH!R66="","",IF(coder1_YH!R66=coder2_NY_MT!L67,1,0))</f>
        <v/>
      </c>
      <c r="K67" s="20" t="str">
        <f>IF(coder1_YH!S66="","",IF(coder1_YH!S66=coder2_NY_MT!M67,1,0))</f>
        <v/>
      </c>
      <c r="L67" s="20" t="str">
        <f>IF(coder1_YH!T66="","",IF(coder1_YH!T66=coder2_NY_MT!N67,1,0))</f>
        <v/>
      </c>
      <c r="M67" s="20" t="str">
        <f>IF(coder1_YH!U66="","",IF(coder1_YH!U66=coder2_NY_MT!O67,1,0))</f>
        <v/>
      </c>
      <c r="N67" s="20" t="str">
        <f>IF(coder1_YH!V66="","",IF(coder1_YH!V66=coder2_NY_MT!P67,1,0))</f>
        <v/>
      </c>
      <c r="O67" s="20" t="str">
        <f>IF(coder1_YH!W66="","",IF(coder1_YH!W66=coder2_NY_MT!Q67,1,0))</f>
        <v/>
      </c>
      <c r="P67" s="20" t="str">
        <f>IF(coder1_YH!X66="","",IF(coder1_YH!X66=coder2_NY_MT!R67,1,0))</f>
        <v/>
      </c>
      <c r="Q67" s="20" t="str">
        <f>IF(coder1_YH!Y66="","",IF(coder1_YH!Y66=coder2_NY_MT!S67,1,0))</f>
        <v/>
      </c>
      <c r="R67" s="20" t="str">
        <f>IF(coder1_YH!Z66="","",IF(coder1_YH!Z66=coder2_NY_MT!T67,1,0))</f>
        <v/>
      </c>
      <c r="S67" s="20" t="str">
        <f>IF(R67="","",IF(OR(coder2_NY_MT!U67="", coder1_YH!AA66 = ""),0,1))</f>
        <v/>
      </c>
      <c r="T67" s="20" t="str">
        <f>IF(coder1_YH!AB66="","",IF(coder1_YH!AB66=coder2_NY_MT!V67,1,0))</f>
        <v/>
      </c>
      <c r="U67" s="20" t="str">
        <f>IF(coder1_YH!AC66="","",IF(coder1_YH!AC66=coder2_NY_MT!W67,1,0))</f>
        <v/>
      </c>
      <c r="V67" s="20" t="str">
        <f>IF(coder1_YH!AD66="","",IF(coder1_YH!AD66=coder2_NY_MT!X67,1,0))</f>
        <v/>
      </c>
      <c r="W67" s="20" t="str">
        <f>IF(coder1_YH!AE66="","",IF(coder1_YH!AE66=coder2_NY_MT!Y67,1,0))</f>
        <v/>
      </c>
      <c r="X67" s="20" t="str">
        <f>IF(coder1_YH!AF66="","",IF(coder1_YH!AF66=coder2_NY_MT!Z67,1,0))</f>
        <v/>
      </c>
      <c r="Y67" s="20" t="str">
        <f>IF(coder1_YH!AG66="","",IF(coder1_YH!AG66=coder2_NY_MT!AA67,1,0))</f>
        <v/>
      </c>
      <c r="Z67" s="20" t="str">
        <f>IF(coder1_YH!AH66="","",IF(coder1_YH!AH66=coder2_NY_MT!AB67,1,0))</f>
        <v/>
      </c>
      <c r="AA67" s="20" t="str">
        <f>IF(coder1_YH!AI66="","",IF(coder1_YH!AI66=coder2_NY_MT!AC67,1,0))</f>
        <v/>
      </c>
      <c r="AB67" s="20">
        <f>IF(OR(coder2_NY_MT!AD66="", coder1_YH!AJ66 = ""),0,1)</f>
        <v>1</v>
      </c>
      <c r="AC67" s="20">
        <f>IF(coder1_YH!AK66="","",IF(coder1_YH!AK66=coder2_NY_MT!AE67,1,0))</f>
        <v>1</v>
      </c>
      <c r="AD67" s="20">
        <f>IF(OR(coder2_NY_MT!AF66="", coder1_YH!AL66 = ""),0,1)</f>
        <v>1</v>
      </c>
      <c r="AF67" s="20">
        <f>IF(coder1_YH!AN66="","",IF(coder1_YH!AN66=coder2_NY_MT!AH67,1,0))</f>
        <v>1</v>
      </c>
      <c r="AG67" s="20">
        <f>IF(coder1_YH!AO66="","",IF(coder1_YH!AO66=coder2_NY_MT!AI67,1,0))</f>
        <v>1</v>
      </c>
      <c r="AH67" s="20">
        <f>IF(coder1_YH!AP66="","",IF(coder1_YH!AP66=coder2_NY_MT!AJ67,1,0))</f>
        <v>1</v>
      </c>
      <c r="AI67" s="20">
        <f>IF(coder1_YH!AQ66="","",IF(coder1_YH!AQ66=coder2_NY_MT!AK67,1,0))</f>
        <v>1</v>
      </c>
      <c r="AJ67" s="20">
        <f>IF(coder1_YH!AR66="","",IF(coder1_YH!AR66=coder2_NY_MT!AL67,1,0))</f>
        <v>1</v>
      </c>
      <c r="AK67" s="20">
        <f>IF(coder1_YH!AS66="","",IF(coder1_YH!AS66=coder2_NY_MT!AM67,1,0))</f>
        <v>1</v>
      </c>
      <c r="AL67" s="20" t="str">
        <f>IF(coder1_YH!AZ66="","",IF(coder1_YH!AZ66=coder2_NY_MT!AT67,1,0))</f>
        <v/>
      </c>
      <c r="AM67" s="20" t="e">
        <f>IF(coder1_YH!BA66="","",IF(coder1_YH!BA66=coder2_NY_MT!#REF!,1,0))</f>
        <v>#REF!</v>
      </c>
      <c r="AN67" s="2"/>
    </row>
    <row r="68" spans="1:40" s="20" customFormat="1" ht="17" hidden="1" customHeight="1" x14ac:dyDescent="0.2">
      <c r="A68" s="20" t="str">
        <f>IF(coder1_YH!G67="","",IF(coder1_YH!G67=coder2_NY_MT!A68,1,0))</f>
        <v/>
      </c>
      <c r="B68" s="20" t="str">
        <f>IF(coder1_YH!H67="","",IF(RIGHT(coder1_YH!H67,2)=RIGHT(coder2_NY_MT!B68,2),1,0))</f>
        <v/>
      </c>
      <c r="C68" s="20" t="str">
        <f>IF(coder1_YH!I67="","",IF(coder1_YH!I67=coder2_NY_MT!C68,1,0))</f>
        <v/>
      </c>
      <c r="E68" s="20" t="str">
        <f>IF(coder1_YH!K67="","",IF(coder1_YH!K67=coder2_NY_MT!E68,1,0))</f>
        <v/>
      </c>
      <c r="F68" s="20" t="str">
        <f>IF(coder1_YH!L67="","",IF(coder1_YH!L67=coder2_NY_MT!F68,1,0))</f>
        <v/>
      </c>
      <c r="G68" s="20" t="str">
        <f>IF(coder1_YH!M67="","",IF(coder1_YH!M67=coder2_NY_MT!G68,1,0))</f>
        <v/>
      </c>
      <c r="H68" s="20" t="str">
        <f>IF(coder1_YH!P67="","",IF(RIGHT(coder1_YH!P67,3)=RIGHT(coder2_NY_MT!J68,3),1,0))</f>
        <v/>
      </c>
      <c r="I68" s="20" t="str">
        <f>IF(H68="","",IF(OR(coder2_NY_MT!K68="", coder1_YH!Q67 = ""),0,1))</f>
        <v/>
      </c>
      <c r="J68" s="20" t="str">
        <f>IF(coder1_YH!R67="","",IF(coder1_YH!R67=coder2_NY_MT!L68,1,0))</f>
        <v/>
      </c>
      <c r="K68" s="20" t="str">
        <f>IF(coder1_YH!S67="","",IF(coder1_YH!S67=coder2_NY_MT!M68,1,0))</f>
        <v/>
      </c>
      <c r="L68" s="20" t="str">
        <f>IF(coder1_YH!T67="","",IF(coder1_YH!T67=coder2_NY_MT!N68,1,0))</f>
        <v/>
      </c>
      <c r="M68" s="20" t="str">
        <f>IF(coder1_YH!U67="","",IF(coder1_YH!U67=coder2_NY_MT!O68,1,0))</f>
        <v/>
      </c>
      <c r="N68" s="20" t="str">
        <f>IF(coder1_YH!V67="","",IF(coder1_YH!V67=coder2_NY_MT!P68,1,0))</f>
        <v/>
      </c>
      <c r="O68" s="20" t="str">
        <f>IF(coder1_YH!W67="","",IF(coder1_YH!W67=coder2_NY_MT!Q68,1,0))</f>
        <v/>
      </c>
      <c r="P68" s="20" t="str">
        <f>IF(coder1_YH!X67="","",IF(coder1_YH!X67=coder2_NY_MT!R68,1,0))</f>
        <v/>
      </c>
      <c r="Q68" s="20" t="str">
        <f>IF(coder1_YH!Y67="","",IF(coder1_YH!Y67=coder2_NY_MT!S68,1,0))</f>
        <v/>
      </c>
      <c r="R68" s="20" t="str">
        <f>IF(coder1_YH!Z67="","",IF(coder1_YH!Z67=coder2_NY_MT!T68,1,0))</f>
        <v/>
      </c>
      <c r="S68" s="20" t="str">
        <f>IF(R68="","",IF(OR(coder2_NY_MT!U68="", coder1_YH!AA67 = ""),0,1))</f>
        <v/>
      </c>
      <c r="T68" s="20" t="str">
        <f>IF(coder1_YH!AB67="","",IF(coder1_YH!AB67=coder2_NY_MT!V68,1,0))</f>
        <v/>
      </c>
      <c r="U68" s="20" t="str">
        <f>IF(coder1_YH!AC67="","",IF(coder1_YH!AC67=coder2_NY_MT!W68,1,0))</f>
        <v/>
      </c>
      <c r="V68" s="20" t="str">
        <f>IF(coder1_YH!AD67="","",IF(coder1_YH!AD67=coder2_NY_MT!X68,1,0))</f>
        <v/>
      </c>
      <c r="W68" s="20" t="str">
        <f>IF(coder1_YH!AE67="","",IF(coder1_YH!AE67=coder2_NY_MT!Y68,1,0))</f>
        <v/>
      </c>
      <c r="X68" s="20" t="str">
        <f>IF(coder1_YH!AF67="","",IF(coder1_YH!AF67=coder2_NY_MT!Z68,1,0))</f>
        <v/>
      </c>
      <c r="Y68" s="20" t="str">
        <f>IF(coder1_YH!AG67="","",IF(coder1_YH!AG67=coder2_NY_MT!AA68,1,0))</f>
        <v/>
      </c>
      <c r="Z68" s="20" t="str">
        <f>IF(coder1_YH!AH67="","",IF(coder1_YH!AH67=coder2_NY_MT!AB68,1,0))</f>
        <v/>
      </c>
      <c r="AA68" s="20" t="str">
        <f>IF(coder1_YH!AI67="","",IF(coder1_YH!AI67=coder2_NY_MT!AC68,1,0))</f>
        <v/>
      </c>
      <c r="AB68" s="20">
        <f>IF(OR(coder2_NY_MT!AD67="", coder1_YH!AJ67 = ""),0,1)</f>
        <v>1</v>
      </c>
      <c r="AC68" s="20">
        <f>IF(coder1_YH!AK67="","",IF(coder1_YH!AK67=coder2_NY_MT!AE68,1,0))</f>
        <v>1</v>
      </c>
      <c r="AD68" s="20">
        <f>IF(OR(coder2_NY_MT!AF67="", coder1_YH!AL67 = ""),0,1)</f>
        <v>1</v>
      </c>
      <c r="AF68" s="20">
        <f>IF(coder1_YH!AN67="","",IF(coder1_YH!AN67=coder2_NY_MT!AH68,1,0))</f>
        <v>1</v>
      </c>
      <c r="AG68" s="20">
        <f>IF(coder1_YH!AO67="","",IF(coder1_YH!AO67=coder2_NY_MT!AI68,1,0))</f>
        <v>1</v>
      </c>
      <c r="AH68" s="20">
        <f>IF(coder1_YH!AP67="","",IF(coder1_YH!AP67=coder2_NY_MT!AJ68,1,0))</f>
        <v>1</v>
      </c>
      <c r="AI68" s="20">
        <f>IF(coder1_YH!AQ67="","",IF(coder1_YH!AQ67=coder2_NY_MT!AK68,1,0))</f>
        <v>1</v>
      </c>
      <c r="AJ68" s="20">
        <f>IF(coder1_YH!AR67="","",IF(coder1_YH!AR67=coder2_NY_MT!AL68,1,0))</f>
        <v>1</v>
      </c>
      <c r="AK68" s="20">
        <f>IF(coder1_YH!AS67="","",IF(coder1_YH!AS67=coder2_NY_MT!AM68,1,0))</f>
        <v>1</v>
      </c>
      <c r="AL68" s="20" t="str">
        <f>IF(coder1_YH!AZ67="","",IF(coder1_YH!AZ67=coder2_NY_MT!AT68,1,0))</f>
        <v/>
      </c>
      <c r="AM68" s="20" t="e">
        <f>IF(coder1_YH!BA67="","",IF(coder1_YH!BA67=coder2_NY_MT!#REF!,1,0))</f>
        <v>#REF!</v>
      </c>
      <c r="AN68" s="2"/>
    </row>
    <row r="69" spans="1:40" s="20" customFormat="1" ht="17" hidden="1" customHeight="1" x14ac:dyDescent="0.2">
      <c r="A69" s="20" t="str">
        <f>IF(coder1_YH!G68="","",IF(coder1_YH!G68=coder2_NY_MT!A69,1,0))</f>
        <v/>
      </c>
      <c r="B69" s="20" t="str">
        <f>IF(coder1_YH!H68="","",IF(RIGHT(coder1_YH!H68,2)=RIGHT(coder2_NY_MT!B69,2),1,0))</f>
        <v/>
      </c>
      <c r="C69" s="20" t="str">
        <f>IF(coder1_YH!I68="","",IF(coder1_YH!I68=coder2_NY_MT!C69,1,0))</f>
        <v/>
      </c>
      <c r="E69" s="20" t="str">
        <f>IF(coder1_YH!K68="","",IF(coder1_YH!K68=coder2_NY_MT!E69,1,0))</f>
        <v/>
      </c>
      <c r="F69" s="20" t="str">
        <f>IF(coder1_YH!L68="","",IF(coder1_YH!L68=coder2_NY_MT!F69,1,0))</f>
        <v/>
      </c>
      <c r="G69" s="20" t="str">
        <f>IF(coder1_YH!M68="","",IF(coder1_YH!M68=coder2_NY_MT!G69,1,0))</f>
        <v/>
      </c>
      <c r="H69" s="20" t="str">
        <f>IF(coder1_YH!P68="","",IF(RIGHT(coder1_YH!P68,3)=RIGHT(coder2_NY_MT!J69,3),1,0))</f>
        <v/>
      </c>
      <c r="I69" s="20" t="str">
        <f>IF(H69="","",IF(OR(coder2_NY_MT!K69="", coder1_YH!Q68 = ""),0,1))</f>
        <v/>
      </c>
      <c r="J69" s="20" t="str">
        <f>IF(coder1_YH!R68="","",IF(coder1_YH!R68=coder2_NY_MT!L69,1,0))</f>
        <v/>
      </c>
      <c r="K69" s="20" t="str">
        <f>IF(coder1_YH!S68="","",IF(coder1_YH!S68=coder2_NY_MT!M69,1,0))</f>
        <v/>
      </c>
      <c r="L69" s="20" t="str">
        <f>IF(coder1_YH!T68="","",IF(coder1_YH!T68=coder2_NY_MT!N69,1,0))</f>
        <v/>
      </c>
      <c r="M69" s="20" t="str">
        <f>IF(coder1_YH!U68="","",IF(coder1_YH!U68=coder2_NY_MT!O69,1,0))</f>
        <v/>
      </c>
      <c r="N69" s="20" t="str">
        <f>IF(coder1_YH!V68="","",IF(coder1_YH!V68=coder2_NY_MT!P69,1,0))</f>
        <v/>
      </c>
      <c r="O69" s="20" t="str">
        <f>IF(coder1_YH!W68="","",IF(coder1_YH!W68=coder2_NY_MT!Q69,1,0))</f>
        <v/>
      </c>
      <c r="P69" s="20" t="str">
        <f>IF(coder1_YH!X68="","",IF(coder1_YH!X68=coder2_NY_MT!R69,1,0))</f>
        <v/>
      </c>
      <c r="Q69" s="20" t="str">
        <f>IF(coder1_YH!Y68="","",IF(coder1_YH!Y68=coder2_NY_MT!S69,1,0))</f>
        <v/>
      </c>
      <c r="R69" s="20" t="str">
        <f>IF(coder1_YH!Z68="","",IF(coder1_YH!Z68=coder2_NY_MT!T69,1,0))</f>
        <v/>
      </c>
      <c r="S69" s="20" t="str">
        <f>IF(R69="","",IF(OR(coder2_NY_MT!U69="", coder1_YH!AA68 = ""),0,1))</f>
        <v/>
      </c>
      <c r="T69" s="20" t="str">
        <f>IF(coder1_YH!AB68="","",IF(coder1_YH!AB68=coder2_NY_MT!V69,1,0))</f>
        <v/>
      </c>
      <c r="U69" s="20" t="str">
        <f>IF(coder1_YH!AC68="","",IF(coder1_YH!AC68=coder2_NY_MT!W69,1,0))</f>
        <v/>
      </c>
      <c r="V69" s="20" t="str">
        <f>IF(coder1_YH!AD68="","",IF(coder1_YH!AD68=coder2_NY_MT!X69,1,0))</f>
        <v/>
      </c>
      <c r="W69" s="20" t="str">
        <f>IF(coder1_YH!AE68="","",IF(coder1_YH!AE68=coder2_NY_MT!Y69,1,0))</f>
        <v/>
      </c>
      <c r="X69" s="20" t="str">
        <f>IF(coder1_YH!AF68="","",IF(coder1_YH!AF68=coder2_NY_MT!Z69,1,0))</f>
        <v/>
      </c>
      <c r="Y69" s="20" t="str">
        <f>IF(coder1_YH!AG68="","",IF(coder1_YH!AG68=coder2_NY_MT!AA69,1,0))</f>
        <v/>
      </c>
      <c r="Z69" s="20" t="str">
        <f>IF(coder1_YH!AH68="","",IF(coder1_YH!AH68=coder2_NY_MT!AB69,1,0))</f>
        <v/>
      </c>
      <c r="AA69" s="20" t="str">
        <f>IF(coder1_YH!AI68="","",IF(coder1_YH!AI68=coder2_NY_MT!AC69,1,0))</f>
        <v/>
      </c>
      <c r="AB69" s="20">
        <f>IF(OR(coder2_NY_MT!AD68="", coder1_YH!AJ68 = ""),0,1)</f>
        <v>1</v>
      </c>
      <c r="AC69" s="20">
        <f>IF(coder1_YH!AK68="","",IF(coder1_YH!AK68=coder2_NY_MT!AE69,1,0))</f>
        <v>1</v>
      </c>
      <c r="AD69" s="20">
        <f>IF(OR(coder2_NY_MT!AF68="", coder1_YH!AL68 = ""),0,1)</f>
        <v>1</v>
      </c>
      <c r="AF69" s="20">
        <f>IF(coder1_YH!AN68="","",IF(coder1_YH!AN68=coder2_NY_MT!AH69,1,0))</f>
        <v>1</v>
      </c>
      <c r="AG69" s="20">
        <f>IF(coder1_YH!AO68="","",IF(coder1_YH!AO68=coder2_NY_MT!AI69,1,0))</f>
        <v>1</v>
      </c>
      <c r="AH69" s="20">
        <f>IF(coder1_YH!AP68="","",IF(coder1_YH!AP68=coder2_NY_MT!AJ69,1,0))</f>
        <v>1</v>
      </c>
      <c r="AI69" s="20">
        <f>IF(coder1_YH!AQ68="","",IF(coder1_YH!AQ68=coder2_NY_MT!AK69,1,0))</f>
        <v>1</v>
      </c>
      <c r="AJ69" s="20">
        <f>IF(coder1_YH!AR68="","",IF(coder1_YH!AR68=coder2_NY_MT!AL69,1,0))</f>
        <v>1</v>
      </c>
      <c r="AK69" s="20">
        <f>IF(coder1_YH!AS68="","",IF(coder1_YH!AS68=coder2_NY_MT!AM69,1,0))</f>
        <v>1</v>
      </c>
      <c r="AL69" s="20" t="str">
        <f>IF(coder1_YH!AZ68="","",IF(coder1_YH!AZ68=coder2_NY_MT!AT69,1,0))</f>
        <v/>
      </c>
      <c r="AM69" s="20" t="e">
        <f>IF(coder1_YH!BA68="","",IF(coder1_YH!BA68=coder2_NY_MT!#REF!,1,0))</f>
        <v>#REF!</v>
      </c>
      <c r="AN69" s="2"/>
    </row>
    <row r="70" spans="1:40" s="20" customFormat="1" ht="17" hidden="1" customHeight="1" x14ac:dyDescent="0.2">
      <c r="A70" s="20" t="str">
        <f>IF(coder1_YH!G69="","",IF(coder1_YH!G69=coder2_NY_MT!A70,1,0))</f>
        <v/>
      </c>
      <c r="B70" s="20" t="str">
        <f>IF(coder1_YH!H69="","",IF(RIGHT(coder1_YH!H69,2)=RIGHT(coder2_NY_MT!B70,2),1,0))</f>
        <v/>
      </c>
      <c r="C70" s="20" t="str">
        <f>IF(coder1_YH!I69="","",IF(coder1_YH!I69=coder2_NY_MT!C70,1,0))</f>
        <v/>
      </c>
      <c r="E70" s="20" t="str">
        <f>IF(coder1_YH!K69="","",IF(coder1_YH!K69=coder2_NY_MT!E70,1,0))</f>
        <v/>
      </c>
      <c r="F70" s="20" t="str">
        <f>IF(coder1_YH!L69="","",IF(coder1_YH!L69=coder2_NY_MT!F70,1,0))</f>
        <v/>
      </c>
      <c r="G70" s="20" t="str">
        <f>IF(coder1_YH!M69="","",IF(coder1_YH!M69=coder2_NY_MT!G70,1,0))</f>
        <v/>
      </c>
      <c r="H70" s="20" t="str">
        <f>IF(coder1_YH!P69="","",IF(RIGHT(coder1_YH!P69,3)=RIGHT(coder2_NY_MT!J70,3),1,0))</f>
        <v/>
      </c>
      <c r="I70" s="20" t="str">
        <f>IF(H70="","",IF(OR(coder2_NY_MT!K70="", coder1_YH!Q69 = ""),0,1))</f>
        <v/>
      </c>
      <c r="J70" s="20" t="str">
        <f>IF(coder1_YH!R69="","",IF(coder1_YH!R69=coder2_NY_MT!L70,1,0))</f>
        <v/>
      </c>
      <c r="K70" s="20" t="str">
        <f>IF(coder1_YH!S69="","",IF(coder1_YH!S69=coder2_NY_MT!M70,1,0))</f>
        <v/>
      </c>
      <c r="L70" s="20" t="str">
        <f>IF(coder1_YH!T69="","",IF(coder1_YH!T69=coder2_NY_MT!N70,1,0))</f>
        <v/>
      </c>
      <c r="M70" s="20" t="str">
        <f>IF(coder1_YH!U69="","",IF(coder1_YH!U69=coder2_NY_MT!O70,1,0))</f>
        <v/>
      </c>
      <c r="N70" s="20" t="str">
        <f>IF(coder1_YH!V69="","",IF(coder1_YH!V69=coder2_NY_MT!P70,1,0))</f>
        <v/>
      </c>
      <c r="O70" s="20" t="str">
        <f>IF(coder1_YH!W69="","",IF(coder1_YH!W69=coder2_NY_MT!Q70,1,0))</f>
        <v/>
      </c>
      <c r="P70" s="20" t="str">
        <f>IF(coder1_YH!X69="","",IF(coder1_YH!X69=coder2_NY_MT!R70,1,0))</f>
        <v/>
      </c>
      <c r="Q70" s="20" t="str">
        <f>IF(coder1_YH!Y69="","",IF(coder1_YH!Y69=coder2_NY_MT!S70,1,0))</f>
        <v/>
      </c>
      <c r="R70" s="20" t="str">
        <f>IF(coder1_YH!Z69="","",IF(coder1_YH!Z69=coder2_NY_MT!T70,1,0))</f>
        <v/>
      </c>
      <c r="S70" s="20" t="str">
        <f>IF(R70="","",IF(OR(coder2_NY_MT!U70="", coder1_YH!AA69 = ""),0,1))</f>
        <v/>
      </c>
      <c r="T70" s="20" t="str">
        <f>IF(coder1_YH!AB69="","",IF(coder1_YH!AB69=coder2_NY_MT!V70,1,0))</f>
        <v/>
      </c>
      <c r="U70" s="20" t="str">
        <f>IF(coder1_YH!AC69="","",IF(coder1_YH!AC69=coder2_NY_MT!W70,1,0))</f>
        <v/>
      </c>
      <c r="V70" s="20" t="str">
        <f>IF(coder1_YH!AD69="","",IF(coder1_YH!AD69=coder2_NY_MT!X70,1,0))</f>
        <v/>
      </c>
      <c r="W70" s="20" t="str">
        <f>IF(coder1_YH!AE69="","",IF(coder1_YH!AE69=coder2_NY_MT!Y70,1,0))</f>
        <v/>
      </c>
      <c r="X70" s="20" t="str">
        <f>IF(coder1_YH!AF69="","",IF(coder1_YH!AF69=coder2_NY_MT!Z70,1,0))</f>
        <v/>
      </c>
      <c r="Y70" s="20" t="str">
        <f>IF(coder1_YH!AG69="","",IF(coder1_YH!AG69=coder2_NY_MT!AA70,1,0))</f>
        <v/>
      </c>
      <c r="Z70" s="20" t="str">
        <f>IF(coder1_YH!AH69="","",IF(coder1_YH!AH69=coder2_NY_MT!AB70,1,0))</f>
        <v/>
      </c>
      <c r="AA70" s="20" t="str">
        <f>IF(coder1_YH!AI69="","",IF(coder1_YH!AI69=coder2_NY_MT!AC70,1,0))</f>
        <v/>
      </c>
      <c r="AB70" s="20">
        <f>IF(OR(coder2_NY_MT!AD69="", coder1_YH!AJ69 = ""),0,1)</f>
        <v>1</v>
      </c>
      <c r="AC70" s="20">
        <f>IF(coder1_YH!AK69="","",IF(coder1_YH!AK69=coder2_NY_MT!AE70,1,0))</f>
        <v>1</v>
      </c>
      <c r="AD70" s="20">
        <f>IF(OR(coder2_NY_MT!AF69="", coder1_YH!AL69 = ""),0,1)</f>
        <v>1</v>
      </c>
      <c r="AF70" s="20">
        <f>IF(coder1_YH!AN69="","",IF(coder1_YH!AN69=coder2_NY_MT!AH70,1,0))</f>
        <v>1</v>
      </c>
      <c r="AG70" s="20">
        <f>IF(coder1_YH!AO69="","",IF(coder1_YH!AO69=coder2_NY_MT!AI70,1,0))</f>
        <v>1</v>
      </c>
      <c r="AH70" s="20">
        <f>IF(coder1_YH!AP69="","",IF(coder1_YH!AP69=coder2_NY_MT!AJ70,1,0))</f>
        <v>1</v>
      </c>
      <c r="AI70" s="20">
        <f>IF(coder1_YH!AQ69="","",IF(coder1_YH!AQ69=coder2_NY_MT!AK70,1,0))</f>
        <v>1</v>
      </c>
      <c r="AJ70" s="20">
        <f>IF(coder1_YH!AR69="","",IF(coder1_YH!AR69=coder2_NY_MT!AL70,1,0))</f>
        <v>1</v>
      </c>
      <c r="AK70" s="20">
        <f>IF(coder1_YH!AS69="","",IF(coder1_YH!AS69=coder2_NY_MT!AM70,1,0))</f>
        <v>1</v>
      </c>
      <c r="AL70" s="20" t="str">
        <f>IF(coder1_YH!AZ69="","",IF(coder1_YH!AZ69=coder2_NY_MT!AT70,1,0))</f>
        <v/>
      </c>
      <c r="AM70" s="20" t="e">
        <f>IF(coder1_YH!BA69="","",IF(coder1_YH!BA69=coder2_NY_MT!#REF!,1,0))</f>
        <v>#REF!</v>
      </c>
      <c r="AN70" s="2"/>
    </row>
    <row r="71" spans="1:40" s="20" customFormat="1" ht="17" hidden="1" customHeight="1" x14ac:dyDescent="0.2">
      <c r="A71" s="20" t="str">
        <f>IF(coder1_YH!G70="","",IF(coder1_YH!G70=coder2_NY_MT!A71,1,0))</f>
        <v/>
      </c>
      <c r="B71" s="20" t="str">
        <f>IF(coder1_YH!H70="","",IF(RIGHT(coder1_YH!H70,2)=RIGHT(coder2_NY_MT!B71,2),1,0))</f>
        <v/>
      </c>
      <c r="C71" s="20" t="str">
        <f>IF(coder1_YH!I70="","",IF(coder1_YH!I70=coder2_NY_MT!C71,1,0))</f>
        <v/>
      </c>
      <c r="E71" s="20" t="str">
        <f>IF(coder1_YH!K70="","",IF(coder1_YH!K70=coder2_NY_MT!E71,1,0))</f>
        <v/>
      </c>
      <c r="F71" s="20" t="str">
        <f>IF(coder1_YH!L70="","",IF(coder1_YH!L70=coder2_NY_MT!F71,1,0))</f>
        <v/>
      </c>
      <c r="G71" s="20" t="str">
        <f>IF(coder1_YH!M70="","",IF(coder1_YH!M70=coder2_NY_MT!G71,1,0))</f>
        <v/>
      </c>
      <c r="H71" s="20">
        <f>IF(coder1_YH!P70="","",IF(RIGHT(coder1_YH!P70,3)=RIGHT(coder2_NY_MT!J71,3),1,0))</f>
        <v>0</v>
      </c>
      <c r="I71" s="20">
        <f>IF(H71="","",IF(OR(coder2_NY_MT!K71="", coder1_YH!Q70 = ""),0,1))</f>
        <v>1</v>
      </c>
      <c r="J71" s="20">
        <f>IF(coder1_YH!R70="","",IF(coder1_YH!R70=coder2_NY_MT!L71,1,0))</f>
        <v>1</v>
      </c>
      <c r="K71" s="20">
        <f>IF(coder1_YH!S70="","",IF(coder1_YH!S70=coder2_NY_MT!M71,1,0))</f>
        <v>1</v>
      </c>
      <c r="L71" s="20">
        <f>IF(coder1_YH!T70="","",IF(coder1_YH!T70=coder2_NY_MT!N71,1,0))</f>
        <v>1</v>
      </c>
      <c r="M71" s="20">
        <f>IF(coder1_YH!U70="","",IF(coder1_YH!U70=coder2_NY_MT!O71,1,0))</f>
        <v>1</v>
      </c>
      <c r="N71" s="20">
        <f>IF(coder1_YH!V70="","",IF(coder1_YH!V70=coder2_NY_MT!P71,1,0))</f>
        <v>1</v>
      </c>
      <c r="O71" s="20">
        <f>IF(coder1_YH!W70="","",IF(coder1_YH!W70=coder2_NY_MT!Q71,1,0))</f>
        <v>1</v>
      </c>
      <c r="P71" s="20">
        <f>IF(coder1_YH!X70="","",IF(coder1_YH!X70=coder2_NY_MT!R71,1,0))</f>
        <v>1</v>
      </c>
      <c r="Q71" s="20">
        <f>IF(coder1_YH!Y70="","",IF(coder1_YH!Y70=coder2_NY_MT!S71,1,0))</f>
        <v>1</v>
      </c>
      <c r="R71" s="20">
        <f>IF(coder1_YH!Z70="","",IF(coder1_YH!Z70=coder2_NY_MT!T71,1,0))</f>
        <v>1</v>
      </c>
      <c r="S71" s="20">
        <f>IF(R71="","",IF(OR(coder2_NY_MT!U71="", coder1_YH!AA70 = ""),0,1))</f>
        <v>1</v>
      </c>
      <c r="T71" s="20">
        <f>IF(coder1_YH!AB70="","",IF(coder1_YH!AB70=coder2_NY_MT!V71,1,0))</f>
        <v>1</v>
      </c>
      <c r="U71" s="20">
        <f>IF(coder1_YH!AC70="","",IF(coder1_YH!AC70=coder2_NY_MT!W71,1,0))</f>
        <v>1</v>
      </c>
      <c r="V71" s="20">
        <f>IF(coder1_YH!AD70="","",IF(coder1_YH!AD70=coder2_NY_MT!X71,1,0))</f>
        <v>1</v>
      </c>
      <c r="W71" s="20">
        <f>IF(coder1_YH!AE70="","",IF(coder1_YH!AE70=coder2_NY_MT!Y71,1,0))</f>
        <v>1</v>
      </c>
      <c r="X71" s="20">
        <f>IF(coder1_YH!AF70="","",IF(coder1_YH!AF70=coder2_NY_MT!Z71,1,0))</f>
        <v>1</v>
      </c>
      <c r="Y71" s="20">
        <f>IF(coder1_YH!AG70="","",IF(coder1_YH!AG70=coder2_NY_MT!AA71,1,0))</f>
        <v>1</v>
      </c>
      <c r="Z71" s="20">
        <f>IF(coder1_YH!AH70="","",IF(coder1_YH!AH70=coder2_NY_MT!AB71,1,0))</f>
        <v>1</v>
      </c>
      <c r="AA71" s="20" t="str">
        <f>IF(coder1_YH!AI70="","",IF(coder1_YH!AI70=coder2_NY_MT!AC71,1,0))</f>
        <v/>
      </c>
      <c r="AB71" s="20">
        <f>IF(OR(coder2_NY_MT!AD70="", coder1_YH!AJ70 = ""),0,1)</f>
        <v>1</v>
      </c>
      <c r="AC71" s="20">
        <f>IF(coder1_YH!AK70="","",IF(coder1_YH!AK70=coder2_NY_MT!AE71,1,0))</f>
        <v>1</v>
      </c>
      <c r="AD71" s="20">
        <f>IF(OR(coder2_NY_MT!AF70="", coder1_YH!AL70 = ""),0,1)</f>
        <v>1</v>
      </c>
      <c r="AF71" s="20">
        <f>IF(coder1_YH!AN70="","",IF(coder1_YH!AN70=coder2_NY_MT!AH71,1,0))</f>
        <v>1</v>
      </c>
      <c r="AG71" s="20">
        <f>IF(coder1_YH!AO70="","",IF(coder1_YH!AO70=coder2_NY_MT!AI71,1,0))</f>
        <v>1</v>
      </c>
      <c r="AH71" s="20">
        <f>IF(coder1_YH!AP70="","",IF(coder1_YH!AP70=coder2_NY_MT!AJ71,1,0))</f>
        <v>1</v>
      </c>
      <c r="AI71" s="20">
        <f>IF(coder1_YH!AQ70="","",IF(coder1_YH!AQ70=coder2_NY_MT!AK71,1,0))</f>
        <v>1</v>
      </c>
      <c r="AJ71" s="20">
        <f>IF(coder1_YH!AR70="","",IF(coder1_YH!AR70=coder2_NY_MT!AL71,1,0))</f>
        <v>1</v>
      </c>
      <c r="AK71" s="20">
        <f>IF(coder1_YH!AS70="","",IF(coder1_YH!AS70=coder2_NY_MT!AM71,1,0))</f>
        <v>1</v>
      </c>
      <c r="AL71" s="20" t="str">
        <f>IF(coder1_YH!AZ70="","",IF(coder1_YH!AZ70=coder2_NY_MT!AT71,1,0))</f>
        <v/>
      </c>
      <c r="AM71" s="20" t="e">
        <f>IF(coder1_YH!BA70="","",IF(coder1_YH!BA70=coder2_NY_MT!#REF!,1,0))</f>
        <v>#REF!</v>
      </c>
      <c r="AN71" s="2"/>
    </row>
    <row r="72" spans="1:40" s="20" customFormat="1" ht="17" hidden="1" customHeight="1" x14ac:dyDescent="0.2">
      <c r="A72" s="20" t="str">
        <f>IF(coder1_YH!G71="","",IF(coder1_YH!G71=coder2_NY_MT!A72,1,0))</f>
        <v/>
      </c>
      <c r="B72" s="20" t="str">
        <f>IF(coder1_YH!H71="","",IF(RIGHT(coder1_YH!H71,2)=RIGHT(coder2_NY_MT!B72,2),1,0))</f>
        <v/>
      </c>
      <c r="C72" s="20" t="str">
        <f>IF(coder1_YH!I71="","",IF(coder1_YH!I71=coder2_NY_MT!C72,1,0))</f>
        <v/>
      </c>
      <c r="E72" s="20" t="str">
        <f>IF(coder1_YH!K71="","",IF(coder1_YH!K71=coder2_NY_MT!E72,1,0))</f>
        <v/>
      </c>
      <c r="F72" s="20" t="str">
        <f>IF(coder1_YH!L71="","",IF(coder1_YH!L71=coder2_NY_MT!F72,1,0))</f>
        <v/>
      </c>
      <c r="G72" s="20" t="str">
        <f>IF(coder1_YH!M71="","",IF(coder1_YH!M71=coder2_NY_MT!G72,1,0))</f>
        <v/>
      </c>
      <c r="H72" s="20" t="str">
        <f>IF(coder1_YH!P71="","",IF(RIGHT(coder1_YH!P71,3)=RIGHT(coder2_NY_MT!J72,3),1,0))</f>
        <v/>
      </c>
      <c r="I72" s="20" t="str">
        <f>IF(H72="","",IF(OR(coder2_NY_MT!K72="", coder1_YH!Q71 = ""),0,1))</f>
        <v/>
      </c>
      <c r="J72" s="20" t="str">
        <f>IF(coder1_YH!R71="","",IF(coder1_YH!R71=coder2_NY_MT!L72,1,0))</f>
        <v/>
      </c>
      <c r="K72" s="20" t="str">
        <f>IF(coder1_YH!S71="","",IF(coder1_YH!S71=coder2_NY_MT!M72,1,0))</f>
        <v/>
      </c>
      <c r="L72" s="20" t="str">
        <f>IF(coder1_YH!T71="","",IF(coder1_YH!T71=coder2_NY_MT!N72,1,0))</f>
        <v/>
      </c>
      <c r="M72" s="20" t="str">
        <f>IF(coder1_YH!U71="","",IF(coder1_YH!U71=coder2_NY_MT!O72,1,0))</f>
        <v/>
      </c>
      <c r="N72" s="20" t="str">
        <f>IF(coder1_YH!V71="","",IF(coder1_YH!V71=coder2_NY_MT!P72,1,0))</f>
        <v/>
      </c>
      <c r="O72" s="20" t="str">
        <f>IF(coder1_YH!W71="","",IF(coder1_YH!W71=coder2_NY_MT!Q72,1,0))</f>
        <v/>
      </c>
      <c r="P72" s="20" t="str">
        <f>IF(coder1_YH!X71="","",IF(coder1_YH!X71=coder2_NY_MT!R72,1,0))</f>
        <v/>
      </c>
      <c r="Q72" s="20" t="str">
        <f>IF(coder1_YH!Y71="","",IF(coder1_YH!Y71=coder2_NY_MT!S72,1,0))</f>
        <v/>
      </c>
      <c r="R72" s="20" t="str">
        <f>IF(coder1_YH!Z71="","",IF(coder1_YH!Z71=coder2_NY_MT!T72,1,0))</f>
        <v/>
      </c>
      <c r="S72" s="20" t="str">
        <f>IF(R72="","",IF(OR(coder2_NY_MT!U72="", coder1_YH!AA71 = ""),0,1))</f>
        <v/>
      </c>
      <c r="T72" s="20" t="str">
        <f>IF(coder1_YH!AB71="","",IF(coder1_YH!AB71=coder2_NY_MT!V72,1,0))</f>
        <v/>
      </c>
      <c r="U72" s="20" t="str">
        <f>IF(coder1_YH!AC71="","",IF(coder1_YH!AC71=coder2_NY_MT!W72,1,0))</f>
        <v/>
      </c>
      <c r="V72" s="20" t="str">
        <f>IF(coder1_YH!AD71="","",IF(coder1_YH!AD71=coder2_NY_MT!X72,1,0))</f>
        <v/>
      </c>
      <c r="W72" s="20" t="str">
        <f>IF(coder1_YH!AE71="","",IF(coder1_YH!AE71=coder2_NY_MT!Y72,1,0))</f>
        <v/>
      </c>
      <c r="X72" s="20" t="str">
        <f>IF(coder1_YH!AF71="","",IF(coder1_YH!AF71=coder2_NY_MT!Z72,1,0))</f>
        <v/>
      </c>
      <c r="Y72" s="20" t="str">
        <f>IF(coder1_YH!AG71="","",IF(coder1_YH!AG71=coder2_NY_MT!AA72,1,0))</f>
        <v/>
      </c>
      <c r="Z72" s="20" t="str">
        <f>IF(coder1_YH!AH71="","",IF(coder1_YH!AH71=coder2_NY_MT!AB72,1,0))</f>
        <v/>
      </c>
      <c r="AA72" s="20" t="str">
        <f>IF(coder1_YH!AI71="","",IF(coder1_YH!AI71=coder2_NY_MT!AC72,1,0))</f>
        <v/>
      </c>
      <c r="AB72" s="20">
        <f>IF(OR(coder2_NY_MT!AD71="", coder1_YH!AJ71 = ""),0,1)</f>
        <v>1</v>
      </c>
      <c r="AC72" s="20">
        <f>IF(coder1_YH!AK71="","",IF(coder1_YH!AK71=coder2_NY_MT!AE72,1,0))</f>
        <v>1</v>
      </c>
      <c r="AD72" s="20">
        <f>IF(OR(coder2_NY_MT!AF71="", coder1_YH!AL71 = ""),0,1)</f>
        <v>0</v>
      </c>
      <c r="AF72" s="20">
        <f>IF(coder1_YH!AN71="","",IF(coder1_YH!AN71=coder2_NY_MT!AH72,1,0))</f>
        <v>1</v>
      </c>
      <c r="AG72" s="20">
        <f>IF(coder1_YH!AO71="","",IF(coder1_YH!AO71=coder2_NY_MT!AI72,1,0))</f>
        <v>1</v>
      </c>
      <c r="AH72" s="20">
        <f>IF(coder1_YH!AP71="","",IF(coder1_YH!AP71=coder2_NY_MT!AJ72,1,0))</f>
        <v>1</v>
      </c>
      <c r="AI72" s="20">
        <f>IF(coder1_YH!AQ71="","",IF(coder1_YH!AQ71=coder2_NY_MT!AK72,1,0))</f>
        <v>1</v>
      </c>
      <c r="AJ72" s="20">
        <f>IF(coder1_YH!AR71="","",IF(coder1_YH!AR71=coder2_NY_MT!AL72,1,0))</f>
        <v>1</v>
      </c>
      <c r="AK72" s="20">
        <f>IF(coder1_YH!AS71="","",IF(coder1_YH!AS71=coder2_NY_MT!AM72,1,0))</f>
        <v>1</v>
      </c>
      <c r="AL72" s="20" t="str">
        <f>IF(coder1_YH!AZ71="","",IF(coder1_YH!AZ71=coder2_NY_MT!AT72,1,0))</f>
        <v/>
      </c>
      <c r="AM72" s="20" t="e">
        <f>IF(coder1_YH!BA71="","",IF(coder1_YH!BA71=coder2_NY_MT!#REF!,1,0))</f>
        <v>#REF!</v>
      </c>
      <c r="AN72" s="2"/>
    </row>
    <row r="73" spans="1:40" s="20" customFormat="1" ht="17" hidden="1" customHeight="1" x14ac:dyDescent="0.2">
      <c r="A73" s="20" t="str">
        <f>IF(coder1_YH!G72="","",IF(coder1_YH!G72=coder2_NY_MT!A73,1,0))</f>
        <v/>
      </c>
      <c r="B73" s="20" t="str">
        <f>IF(coder1_YH!H72="","",IF(RIGHT(coder1_YH!H72,2)=RIGHT(coder2_NY_MT!B73,2),1,0))</f>
        <v/>
      </c>
      <c r="C73" s="20" t="str">
        <f>IF(coder1_YH!I72="","",IF(coder1_YH!I72=coder2_NY_MT!C73,1,0))</f>
        <v/>
      </c>
      <c r="E73" s="20" t="str">
        <f>IF(coder1_YH!K72="","",IF(coder1_YH!K72=coder2_NY_MT!E73,1,0))</f>
        <v/>
      </c>
      <c r="F73" s="20" t="str">
        <f>IF(coder1_YH!L72="","",IF(coder1_YH!L72=coder2_NY_MT!F73,1,0))</f>
        <v/>
      </c>
      <c r="G73" s="20" t="str">
        <f>IF(coder1_YH!M72="","",IF(coder1_YH!M72=coder2_NY_MT!G73,1,0))</f>
        <v/>
      </c>
      <c r="H73" s="20" t="str">
        <f>IF(coder1_YH!P72="","",IF(RIGHT(coder1_YH!P72,3)=RIGHT(coder2_NY_MT!J73,3),1,0))</f>
        <v/>
      </c>
      <c r="I73" s="20" t="str">
        <f>IF(H73="","",IF(OR(coder2_NY_MT!K73="", coder1_YH!Q72 = ""),0,1))</f>
        <v/>
      </c>
      <c r="J73" s="20" t="str">
        <f>IF(coder1_YH!R72="","",IF(coder1_YH!R72=coder2_NY_MT!L73,1,0))</f>
        <v/>
      </c>
      <c r="K73" s="20" t="str">
        <f>IF(coder1_YH!S72="","",IF(coder1_YH!S72=coder2_NY_MT!M73,1,0))</f>
        <v/>
      </c>
      <c r="L73" s="20" t="str">
        <f>IF(coder1_YH!T72="","",IF(coder1_YH!T72=coder2_NY_MT!N73,1,0))</f>
        <v/>
      </c>
      <c r="M73" s="20" t="str">
        <f>IF(coder1_YH!U72="","",IF(coder1_YH!U72=coder2_NY_MT!O73,1,0))</f>
        <v/>
      </c>
      <c r="N73" s="20" t="str">
        <f>IF(coder1_YH!V72="","",IF(coder1_YH!V72=coder2_NY_MT!P73,1,0))</f>
        <v/>
      </c>
      <c r="O73" s="20" t="str">
        <f>IF(coder1_YH!W72="","",IF(coder1_YH!W72=coder2_NY_MT!Q73,1,0))</f>
        <v/>
      </c>
      <c r="P73" s="20" t="str">
        <f>IF(coder1_YH!X72="","",IF(coder1_YH!X72=coder2_NY_MT!R73,1,0))</f>
        <v/>
      </c>
      <c r="Q73" s="20" t="str">
        <f>IF(coder1_YH!Y72="","",IF(coder1_YH!Y72=coder2_NY_MT!S73,1,0))</f>
        <v/>
      </c>
      <c r="R73" s="20" t="str">
        <f>IF(coder1_YH!Z72="","",IF(coder1_YH!Z72=coder2_NY_MT!T73,1,0))</f>
        <v/>
      </c>
      <c r="S73" s="20" t="str">
        <f>IF(R73="","",IF(OR(coder2_NY_MT!U73="", coder1_YH!AA72 = ""),0,1))</f>
        <v/>
      </c>
      <c r="T73" s="20" t="str">
        <f>IF(coder1_YH!AB72="","",IF(coder1_YH!AB72=coder2_NY_MT!V73,1,0))</f>
        <v/>
      </c>
      <c r="U73" s="20" t="str">
        <f>IF(coder1_YH!AC72="","",IF(coder1_YH!AC72=coder2_NY_MT!W73,1,0))</f>
        <v/>
      </c>
      <c r="V73" s="20" t="str">
        <f>IF(coder1_YH!AD72="","",IF(coder1_YH!AD72=coder2_NY_MT!X73,1,0))</f>
        <v/>
      </c>
      <c r="W73" s="20" t="str">
        <f>IF(coder1_YH!AE72="","",IF(coder1_YH!AE72=coder2_NY_MT!Y73,1,0))</f>
        <v/>
      </c>
      <c r="X73" s="20" t="str">
        <f>IF(coder1_YH!AF72="","",IF(coder1_YH!AF72=coder2_NY_MT!Z73,1,0))</f>
        <v/>
      </c>
      <c r="Y73" s="20" t="str">
        <f>IF(coder1_YH!AG72="","",IF(coder1_YH!AG72=coder2_NY_MT!AA73,1,0))</f>
        <v/>
      </c>
      <c r="Z73" s="20" t="str">
        <f>IF(coder1_YH!AH72="","",IF(coder1_YH!AH72=coder2_NY_MT!AB73,1,0))</f>
        <v/>
      </c>
      <c r="AA73" s="20" t="str">
        <f>IF(coder1_YH!AI72="","",IF(coder1_YH!AI72=coder2_NY_MT!AC73,1,0))</f>
        <v/>
      </c>
      <c r="AB73" s="20">
        <f>IF(OR(coder2_NY_MT!AD72="", coder1_YH!AJ72 = ""),0,1)</f>
        <v>1</v>
      </c>
      <c r="AC73" s="20">
        <f>IF(coder1_YH!AK72="","",IF(coder1_YH!AK72=coder2_NY_MT!AE73,1,0))</f>
        <v>1</v>
      </c>
      <c r="AD73" s="20">
        <f>IF(OR(coder2_NY_MT!AF72="", coder1_YH!AL72 = ""),0,1)</f>
        <v>0</v>
      </c>
      <c r="AF73" s="20">
        <f>IF(coder1_YH!AN72="","",IF(coder1_YH!AN72=coder2_NY_MT!AH73,1,0))</f>
        <v>1</v>
      </c>
      <c r="AG73" s="20">
        <f>IF(coder1_YH!AO72="","",IF(coder1_YH!AO72=coder2_NY_MT!AI73,1,0))</f>
        <v>1</v>
      </c>
      <c r="AH73" s="20">
        <f>IF(coder1_YH!AP72="","",IF(coder1_YH!AP72=coder2_NY_MT!AJ73,1,0))</f>
        <v>1</v>
      </c>
      <c r="AI73" s="20">
        <f>IF(coder1_YH!AQ72="","",IF(coder1_YH!AQ72=coder2_NY_MT!AK73,1,0))</f>
        <v>1</v>
      </c>
      <c r="AJ73" s="20">
        <f>IF(coder1_YH!AR72="","",IF(coder1_YH!AR72=coder2_NY_MT!AL73,1,0))</f>
        <v>1</v>
      </c>
      <c r="AK73" s="20">
        <f>IF(coder1_YH!AS72="","",IF(coder1_YH!AS72=coder2_NY_MT!AM73,1,0))</f>
        <v>1</v>
      </c>
      <c r="AL73" s="20" t="str">
        <f>IF(coder1_YH!AZ72="","",IF(coder1_YH!AZ72=coder2_NY_MT!AT73,1,0))</f>
        <v/>
      </c>
      <c r="AM73" s="20" t="e">
        <f>IF(coder1_YH!BA72="","",IF(coder1_YH!BA72=coder2_NY_MT!#REF!,1,0))</f>
        <v>#REF!</v>
      </c>
      <c r="AN73" s="2"/>
    </row>
    <row r="74" spans="1:40" s="20" customFormat="1" ht="17" hidden="1" customHeight="1" x14ac:dyDescent="0.2">
      <c r="A74" s="20" t="str">
        <f>IF(coder1_YH!G73="","",IF(coder1_YH!G73=coder2_NY_MT!A74,1,0))</f>
        <v/>
      </c>
      <c r="B74" s="20" t="str">
        <f>IF(coder1_YH!H73="","",IF(RIGHT(coder1_YH!H73,2)=RIGHT(coder2_NY_MT!B74,2),1,0))</f>
        <v/>
      </c>
      <c r="C74" s="20" t="str">
        <f>IF(coder1_YH!I73="","",IF(coder1_YH!I73=coder2_NY_MT!C74,1,0))</f>
        <v/>
      </c>
      <c r="E74" s="20" t="str">
        <f>IF(coder1_YH!K73="","",IF(coder1_YH!K73=coder2_NY_MT!E74,1,0))</f>
        <v/>
      </c>
      <c r="F74" s="20" t="str">
        <f>IF(coder1_YH!L73="","",IF(coder1_YH!L73=coder2_NY_MT!F74,1,0))</f>
        <v/>
      </c>
      <c r="G74" s="20" t="str">
        <f>IF(coder1_YH!M73="","",IF(coder1_YH!M73=coder2_NY_MT!G74,1,0))</f>
        <v/>
      </c>
      <c r="H74" s="20" t="str">
        <f>IF(coder1_YH!P73="","",IF(RIGHT(coder1_YH!P73,3)=RIGHT(coder2_NY_MT!J74,3),1,0))</f>
        <v/>
      </c>
      <c r="I74" s="20" t="str">
        <f>IF(H74="","",IF(OR(coder2_NY_MT!K74="", coder1_YH!Q73 = ""),0,1))</f>
        <v/>
      </c>
      <c r="J74" s="20" t="str">
        <f>IF(coder1_YH!R73="","",IF(coder1_YH!R73=coder2_NY_MT!L74,1,0))</f>
        <v/>
      </c>
      <c r="K74" s="20" t="str">
        <f>IF(coder1_YH!S73="","",IF(coder1_YH!S73=coder2_NY_MT!M74,1,0))</f>
        <v/>
      </c>
      <c r="L74" s="20" t="str">
        <f>IF(coder1_YH!T73="","",IF(coder1_YH!T73=coder2_NY_MT!N74,1,0))</f>
        <v/>
      </c>
      <c r="M74" s="20" t="str">
        <f>IF(coder1_YH!U73="","",IF(coder1_YH!U73=coder2_NY_MT!O74,1,0))</f>
        <v/>
      </c>
      <c r="N74" s="20" t="str">
        <f>IF(coder1_YH!V73="","",IF(coder1_YH!V73=coder2_NY_MT!P74,1,0))</f>
        <v/>
      </c>
      <c r="O74" s="20" t="str">
        <f>IF(coder1_YH!W73="","",IF(coder1_YH!W73=coder2_NY_MT!Q74,1,0))</f>
        <v/>
      </c>
      <c r="P74" s="20" t="str">
        <f>IF(coder1_YH!X73="","",IF(coder1_YH!X73=coder2_NY_MT!R74,1,0))</f>
        <v/>
      </c>
      <c r="Q74" s="20" t="str">
        <f>IF(coder1_YH!Y73="","",IF(coder1_YH!Y73=coder2_NY_MT!S74,1,0))</f>
        <v/>
      </c>
      <c r="R74" s="20" t="str">
        <f>IF(coder1_YH!Z73="","",IF(coder1_YH!Z73=coder2_NY_MT!T74,1,0))</f>
        <v/>
      </c>
      <c r="S74" s="20" t="str">
        <f>IF(R74="","",IF(OR(coder2_NY_MT!U74="", coder1_YH!AA73 = ""),0,1))</f>
        <v/>
      </c>
      <c r="T74" s="20" t="str">
        <f>IF(coder1_YH!AB73="","",IF(coder1_YH!AB73=coder2_NY_MT!V74,1,0))</f>
        <v/>
      </c>
      <c r="U74" s="20" t="str">
        <f>IF(coder1_YH!AC73="","",IF(coder1_YH!AC73=coder2_NY_MT!W74,1,0))</f>
        <v/>
      </c>
      <c r="V74" s="20" t="str">
        <f>IF(coder1_YH!AD73="","",IF(coder1_YH!AD73=coder2_NY_MT!X74,1,0))</f>
        <v/>
      </c>
      <c r="W74" s="20" t="str">
        <f>IF(coder1_YH!AE73="","",IF(coder1_YH!AE73=coder2_NY_MT!Y74,1,0))</f>
        <v/>
      </c>
      <c r="X74" s="20" t="str">
        <f>IF(coder1_YH!AF73="","",IF(coder1_YH!AF73=coder2_NY_MT!Z74,1,0))</f>
        <v/>
      </c>
      <c r="Y74" s="20" t="str">
        <f>IF(coder1_YH!AG73="","",IF(coder1_YH!AG73=coder2_NY_MT!AA74,1,0))</f>
        <v/>
      </c>
      <c r="Z74" s="20" t="str">
        <f>IF(coder1_YH!AH73="","",IF(coder1_YH!AH73=coder2_NY_MT!AB74,1,0))</f>
        <v/>
      </c>
      <c r="AA74" s="20" t="str">
        <f>IF(coder1_YH!AI73="","",IF(coder1_YH!AI73=coder2_NY_MT!AC74,1,0))</f>
        <v/>
      </c>
      <c r="AB74" s="20">
        <f>IF(OR(coder2_NY_MT!AD73="", coder1_YH!AJ73 = ""),0,1)</f>
        <v>1</v>
      </c>
      <c r="AC74" s="20">
        <f>IF(coder1_YH!AK73="","",IF(coder1_YH!AK73=coder2_NY_MT!AE74,1,0))</f>
        <v>1</v>
      </c>
      <c r="AD74" s="20">
        <f>IF(OR(coder2_NY_MT!AF73="", coder1_YH!AL73 = ""),0,1)</f>
        <v>0</v>
      </c>
      <c r="AF74" s="20">
        <f>IF(coder1_YH!AN73="","",IF(coder1_YH!AN73=coder2_NY_MT!AH74,1,0))</f>
        <v>1</v>
      </c>
      <c r="AG74" s="20">
        <f>IF(coder1_YH!AO73="","",IF(coder1_YH!AO73=coder2_NY_MT!AI74,1,0))</f>
        <v>1</v>
      </c>
      <c r="AH74" s="20">
        <f>IF(coder1_YH!AP73="","",IF(coder1_YH!AP73=coder2_NY_MT!AJ74,1,0))</f>
        <v>1</v>
      </c>
      <c r="AI74" s="20">
        <f>IF(coder1_YH!AQ73="","",IF(coder1_YH!AQ73=coder2_NY_MT!AK74,1,0))</f>
        <v>1</v>
      </c>
      <c r="AJ74" s="20">
        <f>IF(coder1_YH!AR73="","",IF(coder1_YH!AR73=coder2_NY_MT!AL74,1,0))</f>
        <v>1</v>
      </c>
      <c r="AK74" s="20">
        <f>IF(coder1_YH!AS73="","",IF(coder1_YH!AS73=coder2_NY_MT!AM74,1,0))</f>
        <v>1</v>
      </c>
      <c r="AL74" s="20" t="str">
        <f>IF(coder1_YH!AZ73="","",IF(coder1_YH!AZ73=coder2_NY_MT!AT74,1,0))</f>
        <v/>
      </c>
      <c r="AM74" s="20" t="e">
        <f>IF(coder1_YH!BA73="","",IF(coder1_YH!BA73=coder2_NY_MT!#REF!,1,0))</f>
        <v>#REF!</v>
      </c>
      <c r="AN74" s="2"/>
    </row>
    <row r="75" spans="1:40" s="20" customFormat="1" ht="17" hidden="1" customHeight="1" x14ac:dyDescent="0.2">
      <c r="A75" s="20" t="str">
        <f>IF(coder1_YH!G74="","",IF(coder1_YH!G74=coder2_NY_MT!A75,1,0))</f>
        <v/>
      </c>
      <c r="B75" s="20" t="str">
        <f>IF(coder1_YH!H74="","",IF(RIGHT(coder1_YH!H74,2)=RIGHT(coder2_NY_MT!B75,2),1,0))</f>
        <v/>
      </c>
      <c r="C75" s="20" t="str">
        <f>IF(coder1_YH!I74="","",IF(coder1_YH!I74=coder2_NY_MT!C75,1,0))</f>
        <v/>
      </c>
      <c r="E75" s="20" t="str">
        <f>IF(coder1_YH!K74="","",IF(coder1_YH!K74=coder2_NY_MT!E75,1,0))</f>
        <v/>
      </c>
      <c r="F75" s="20" t="str">
        <f>IF(coder1_YH!L74="","",IF(coder1_YH!L74=coder2_NY_MT!F75,1,0))</f>
        <v/>
      </c>
      <c r="G75" s="20" t="str">
        <f>IF(coder1_YH!M74="","",IF(coder1_YH!M74=coder2_NY_MT!G75,1,0))</f>
        <v/>
      </c>
      <c r="H75" s="20" t="str">
        <f>IF(coder1_YH!P74="","",IF(RIGHT(coder1_YH!P74,3)=RIGHT(coder2_NY_MT!J75,3),1,0))</f>
        <v/>
      </c>
      <c r="I75" s="20" t="str">
        <f>IF(H75="","",IF(OR(coder2_NY_MT!K75="", coder1_YH!Q74 = ""),0,1))</f>
        <v/>
      </c>
      <c r="J75" s="20" t="str">
        <f>IF(coder1_YH!R74="","",IF(coder1_YH!R74=coder2_NY_MT!L75,1,0))</f>
        <v/>
      </c>
      <c r="K75" s="20" t="str">
        <f>IF(coder1_YH!S74="","",IF(coder1_YH!S74=coder2_NY_MT!M75,1,0))</f>
        <v/>
      </c>
      <c r="L75" s="20" t="str">
        <f>IF(coder1_YH!T74="","",IF(coder1_YH!T74=coder2_NY_MT!N75,1,0))</f>
        <v/>
      </c>
      <c r="M75" s="20" t="str">
        <f>IF(coder1_YH!U74="","",IF(coder1_YH!U74=coder2_NY_MT!O75,1,0))</f>
        <v/>
      </c>
      <c r="N75" s="20" t="str">
        <f>IF(coder1_YH!V74="","",IF(coder1_YH!V74=coder2_NY_MT!P75,1,0))</f>
        <v/>
      </c>
      <c r="O75" s="20" t="str">
        <f>IF(coder1_YH!W74="","",IF(coder1_YH!W74=coder2_NY_MT!Q75,1,0))</f>
        <v/>
      </c>
      <c r="P75" s="20" t="str">
        <f>IF(coder1_YH!X74="","",IF(coder1_YH!X74=coder2_NY_MT!R75,1,0))</f>
        <v/>
      </c>
      <c r="Q75" s="20" t="str">
        <f>IF(coder1_YH!Y74="","",IF(coder1_YH!Y74=coder2_NY_MT!S75,1,0))</f>
        <v/>
      </c>
      <c r="R75" s="20" t="str">
        <f>IF(coder1_YH!Z74="","",IF(coder1_YH!Z74=coder2_NY_MT!T75,1,0))</f>
        <v/>
      </c>
      <c r="S75" s="20" t="str">
        <f>IF(R75="","",IF(OR(coder2_NY_MT!U75="", coder1_YH!AA74 = ""),0,1))</f>
        <v/>
      </c>
      <c r="T75" s="20" t="str">
        <f>IF(coder1_YH!AB74="","",IF(coder1_YH!AB74=coder2_NY_MT!V75,1,0))</f>
        <v/>
      </c>
      <c r="U75" s="20" t="str">
        <f>IF(coder1_YH!AC74="","",IF(coder1_YH!AC74=coder2_NY_MT!W75,1,0))</f>
        <v/>
      </c>
      <c r="V75" s="20" t="str">
        <f>IF(coder1_YH!AD74="","",IF(coder1_YH!AD74=coder2_NY_MT!X75,1,0))</f>
        <v/>
      </c>
      <c r="W75" s="20" t="str">
        <f>IF(coder1_YH!AE74="","",IF(coder1_YH!AE74=coder2_NY_MT!Y75,1,0))</f>
        <v/>
      </c>
      <c r="X75" s="20" t="str">
        <f>IF(coder1_YH!AF74="","",IF(coder1_YH!AF74=coder2_NY_MT!Z75,1,0))</f>
        <v/>
      </c>
      <c r="Y75" s="20" t="str">
        <f>IF(coder1_YH!AG74="","",IF(coder1_YH!AG74=coder2_NY_MT!AA75,1,0))</f>
        <v/>
      </c>
      <c r="Z75" s="20" t="str">
        <f>IF(coder1_YH!AH74="","",IF(coder1_YH!AH74=coder2_NY_MT!AB75,1,0))</f>
        <v/>
      </c>
      <c r="AA75" s="20" t="str">
        <f>IF(coder1_YH!AI74="","",IF(coder1_YH!AI74=coder2_NY_MT!AC75,1,0))</f>
        <v/>
      </c>
      <c r="AB75" s="20">
        <f>IF(OR(coder2_NY_MT!AD74="", coder1_YH!AJ74 = ""),0,1)</f>
        <v>1</v>
      </c>
      <c r="AC75" s="20">
        <f>IF(coder1_YH!AK74="","",IF(coder1_YH!AK74=coder2_NY_MT!AE75,1,0))</f>
        <v>1</v>
      </c>
      <c r="AD75" s="20">
        <f>IF(OR(coder2_NY_MT!AF74="", coder1_YH!AL74 = ""),0,1)</f>
        <v>0</v>
      </c>
      <c r="AF75" s="20">
        <f>IF(coder1_YH!AN74="","",IF(coder1_YH!AN74=coder2_NY_MT!AH75,1,0))</f>
        <v>1</v>
      </c>
      <c r="AG75" s="20">
        <f>IF(coder1_YH!AO74="","",IF(coder1_YH!AO74=coder2_NY_MT!AI75,1,0))</f>
        <v>1</v>
      </c>
      <c r="AH75" s="20">
        <f>IF(coder1_YH!AP74="","",IF(coder1_YH!AP74=coder2_NY_MT!AJ75,1,0))</f>
        <v>1</v>
      </c>
      <c r="AI75" s="20">
        <f>IF(coder1_YH!AQ74="","",IF(coder1_YH!AQ74=coder2_NY_MT!AK75,1,0))</f>
        <v>1</v>
      </c>
      <c r="AJ75" s="20">
        <f>IF(coder1_YH!AR74="","",IF(coder1_YH!AR74=coder2_NY_MT!AL75,1,0))</f>
        <v>1</v>
      </c>
      <c r="AK75" s="20">
        <f>IF(coder1_YH!AS74="","",IF(coder1_YH!AS74=coder2_NY_MT!AM75,1,0))</f>
        <v>1</v>
      </c>
      <c r="AL75" s="20" t="str">
        <f>IF(coder1_YH!AZ74="","",IF(coder1_YH!AZ74=coder2_NY_MT!AT75,1,0))</f>
        <v/>
      </c>
      <c r="AM75" s="20" t="e">
        <f>IF(coder1_YH!BA74="","",IF(coder1_YH!BA74=coder2_NY_MT!#REF!,1,0))</f>
        <v>#REF!</v>
      </c>
      <c r="AN75" s="2"/>
    </row>
    <row r="76" spans="1:40" s="20" customFormat="1" ht="17" hidden="1" customHeight="1" x14ac:dyDescent="0.2">
      <c r="A76" s="20" t="str">
        <f>IF(coder1_YH!G75="","",IF(coder1_YH!G75=coder2_NY_MT!A76,1,0))</f>
        <v/>
      </c>
      <c r="B76" s="20" t="str">
        <f>IF(coder1_YH!H75="","",IF(RIGHT(coder1_YH!H75,2)=RIGHT(coder2_NY_MT!B76,2),1,0))</f>
        <v/>
      </c>
      <c r="C76" s="20" t="str">
        <f>IF(coder1_YH!I75="","",IF(coder1_YH!I75=coder2_NY_MT!C76,1,0))</f>
        <v/>
      </c>
      <c r="E76" s="20" t="str">
        <f>IF(coder1_YH!K75="","",IF(coder1_YH!K75=coder2_NY_MT!E76,1,0))</f>
        <v/>
      </c>
      <c r="F76" s="20" t="str">
        <f>IF(coder1_YH!L75="","",IF(coder1_YH!L75=coder2_NY_MT!F76,1,0))</f>
        <v/>
      </c>
      <c r="G76" s="20" t="str">
        <f>IF(coder1_YH!M75="","",IF(coder1_YH!M75=coder2_NY_MT!G76,1,0))</f>
        <v/>
      </c>
      <c r="H76" s="20">
        <f>IF(coder1_YH!P75="","",IF(RIGHT(coder1_YH!P75,3)=RIGHT(coder2_NY_MT!J76,3),1,0))</f>
        <v>0</v>
      </c>
      <c r="I76" s="20">
        <f>IF(H76="","",IF(OR(coder2_NY_MT!K76="", coder1_YH!Q75 = ""),0,1))</f>
        <v>1</v>
      </c>
      <c r="J76" s="20">
        <f>IF(coder1_YH!R75="","",IF(coder1_YH!R75=coder2_NY_MT!L76,1,0))</f>
        <v>1</v>
      </c>
      <c r="K76" s="20">
        <f>IF(coder1_YH!S75="","",IF(coder1_YH!S75=coder2_NY_MT!M76,1,0))</f>
        <v>1</v>
      </c>
      <c r="L76" s="20">
        <f>IF(coder1_YH!T75="","",IF(coder1_YH!T75=coder2_NY_MT!N76,1,0))</f>
        <v>1</v>
      </c>
      <c r="M76" s="20">
        <f>IF(coder1_YH!U75="","",IF(coder1_YH!U75=coder2_NY_MT!O76,1,0))</f>
        <v>1</v>
      </c>
      <c r="N76" s="20">
        <f>IF(coder1_YH!V75="","",IF(coder1_YH!V75=coder2_NY_MT!P76,1,0))</f>
        <v>1</v>
      </c>
      <c r="O76" s="20">
        <f>IF(coder1_YH!W75="","",IF(coder1_YH!W75=coder2_NY_MT!Q76,1,0))</f>
        <v>1</v>
      </c>
      <c r="P76" s="20">
        <f>IF(coder1_YH!X75="","",IF(coder1_YH!X75=coder2_NY_MT!R76,1,0))</f>
        <v>1</v>
      </c>
      <c r="Q76" s="20">
        <f>IF(coder1_YH!Y75="","",IF(coder1_YH!Y75=coder2_NY_MT!S76,1,0))</f>
        <v>1</v>
      </c>
      <c r="R76" s="20">
        <f>IF(coder1_YH!Z75="","",IF(coder1_YH!Z75=coder2_NY_MT!T76,1,0))</f>
        <v>1</v>
      </c>
      <c r="S76" s="20">
        <f>IF(R76="","",IF(OR(coder2_NY_MT!U76="", coder1_YH!AA75 = ""),0,1))</f>
        <v>1</v>
      </c>
      <c r="T76" s="20">
        <f>IF(coder1_YH!AB75="","",IF(coder1_YH!AB75=coder2_NY_MT!V76,1,0))</f>
        <v>1</v>
      </c>
      <c r="U76" s="20">
        <f>IF(coder1_YH!AC75="","",IF(coder1_YH!AC75=coder2_NY_MT!W76,1,0))</f>
        <v>1</v>
      </c>
      <c r="V76" s="20">
        <f>IF(coder1_YH!AD75="","",IF(coder1_YH!AD75=coder2_NY_MT!X76,1,0))</f>
        <v>1</v>
      </c>
      <c r="W76" s="20">
        <f>IF(coder1_YH!AE75="","",IF(coder1_YH!AE75=coder2_NY_MT!Y76,1,0))</f>
        <v>1</v>
      </c>
      <c r="X76" s="20">
        <f>IF(coder1_YH!AF75="","",IF(coder1_YH!AF75=coder2_NY_MT!Z76,1,0))</f>
        <v>1</v>
      </c>
      <c r="Y76" s="20">
        <f>IF(coder1_YH!AG75="","",IF(coder1_YH!AG75=coder2_NY_MT!AA76,1,0))</f>
        <v>1</v>
      </c>
      <c r="Z76" s="20">
        <f>IF(coder1_YH!AH75="","",IF(coder1_YH!AH75=coder2_NY_MT!AB76,1,0))</f>
        <v>1</v>
      </c>
      <c r="AA76" s="20">
        <f>IF(coder1_YH!AI75="","",IF(coder1_YH!AI75=coder2_NY_MT!AC76,1,0))</f>
        <v>1</v>
      </c>
      <c r="AB76" s="20">
        <f>IF(OR(coder2_NY_MT!AD75="", coder1_YH!AJ75 = ""),0,1)</f>
        <v>1</v>
      </c>
      <c r="AC76" s="20">
        <f>IF(coder1_YH!AK75="","",IF(coder1_YH!AK75=coder2_NY_MT!AE76,1,0))</f>
        <v>1</v>
      </c>
      <c r="AD76" s="20">
        <f>IF(OR(coder2_NY_MT!AF75="", coder1_YH!AL75 = ""),0,1)</f>
        <v>0</v>
      </c>
      <c r="AF76" s="20">
        <f>IF(coder1_YH!AN75="","",IF(coder1_YH!AN75=coder2_NY_MT!AH76,1,0))</f>
        <v>1</v>
      </c>
      <c r="AG76" s="20">
        <f>IF(coder1_YH!AO75="","",IF(coder1_YH!AO75=coder2_NY_MT!AI76,1,0))</f>
        <v>1</v>
      </c>
      <c r="AH76" s="20">
        <f>IF(coder1_YH!AP75="","",IF(coder1_YH!AP75=coder2_NY_MT!AJ76,1,0))</f>
        <v>1</v>
      </c>
      <c r="AI76" s="20">
        <f>IF(coder1_YH!AQ75="","",IF(coder1_YH!AQ75=coder2_NY_MT!AK76,1,0))</f>
        <v>1</v>
      </c>
      <c r="AJ76" s="20">
        <f>IF(coder1_YH!AR75="","",IF(coder1_YH!AR75=coder2_NY_MT!AL76,1,0))</f>
        <v>1</v>
      </c>
      <c r="AK76" s="20">
        <f>IF(coder1_YH!AS75="","",IF(coder1_YH!AS75=coder2_NY_MT!AM76,1,0))</f>
        <v>1</v>
      </c>
      <c r="AL76" s="20" t="str">
        <f>IF(coder1_YH!AZ75="","",IF(coder1_YH!AZ75=coder2_NY_MT!AT76,1,0))</f>
        <v/>
      </c>
      <c r="AM76" s="20" t="e">
        <f>IF(coder1_YH!BA75="","",IF(coder1_YH!BA75=coder2_NY_MT!#REF!,1,0))</f>
        <v>#REF!</v>
      </c>
      <c r="AN76" s="2"/>
    </row>
    <row r="77" spans="1:40" s="20" customFormat="1" ht="17" hidden="1" customHeight="1" x14ac:dyDescent="0.2">
      <c r="A77" s="20" t="str">
        <f>IF(coder1_YH!G76="","",IF(coder1_YH!G76=coder2_NY_MT!A77,1,0))</f>
        <v/>
      </c>
      <c r="B77" s="20" t="str">
        <f>IF(coder1_YH!H76="","",IF(RIGHT(coder1_YH!H76,2)=RIGHT(coder2_NY_MT!B77,2),1,0))</f>
        <v/>
      </c>
      <c r="C77" s="20" t="str">
        <f>IF(coder1_YH!I76="","",IF(coder1_YH!I76=coder2_NY_MT!C77,1,0))</f>
        <v/>
      </c>
      <c r="E77" s="20" t="str">
        <f>IF(coder1_YH!K76="","",IF(coder1_YH!K76=coder2_NY_MT!E77,1,0))</f>
        <v/>
      </c>
      <c r="F77" s="20" t="str">
        <f>IF(coder1_YH!L76="","",IF(coder1_YH!L76=coder2_NY_MT!F77,1,0))</f>
        <v/>
      </c>
      <c r="G77" s="20" t="str">
        <f>IF(coder1_YH!M76="","",IF(coder1_YH!M76=coder2_NY_MT!G77,1,0))</f>
        <v/>
      </c>
      <c r="H77" s="20" t="str">
        <f>IF(coder1_YH!P76="","",IF(RIGHT(coder1_YH!P76,3)=RIGHT(coder2_NY_MT!J77,3),1,0))</f>
        <v/>
      </c>
      <c r="I77" s="20" t="str">
        <f>IF(H77="","",IF(OR(coder2_NY_MT!K77="", coder1_YH!Q76 = ""),0,1))</f>
        <v/>
      </c>
      <c r="J77" s="20" t="str">
        <f>IF(coder1_YH!R76="","",IF(coder1_YH!R76=coder2_NY_MT!L77,1,0))</f>
        <v/>
      </c>
      <c r="K77" s="20" t="str">
        <f>IF(coder1_YH!S76="","",IF(coder1_YH!S76=coder2_NY_MT!M77,1,0))</f>
        <v/>
      </c>
      <c r="L77" s="20" t="str">
        <f>IF(coder1_YH!T76="","",IF(coder1_YH!T76=coder2_NY_MT!N77,1,0))</f>
        <v/>
      </c>
      <c r="M77" s="20" t="str">
        <f>IF(coder1_YH!U76="","",IF(coder1_YH!U76=coder2_NY_MT!O77,1,0))</f>
        <v/>
      </c>
      <c r="N77" s="20" t="str">
        <f>IF(coder1_YH!V76="","",IF(coder1_YH!V76=coder2_NY_MT!P77,1,0))</f>
        <v/>
      </c>
      <c r="O77" s="20" t="str">
        <f>IF(coder1_YH!W76="","",IF(coder1_YH!W76=coder2_NY_MT!Q77,1,0))</f>
        <v/>
      </c>
      <c r="P77" s="20" t="str">
        <f>IF(coder1_YH!X76="","",IF(coder1_YH!X76=coder2_NY_MT!R77,1,0))</f>
        <v/>
      </c>
      <c r="Q77" s="20" t="str">
        <f>IF(coder1_YH!Y76="","",IF(coder1_YH!Y76=coder2_NY_MT!S77,1,0))</f>
        <v/>
      </c>
      <c r="R77" s="20" t="str">
        <f>IF(coder1_YH!Z76="","",IF(coder1_YH!Z76=coder2_NY_MT!T77,1,0))</f>
        <v/>
      </c>
      <c r="S77" s="20" t="str">
        <f>IF(R77="","",IF(OR(coder2_NY_MT!U77="", coder1_YH!AA76 = ""),0,1))</f>
        <v/>
      </c>
      <c r="T77" s="20" t="str">
        <f>IF(coder1_YH!AB76="","",IF(coder1_YH!AB76=coder2_NY_MT!V77,1,0))</f>
        <v/>
      </c>
      <c r="U77" s="20" t="str">
        <f>IF(coder1_YH!AC76="","",IF(coder1_YH!AC76=coder2_NY_MT!W77,1,0))</f>
        <v/>
      </c>
      <c r="V77" s="20" t="str">
        <f>IF(coder1_YH!AD76="","",IF(coder1_YH!AD76=coder2_NY_MT!X77,1,0))</f>
        <v/>
      </c>
      <c r="W77" s="20" t="str">
        <f>IF(coder1_YH!AE76="","",IF(coder1_YH!AE76=coder2_NY_MT!Y77,1,0))</f>
        <v/>
      </c>
      <c r="X77" s="20" t="str">
        <f>IF(coder1_YH!AF76="","",IF(coder1_YH!AF76=coder2_NY_MT!Z77,1,0))</f>
        <v/>
      </c>
      <c r="Y77" s="20" t="str">
        <f>IF(coder1_YH!AG76="","",IF(coder1_YH!AG76=coder2_NY_MT!AA77,1,0))</f>
        <v/>
      </c>
      <c r="Z77" s="20" t="str">
        <f>IF(coder1_YH!AH76="","",IF(coder1_YH!AH76=coder2_NY_MT!AB77,1,0))</f>
        <v/>
      </c>
      <c r="AA77" s="20" t="str">
        <f>IF(coder1_YH!AI76="","",IF(coder1_YH!AI76=coder2_NY_MT!AC77,1,0))</f>
        <v/>
      </c>
      <c r="AB77" s="20">
        <f>IF(OR(coder2_NY_MT!AD76="", coder1_YH!AJ76 = ""),0,1)</f>
        <v>1</v>
      </c>
      <c r="AC77" s="20">
        <f>IF(coder1_YH!AK76="","",IF(coder1_YH!AK76=coder2_NY_MT!AE77,1,0))</f>
        <v>1</v>
      </c>
      <c r="AD77" s="20">
        <f>IF(OR(coder2_NY_MT!AF76="", coder1_YH!AL76 = ""),0,1)</f>
        <v>0</v>
      </c>
      <c r="AF77" s="20">
        <f>IF(coder1_YH!AN76="","",IF(coder1_YH!AN76=coder2_NY_MT!AH77,1,0))</f>
        <v>1</v>
      </c>
      <c r="AG77" s="20">
        <f>IF(coder1_YH!AO76="","",IF(coder1_YH!AO76=coder2_NY_MT!AI77,1,0))</f>
        <v>1</v>
      </c>
      <c r="AH77" s="20">
        <f>IF(coder1_YH!AP76="","",IF(coder1_YH!AP76=coder2_NY_MT!AJ77,1,0))</f>
        <v>1</v>
      </c>
      <c r="AI77" s="20">
        <f>IF(coder1_YH!AQ76="","",IF(coder1_YH!AQ76=coder2_NY_MT!AK77,1,0))</f>
        <v>1</v>
      </c>
      <c r="AJ77" s="20">
        <f>IF(coder1_YH!AR76="","",IF(coder1_YH!AR76=coder2_NY_MT!AL77,1,0))</f>
        <v>1</v>
      </c>
      <c r="AK77" s="20">
        <f>IF(coder1_YH!AS76="","",IF(coder1_YH!AS76=coder2_NY_MT!AM77,1,0))</f>
        <v>1</v>
      </c>
      <c r="AL77" s="20" t="str">
        <f>IF(coder1_YH!AZ76="","",IF(coder1_YH!AZ76=coder2_NY_MT!AT77,1,0))</f>
        <v/>
      </c>
      <c r="AM77" s="20" t="e">
        <f>IF(coder1_YH!BA76="","",IF(coder1_YH!BA76=coder2_NY_MT!#REF!,1,0))</f>
        <v>#REF!</v>
      </c>
      <c r="AN77" s="2"/>
    </row>
    <row r="78" spans="1:40" s="20" customFormat="1" ht="17" hidden="1" customHeight="1" x14ac:dyDescent="0.2">
      <c r="A78" s="20" t="str">
        <f>IF(coder1_YH!G77="","",IF(coder1_YH!G77=coder2_NY_MT!A78,1,0))</f>
        <v/>
      </c>
      <c r="B78" s="20" t="str">
        <f>IF(coder1_YH!H77="","",IF(RIGHT(coder1_YH!H77,2)=RIGHT(coder2_NY_MT!B78,2),1,0))</f>
        <v/>
      </c>
      <c r="C78" s="20" t="str">
        <f>IF(coder1_YH!I77="","",IF(coder1_YH!I77=coder2_NY_MT!C78,1,0))</f>
        <v/>
      </c>
      <c r="E78" s="20" t="str">
        <f>IF(coder1_YH!K77="","",IF(coder1_YH!K77=coder2_NY_MT!E78,1,0))</f>
        <v/>
      </c>
      <c r="F78" s="20" t="str">
        <f>IF(coder1_YH!L77="","",IF(coder1_YH!L77=coder2_NY_MT!F78,1,0))</f>
        <v/>
      </c>
      <c r="G78" s="20" t="str">
        <f>IF(coder1_YH!M77="","",IF(coder1_YH!M77=coder2_NY_MT!G78,1,0))</f>
        <v/>
      </c>
      <c r="H78" s="20" t="str">
        <f>IF(coder1_YH!P77="","",IF(RIGHT(coder1_YH!P77,3)=RIGHT(coder2_NY_MT!J78,3),1,0))</f>
        <v/>
      </c>
      <c r="I78" s="20" t="str">
        <f>IF(H78="","",IF(OR(coder2_NY_MT!K78="", coder1_YH!Q77 = ""),0,1))</f>
        <v/>
      </c>
      <c r="J78" s="20" t="str">
        <f>IF(coder1_YH!R77="","",IF(coder1_YH!R77=coder2_NY_MT!L78,1,0))</f>
        <v/>
      </c>
      <c r="K78" s="20" t="str">
        <f>IF(coder1_YH!S77="","",IF(coder1_YH!S77=coder2_NY_MT!M78,1,0))</f>
        <v/>
      </c>
      <c r="L78" s="20" t="str">
        <f>IF(coder1_YH!T77="","",IF(coder1_YH!T77=coder2_NY_MT!N78,1,0))</f>
        <v/>
      </c>
      <c r="M78" s="20" t="str">
        <f>IF(coder1_YH!U77="","",IF(coder1_YH!U77=coder2_NY_MT!O78,1,0))</f>
        <v/>
      </c>
      <c r="N78" s="20" t="str">
        <f>IF(coder1_YH!V77="","",IF(coder1_YH!V77=coder2_NY_MT!P78,1,0))</f>
        <v/>
      </c>
      <c r="O78" s="20" t="str">
        <f>IF(coder1_YH!W77="","",IF(coder1_YH!W77=coder2_NY_MT!Q78,1,0))</f>
        <v/>
      </c>
      <c r="P78" s="20" t="str">
        <f>IF(coder1_YH!X77="","",IF(coder1_YH!X77=coder2_NY_MT!R78,1,0))</f>
        <v/>
      </c>
      <c r="Q78" s="20" t="str">
        <f>IF(coder1_YH!Y77="","",IF(coder1_YH!Y77=coder2_NY_MT!S78,1,0))</f>
        <v/>
      </c>
      <c r="R78" s="20" t="str">
        <f>IF(coder1_YH!Z77="","",IF(coder1_YH!Z77=coder2_NY_MT!T78,1,0))</f>
        <v/>
      </c>
      <c r="S78" s="20" t="str">
        <f>IF(R78="","",IF(OR(coder2_NY_MT!U78="", coder1_YH!AA77 = ""),0,1))</f>
        <v/>
      </c>
      <c r="T78" s="20" t="str">
        <f>IF(coder1_YH!AB77="","",IF(coder1_YH!AB77=coder2_NY_MT!V78,1,0))</f>
        <v/>
      </c>
      <c r="U78" s="20" t="str">
        <f>IF(coder1_YH!AC77="","",IF(coder1_YH!AC77=coder2_NY_MT!W78,1,0))</f>
        <v/>
      </c>
      <c r="V78" s="20" t="str">
        <f>IF(coder1_YH!AD77="","",IF(coder1_YH!AD77=coder2_NY_MT!X78,1,0))</f>
        <v/>
      </c>
      <c r="W78" s="20" t="str">
        <f>IF(coder1_YH!AE77="","",IF(coder1_YH!AE77=coder2_NY_MT!Y78,1,0))</f>
        <v/>
      </c>
      <c r="X78" s="20" t="str">
        <f>IF(coder1_YH!AF77="","",IF(coder1_YH!AF77=coder2_NY_MT!Z78,1,0))</f>
        <v/>
      </c>
      <c r="Y78" s="20" t="str">
        <f>IF(coder1_YH!AG77="","",IF(coder1_YH!AG77=coder2_NY_MT!AA78,1,0))</f>
        <v/>
      </c>
      <c r="Z78" s="20" t="str">
        <f>IF(coder1_YH!AH77="","",IF(coder1_YH!AH77=coder2_NY_MT!AB78,1,0))</f>
        <v/>
      </c>
      <c r="AA78" s="20" t="str">
        <f>IF(coder1_YH!AI77="","",IF(coder1_YH!AI77=coder2_NY_MT!AC78,1,0))</f>
        <v/>
      </c>
      <c r="AB78" s="20">
        <f>IF(OR(coder2_NY_MT!AD77="", coder1_YH!AJ77 = ""),0,1)</f>
        <v>1</v>
      </c>
      <c r="AC78" s="20">
        <f>IF(coder1_YH!AK77="","",IF(coder1_YH!AK77=coder2_NY_MT!AE78,1,0))</f>
        <v>1</v>
      </c>
      <c r="AD78" s="20">
        <f>IF(OR(coder2_NY_MT!AF77="", coder1_YH!AL77 = ""),0,1)</f>
        <v>0</v>
      </c>
      <c r="AF78" s="20">
        <f>IF(coder1_YH!AN77="","",IF(coder1_YH!AN77=coder2_NY_MT!AH78,1,0))</f>
        <v>1</v>
      </c>
      <c r="AG78" s="20">
        <f>IF(coder1_YH!AO77="","",IF(coder1_YH!AO77=coder2_NY_MT!AI78,1,0))</f>
        <v>1</v>
      </c>
      <c r="AH78" s="20">
        <f>IF(coder1_YH!AP77="","",IF(coder1_YH!AP77=coder2_NY_MT!AJ78,1,0))</f>
        <v>1</v>
      </c>
      <c r="AI78" s="20">
        <f>IF(coder1_YH!AQ77="","",IF(coder1_YH!AQ77=coder2_NY_MT!AK78,1,0))</f>
        <v>1</v>
      </c>
      <c r="AJ78" s="20">
        <f>IF(coder1_YH!AR77="","",IF(coder1_YH!AR77=coder2_NY_MT!AL78,1,0))</f>
        <v>1</v>
      </c>
      <c r="AK78" s="20">
        <f>IF(coder1_YH!AS77="","",IF(coder1_YH!AS77=coder2_NY_MT!AM78,1,0))</f>
        <v>1</v>
      </c>
      <c r="AL78" s="20" t="str">
        <f>IF(coder1_YH!AZ77="","",IF(coder1_YH!AZ77=coder2_NY_MT!AT78,1,0))</f>
        <v/>
      </c>
      <c r="AM78" s="20" t="e">
        <f>IF(coder1_YH!BA77="","",IF(coder1_YH!BA77=coder2_NY_MT!#REF!,1,0))</f>
        <v>#REF!</v>
      </c>
      <c r="AN78" s="2"/>
    </row>
    <row r="79" spans="1:40" s="20" customFormat="1" ht="17" hidden="1" customHeight="1" x14ac:dyDescent="0.2">
      <c r="A79" s="20" t="str">
        <f>IF(coder1_YH!G78="","",IF(coder1_YH!G78=coder2_NY_MT!A79,1,0))</f>
        <v/>
      </c>
      <c r="B79" s="20" t="str">
        <f>IF(coder1_YH!H78="","",IF(RIGHT(coder1_YH!H78,2)=RIGHT(coder2_NY_MT!B79,2),1,0))</f>
        <v/>
      </c>
      <c r="C79" s="20" t="str">
        <f>IF(coder1_YH!I78="","",IF(coder1_YH!I78=coder2_NY_MT!C79,1,0))</f>
        <v/>
      </c>
      <c r="E79" s="20" t="str">
        <f>IF(coder1_YH!K78="","",IF(coder1_YH!K78=coder2_NY_MT!E79,1,0))</f>
        <v/>
      </c>
      <c r="F79" s="20" t="str">
        <f>IF(coder1_YH!L78="","",IF(coder1_YH!L78=coder2_NY_MT!F79,1,0))</f>
        <v/>
      </c>
      <c r="G79" s="20" t="str">
        <f>IF(coder1_YH!M78="","",IF(coder1_YH!M78=coder2_NY_MT!G79,1,0))</f>
        <v/>
      </c>
      <c r="H79" s="20" t="str">
        <f>IF(coder1_YH!P78="","",IF(RIGHT(coder1_YH!P78,3)=RIGHT(coder2_NY_MT!J79,3),1,0))</f>
        <v/>
      </c>
      <c r="I79" s="20" t="str">
        <f>IF(H79="","",IF(OR(coder2_NY_MT!K79="", coder1_YH!Q78 = ""),0,1))</f>
        <v/>
      </c>
      <c r="J79" s="20" t="str">
        <f>IF(coder1_YH!R78="","",IF(coder1_YH!R78=coder2_NY_MT!L79,1,0))</f>
        <v/>
      </c>
      <c r="K79" s="20" t="str">
        <f>IF(coder1_YH!S78="","",IF(coder1_YH!S78=coder2_NY_MT!M79,1,0))</f>
        <v/>
      </c>
      <c r="L79" s="20" t="str">
        <f>IF(coder1_YH!T78="","",IF(coder1_YH!T78=coder2_NY_MT!N79,1,0))</f>
        <v/>
      </c>
      <c r="M79" s="20" t="str">
        <f>IF(coder1_YH!U78="","",IF(coder1_YH!U78=coder2_NY_MT!O79,1,0))</f>
        <v/>
      </c>
      <c r="N79" s="20" t="str">
        <f>IF(coder1_YH!V78="","",IF(coder1_YH!V78=coder2_NY_MT!P79,1,0))</f>
        <v/>
      </c>
      <c r="O79" s="20" t="str">
        <f>IF(coder1_YH!W78="","",IF(coder1_YH!W78=coder2_NY_MT!Q79,1,0))</f>
        <v/>
      </c>
      <c r="P79" s="20" t="str">
        <f>IF(coder1_YH!X78="","",IF(coder1_YH!X78=coder2_NY_MT!R79,1,0))</f>
        <v/>
      </c>
      <c r="Q79" s="20" t="str">
        <f>IF(coder1_YH!Y78="","",IF(coder1_YH!Y78=coder2_NY_MT!S79,1,0))</f>
        <v/>
      </c>
      <c r="R79" s="20" t="str">
        <f>IF(coder1_YH!Z78="","",IF(coder1_YH!Z78=coder2_NY_MT!T79,1,0))</f>
        <v/>
      </c>
      <c r="S79" s="20" t="str">
        <f>IF(R79="","",IF(OR(coder2_NY_MT!U79="", coder1_YH!AA78 = ""),0,1))</f>
        <v/>
      </c>
      <c r="T79" s="20" t="str">
        <f>IF(coder1_YH!AB78="","",IF(coder1_YH!AB78=coder2_NY_MT!V79,1,0))</f>
        <v/>
      </c>
      <c r="U79" s="20" t="str">
        <f>IF(coder1_YH!AC78="","",IF(coder1_YH!AC78=coder2_NY_MT!W79,1,0))</f>
        <v/>
      </c>
      <c r="V79" s="20" t="str">
        <f>IF(coder1_YH!AD78="","",IF(coder1_YH!AD78=coder2_NY_MT!X79,1,0))</f>
        <v/>
      </c>
      <c r="W79" s="20" t="str">
        <f>IF(coder1_YH!AE78="","",IF(coder1_YH!AE78=coder2_NY_MT!Y79,1,0))</f>
        <v/>
      </c>
      <c r="X79" s="20" t="str">
        <f>IF(coder1_YH!AF78="","",IF(coder1_YH!AF78=coder2_NY_MT!Z79,1,0))</f>
        <v/>
      </c>
      <c r="Y79" s="20" t="str">
        <f>IF(coder1_YH!AG78="","",IF(coder1_YH!AG78=coder2_NY_MT!AA79,1,0))</f>
        <v/>
      </c>
      <c r="Z79" s="20" t="str">
        <f>IF(coder1_YH!AH78="","",IF(coder1_YH!AH78=coder2_NY_MT!AB79,1,0))</f>
        <v/>
      </c>
      <c r="AA79" s="20" t="str">
        <f>IF(coder1_YH!AI78="","",IF(coder1_YH!AI78=coder2_NY_MT!AC79,1,0))</f>
        <v/>
      </c>
      <c r="AB79" s="20">
        <f>IF(OR(coder2_NY_MT!AD78="", coder1_YH!AJ78 = ""),0,1)</f>
        <v>1</v>
      </c>
      <c r="AC79" s="20">
        <f>IF(coder1_YH!AK78="","",IF(coder1_YH!AK78=coder2_NY_MT!AE79,1,0))</f>
        <v>1</v>
      </c>
      <c r="AD79" s="20">
        <f>IF(OR(coder2_NY_MT!AF78="", coder1_YH!AL78 = ""),0,1)</f>
        <v>0</v>
      </c>
      <c r="AF79" s="20">
        <f>IF(coder1_YH!AN78="","",IF(coder1_YH!AN78=coder2_NY_MT!AH79,1,0))</f>
        <v>1</v>
      </c>
      <c r="AG79" s="20">
        <f>IF(coder1_YH!AO78="","",IF(coder1_YH!AO78=coder2_NY_MT!AI79,1,0))</f>
        <v>1</v>
      </c>
      <c r="AH79" s="20">
        <f>IF(coder1_YH!AP78="","",IF(coder1_YH!AP78=coder2_NY_MT!AJ79,1,0))</f>
        <v>1</v>
      </c>
      <c r="AI79" s="20">
        <f>IF(coder1_YH!AQ78="","",IF(coder1_YH!AQ78=coder2_NY_MT!AK79,1,0))</f>
        <v>1</v>
      </c>
      <c r="AJ79" s="20">
        <f>IF(coder1_YH!AR78="","",IF(coder1_YH!AR78=coder2_NY_MT!AL79,1,0))</f>
        <v>1</v>
      </c>
      <c r="AK79" s="20">
        <f>IF(coder1_YH!AS78="","",IF(coder1_YH!AS78=coder2_NY_MT!AM79,1,0))</f>
        <v>1</v>
      </c>
      <c r="AL79" s="20" t="str">
        <f>IF(coder1_YH!AZ78="","",IF(coder1_YH!AZ78=coder2_NY_MT!AT79,1,0))</f>
        <v/>
      </c>
      <c r="AM79" s="20" t="e">
        <f>IF(coder1_YH!BA78="","",IF(coder1_YH!BA78=coder2_NY_MT!#REF!,1,0))</f>
        <v>#REF!</v>
      </c>
      <c r="AN79" s="2"/>
    </row>
    <row r="80" spans="1:40" s="20" customFormat="1" ht="17" hidden="1" customHeight="1" x14ac:dyDescent="0.2">
      <c r="A80" s="20" t="str">
        <f>IF(coder1_YH!G79="","",IF(coder1_YH!G79=coder2_NY_MT!A80,1,0))</f>
        <v/>
      </c>
      <c r="B80" s="20" t="str">
        <f>IF(coder1_YH!H79="","",IF(RIGHT(coder1_YH!H79,2)=RIGHT(coder2_NY_MT!B80,2),1,0))</f>
        <v/>
      </c>
      <c r="C80" s="20" t="str">
        <f>IF(coder1_YH!I79="","",IF(coder1_YH!I79=coder2_NY_MT!C80,1,0))</f>
        <v/>
      </c>
      <c r="E80" s="20" t="str">
        <f>IF(coder1_YH!K79="","",IF(coder1_YH!K79=coder2_NY_MT!E80,1,0))</f>
        <v/>
      </c>
      <c r="F80" s="20" t="str">
        <f>IF(coder1_YH!L79="","",IF(coder1_YH!L79=coder2_NY_MT!F80,1,0))</f>
        <v/>
      </c>
      <c r="G80" s="20" t="str">
        <f>IF(coder1_YH!M79="","",IF(coder1_YH!M79=coder2_NY_MT!G80,1,0))</f>
        <v/>
      </c>
      <c r="H80" s="20" t="str">
        <f>IF(coder1_YH!P79="","",IF(RIGHT(coder1_YH!P79,3)=RIGHT(coder2_NY_MT!J80,3),1,0))</f>
        <v/>
      </c>
      <c r="I80" s="20" t="str">
        <f>IF(H80="","",IF(OR(coder2_NY_MT!K80="", coder1_YH!Q79 = ""),0,1))</f>
        <v/>
      </c>
      <c r="J80" s="20" t="str">
        <f>IF(coder1_YH!R79="","",IF(coder1_YH!R79=coder2_NY_MT!L80,1,0))</f>
        <v/>
      </c>
      <c r="K80" s="20" t="str">
        <f>IF(coder1_YH!S79="","",IF(coder1_YH!S79=coder2_NY_MT!M80,1,0))</f>
        <v/>
      </c>
      <c r="L80" s="20" t="str">
        <f>IF(coder1_YH!T79="","",IF(coder1_YH!T79=coder2_NY_MT!N80,1,0))</f>
        <v/>
      </c>
      <c r="M80" s="20" t="str">
        <f>IF(coder1_YH!U79="","",IF(coder1_YH!U79=coder2_NY_MT!O80,1,0))</f>
        <v/>
      </c>
      <c r="N80" s="20" t="str">
        <f>IF(coder1_YH!V79="","",IF(coder1_YH!V79=coder2_NY_MT!P80,1,0))</f>
        <v/>
      </c>
      <c r="O80" s="20" t="str">
        <f>IF(coder1_YH!W79="","",IF(coder1_YH!W79=coder2_NY_MT!Q80,1,0))</f>
        <v/>
      </c>
      <c r="P80" s="20" t="str">
        <f>IF(coder1_YH!X79="","",IF(coder1_YH!X79=coder2_NY_MT!R80,1,0))</f>
        <v/>
      </c>
      <c r="Q80" s="20" t="str">
        <f>IF(coder1_YH!Y79="","",IF(coder1_YH!Y79=coder2_NY_MT!S80,1,0))</f>
        <v/>
      </c>
      <c r="R80" s="20" t="str">
        <f>IF(coder1_YH!Z79="","",IF(coder1_YH!Z79=coder2_NY_MT!T80,1,0))</f>
        <v/>
      </c>
      <c r="S80" s="20" t="str">
        <f>IF(R80="","",IF(OR(coder2_NY_MT!U80="", coder1_YH!AA79 = ""),0,1))</f>
        <v/>
      </c>
      <c r="T80" s="20" t="str">
        <f>IF(coder1_YH!AB79="","",IF(coder1_YH!AB79=coder2_NY_MT!V80,1,0))</f>
        <v/>
      </c>
      <c r="U80" s="20" t="str">
        <f>IF(coder1_YH!AC79="","",IF(coder1_YH!AC79=coder2_NY_MT!W80,1,0))</f>
        <v/>
      </c>
      <c r="V80" s="20" t="str">
        <f>IF(coder1_YH!AD79="","",IF(coder1_YH!AD79=coder2_NY_MT!X80,1,0))</f>
        <v/>
      </c>
      <c r="W80" s="20" t="str">
        <f>IF(coder1_YH!AE79="","",IF(coder1_YH!AE79=coder2_NY_MT!Y80,1,0))</f>
        <v/>
      </c>
      <c r="X80" s="20" t="str">
        <f>IF(coder1_YH!AF79="","",IF(coder1_YH!AF79=coder2_NY_MT!Z80,1,0))</f>
        <v/>
      </c>
      <c r="Y80" s="20" t="str">
        <f>IF(coder1_YH!AG79="","",IF(coder1_YH!AG79=coder2_NY_MT!AA80,1,0))</f>
        <v/>
      </c>
      <c r="Z80" s="20" t="str">
        <f>IF(coder1_YH!AH79="","",IF(coder1_YH!AH79=coder2_NY_MT!AB80,1,0))</f>
        <v/>
      </c>
      <c r="AA80" s="20" t="str">
        <f>IF(coder1_YH!AI79="","",IF(coder1_YH!AI79=coder2_NY_MT!AC80,1,0))</f>
        <v/>
      </c>
      <c r="AB80" s="20">
        <f>IF(OR(coder2_NY_MT!AD79="", coder1_YH!AJ79 = ""),0,1)</f>
        <v>1</v>
      </c>
      <c r="AC80" s="20">
        <f>IF(coder1_YH!AK79="","",IF(coder1_YH!AK79=coder2_NY_MT!AE80,1,0))</f>
        <v>1</v>
      </c>
      <c r="AD80" s="20">
        <f>IF(OR(coder2_NY_MT!AF79="", coder1_YH!AL79 = ""),0,1)</f>
        <v>0</v>
      </c>
      <c r="AF80" s="20">
        <f>IF(coder1_YH!AN79="","",IF(coder1_YH!AN79=coder2_NY_MT!AH80,1,0))</f>
        <v>1</v>
      </c>
      <c r="AG80" s="20">
        <f>IF(coder1_YH!AO79="","",IF(coder1_YH!AO79=coder2_NY_MT!AI80,1,0))</f>
        <v>1</v>
      </c>
      <c r="AH80" s="20">
        <f>IF(coder1_YH!AP79="","",IF(coder1_YH!AP79=coder2_NY_MT!AJ80,1,0))</f>
        <v>1</v>
      </c>
      <c r="AI80" s="20">
        <f>IF(coder1_YH!AQ79="","",IF(coder1_YH!AQ79=coder2_NY_MT!AK80,1,0))</f>
        <v>1</v>
      </c>
      <c r="AJ80" s="20">
        <f>IF(coder1_YH!AR79="","",IF(coder1_YH!AR79=coder2_NY_MT!AL80,1,0))</f>
        <v>1</v>
      </c>
      <c r="AK80" s="20">
        <f>IF(coder1_YH!AS79="","",IF(coder1_YH!AS79=coder2_NY_MT!AM80,1,0))</f>
        <v>1</v>
      </c>
      <c r="AL80" s="20" t="str">
        <f>IF(coder1_YH!AZ79="","",IF(coder1_YH!AZ79=coder2_NY_MT!AT80,1,0))</f>
        <v/>
      </c>
      <c r="AM80" s="20" t="e">
        <f>IF(coder1_YH!BA79="","",IF(coder1_YH!BA79=coder2_NY_MT!#REF!,1,0))</f>
        <v>#REF!</v>
      </c>
      <c r="AN80" s="2"/>
    </row>
    <row r="81" spans="1:40" s="20" customFormat="1" ht="17" hidden="1" customHeight="1" x14ac:dyDescent="0.2">
      <c r="A81" s="20">
        <f>IF(coder1_YH!G80="","",IF(coder1_YH!G80=coder2_NY_MT!A81,1,0))</f>
        <v>0</v>
      </c>
      <c r="B81" s="20">
        <f>IF(coder1_YH!H80="","",IF(RIGHT(coder1_YH!H80,2)=RIGHT(coder2_NY_MT!B81,2),1,0))</f>
        <v>1</v>
      </c>
      <c r="C81" s="20">
        <f>IF(coder1_YH!I80="","",IF(coder1_YH!I80=coder2_NY_MT!C81,1,0))</f>
        <v>1</v>
      </c>
      <c r="E81" s="20">
        <f>IF(coder1_YH!K80="","",IF(coder1_YH!K80=coder2_NY_MT!E81,1,0))</f>
        <v>1</v>
      </c>
      <c r="F81" s="20">
        <f>IF(coder1_YH!L80="","",IF(coder1_YH!L80=coder2_NY_MT!F81,1,0))</f>
        <v>1</v>
      </c>
      <c r="G81" s="20">
        <f>IF(coder1_YH!M80="","",IF(coder1_YH!M80=coder2_NY_MT!G81,1,0))</f>
        <v>1</v>
      </c>
      <c r="H81" s="20">
        <f>IF(coder1_YH!P80="","",IF(RIGHT(coder1_YH!P80,3)=RIGHT(coder2_NY_MT!J81,3),1,0))</f>
        <v>0</v>
      </c>
      <c r="I81" s="20">
        <f>IF(H81="","",IF(OR(coder2_NY_MT!K81="", coder1_YH!Q80 = ""),0,1))</f>
        <v>1</v>
      </c>
      <c r="J81" s="20">
        <f>IF(coder1_YH!R80="","",IF(coder1_YH!R80=coder2_NY_MT!L81,1,0))</f>
        <v>1</v>
      </c>
      <c r="K81" s="20">
        <f>IF(coder1_YH!S80="","",IF(coder1_YH!S80=coder2_NY_MT!M81,1,0))</f>
        <v>1</v>
      </c>
      <c r="L81" s="20">
        <f>IF(coder1_YH!T80="","",IF(coder1_YH!T80=coder2_NY_MT!N81,1,0))</f>
        <v>0</v>
      </c>
      <c r="M81" s="20">
        <f>IF(coder1_YH!U80="","",IF(coder1_YH!U80=coder2_NY_MT!O81,1,0))</f>
        <v>1</v>
      </c>
      <c r="N81" s="101">
        <v>1</v>
      </c>
      <c r="O81" s="20">
        <f>IF(coder1_YH!W80="","",IF(coder1_YH!W80=coder2_NY_MT!Q81,1,0))</f>
        <v>1</v>
      </c>
      <c r="P81" s="101">
        <v>1</v>
      </c>
      <c r="Q81" s="20">
        <f>IF(coder1_YH!Y80="","",IF(coder1_YH!Y80=coder2_NY_MT!S81,1,0))</f>
        <v>0</v>
      </c>
      <c r="R81" s="20">
        <f>IF(coder1_YH!Z80="","",IF(coder1_YH!Z80=coder2_NY_MT!T81,1,0))</f>
        <v>1</v>
      </c>
      <c r="S81" s="20">
        <f>IF(R81="","",IF(OR(coder2_NY_MT!U81="", coder1_YH!AA80 = ""),0,1))</f>
        <v>1</v>
      </c>
      <c r="T81" s="20">
        <f>IF(coder1_YH!AB80="","",IF(coder1_YH!AB80=coder2_NY_MT!V81,1,0))</f>
        <v>1</v>
      </c>
      <c r="U81" s="20">
        <f>IF(coder1_YH!AC80="","",IF(coder1_YH!AC80=coder2_NY_MT!W81,1,0))</f>
        <v>1</v>
      </c>
      <c r="V81" s="20">
        <f>IF(coder1_YH!AD80="","",IF(coder1_YH!AD80=coder2_NY_MT!X81,1,0))</f>
        <v>1</v>
      </c>
      <c r="W81" s="20">
        <f>IF(coder1_YH!AE80="","",IF(coder1_YH!AE80=coder2_NY_MT!Y81,1,0))</f>
        <v>1</v>
      </c>
      <c r="X81" s="20">
        <f>IF(coder1_YH!AF80="","",IF(coder1_YH!AF80=coder2_NY_MT!Z81,1,0))</f>
        <v>1</v>
      </c>
      <c r="Y81" s="20">
        <f>IF(coder1_YH!AG80="","",IF(coder1_YH!AG80=coder2_NY_MT!AA81,1,0))</f>
        <v>1</v>
      </c>
      <c r="Z81" s="20">
        <f>IF(coder1_YH!AH80="","",IF(coder1_YH!AH80=coder2_NY_MT!AB81,1,0))</f>
        <v>1</v>
      </c>
      <c r="AA81" s="20">
        <f>IF(coder1_YH!AI80="","",IF(coder1_YH!AI80=coder2_NY_MT!AC81,1,0))</f>
        <v>1</v>
      </c>
      <c r="AB81" s="20">
        <f>IF(OR(coder2_NY_MT!AD80="", coder1_YH!AJ80 = ""),0,1)</f>
        <v>1</v>
      </c>
      <c r="AC81" s="20">
        <f>IF(coder1_YH!AK80="","",IF(coder1_YH!AK80=coder2_NY_MT!AE81,1,0))</f>
        <v>1</v>
      </c>
      <c r="AD81" s="20">
        <f>IF(OR(coder2_NY_MT!AF80="", coder1_YH!AL80 = ""),0,1)</f>
        <v>0</v>
      </c>
      <c r="AF81" s="20">
        <f>IF(coder1_YH!AN80="","",IF(coder1_YH!AN80=coder2_NY_MT!AH81,1,0))</f>
        <v>1</v>
      </c>
      <c r="AG81" s="20">
        <f>IF(coder1_YH!AO80="","",IF(coder1_YH!AO80=coder2_NY_MT!AI81,1,0))</f>
        <v>1</v>
      </c>
      <c r="AH81" s="20">
        <f>IF(coder1_YH!AP80="","",IF(coder1_YH!AP80=coder2_NY_MT!AJ81,1,0))</f>
        <v>1</v>
      </c>
      <c r="AI81" s="20">
        <f>IF(coder1_YH!AQ80="","",IF(coder1_YH!AQ80=coder2_NY_MT!AK81,1,0))</f>
        <v>1</v>
      </c>
      <c r="AJ81" s="20">
        <f>IF(coder1_YH!AR80="","",IF(coder1_YH!AR80=coder2_NY_MT!AL81,1,0))</f>
        <v>1</v>
      </c>
      <c r="AK81" s="20">
        <f>IF(coder1_YH!AS80="","",IF(coder1_YH!AS80=coder2_NY_MT!AM81,1,0))</f>
        <v>1</v>
      </c>
      <c r="AL81" s="20" t="str">
        <f>IF(coder1_YH!AZ80="","",IF(coder1_YH!AZ80=coder2_NY_MT!AT81,1,0))</f>
        <v/>
      </c>
      <c r="AM81" s="20" t="e">
        <f>IF(coder1_YH!BA80="","",IF(coder1_YH!BA80=coder2_NY_MT!#REF!,1,0))</f>
        <v>#REF!</v>
      </c>
      <c r="AN81" s="2"/>
    </row>
    <row r="82" spans="1:40" s="20" customFormat="1" ht="17" hidden="1" customHeight="1" x14ac:dyDescent="0.2">
      <c r="A82" s="20" t="str">
        <f>IF(coder1_YH!G81="","",IF(coder1_YH!G81=coder2_NY_MT!A82,1,0))</f>
        <v/>
      </c>
      <c r="B82" s="20" t="str">
        <f>IF(coder1_YH!H81="","",IF(RIGHT(coder1_YH!H81,2)=RIGHT(coder2_NY_MT!B82,2),1,0))</f>
        <v/>
      </c>
      <c r="C82" s="20" t="str">
        <f>IF(coder1_YH!I81="","",IF(coder1_YH!I81=coder2_NY_MT!C82,1,0))</f>
        <v/>
      </c>
      <c r="E82" s="20" t="str">
        <f>IF(coder1_YH!K81="","",IF(coder1_YH!K81=coder2_NY_MT!E82,1,0))</f>
        <v/>
      </c>
      <c r="F82" s="20" t="str">
        <f>IF(coder1_YH!L81="","",IF(coder1_YH!L81=coder2_NY_MT!F82,1,0))</f>
        <v/>
      </c>
      <c r="G82" s="20" t="str">
        <f>IF(coder1_YH!M81="","",IF(coder1_YH!M81=coder2_NY_MT!G82,1,0))</f>
        <v/>
      </c>
      <c r="H82" s="20" t="str">
        <f>IF(coder1_YH!P81="","",IF(RIGHT(coder1_YH!P81,3)=RIGHT(coder2_NY_MT!J82,3),1,0))</f>
        <v/>
      </c>
      <c r="I82" s="20" t="str">
        <f>IF(H82="","",IF(OR(coder2_NY_MT!K82="", coder1_YH!Q81 = ""),0,1))</f>
        <v/>
      </c>
      <c r="J82" s="20" t="str">
        <f>IF(coder1_YH!R81="","",IF(coder1_YH!R81=coder2_NY_MT!L82,1,0))</f>
        <v/>
      </c>
      <c r="K82" s="20" t="str">
        <f>IF(coder1_YH!S81="","",IF(coder1_YH!S81=coder2_NY_MT!M82,1,0))</f>
        <v/>
      </c>
      <c r="L82" s="20" t="str">
        <f>IF(coder1_YH!T81="","",IF(coder1_YH!T81=coder2_NY_MT!N82,1,0))</f>
        <v/>
      </c>
      <c r="M82" s="20" t="str">
        <f>IF(coder1_YH!U81="","",IF(coder1_YH!U81=coder2_NY_MT!O82,1,0))</f>
        <v/>
      </c>
      <c r="N82" s="20" t="str">
        <f>IF(coder1_YH!V81="","",IF(coder1_YH!V81=coder2_NY_MT!P82,1,0))</f>
        <v/>
      </c>
      <c r="O82" s="20" t="str">
        <f>IF(coder1_YH!W81="","",IF(coder1_YH!W81=coder2_NY_MT!Q82,1,0))</f>
        <v/>
      </c>
      <c r="P82" s="20" t="str">
        <f>IF(coder1_YH!X81="","",IF(coder1_YH!X81=coder2_NY_MT!R82,1,0))</f>
        <v/>
      </c>
      <c r="Q82" s="20" t="str">
        <f>IF(coder1_YH!Y81="","",IF(coder1_YH!Y81=coder2_NY_MT!S82,1,0))</f>
        <v/>
      </c>
      <c r="R82" s="20" t="str">
        <f>IF(coder1_YH!Z81="","",IF(coder1_YH!Z81=coder2_NY_MT!T82,1,0))</f>
        <v/>
      </c>
      <c r="S82" s="20" t="str">
        <f>IF(R82="","",IF(OR(coder2_NY_MT!U82="", coder1_YH!AA81 = ""),0,1))</f>
        <v/>
      </c>
      <c r="T82" s="20" t="str">
        <f>IF(coder1_YH!AB81="","",IF(coder1_YH!AB81=coder2_NY_MT!V82,1,0))</f>
        <v/>
      </c>
      <c r="U82" s="20" t="str">
        <f>IF(coder1_YH!AC81="","",IF(coder1_YH!AC81=coder2_NY_MT!W82,1,0))</f>
        <v/>
      </c>
      <c r="V82" s="20" t="str">
        <f>IF(coder1_YH!AD81="","",IF(coder1_YH!AD81=coder2_NY_MT!X82,1,0))</f>
        <v/>
      </c>
      <c r="W82" s="20" t="str">
        <f>IF(coder1_YH!AE81="","",IF(coder1_YH!AE81=coder2_NY_MT!Y82,1,0))</f>
        <v/>
      </c>
      <c r="X82" s="20" t="str">
        <f>IF(coder1_YH!AF81="","",IF(coder1_YH!AF81=coder2_NY_MT!Z82,1,0))</f>
        <v/>
      </c>
      <c r="Y82" s="20" t="str">
        <f>IF(coder1_YH!AG81="","",IF(coder1_YH!AG81=coder2_NY_MT!AA82,1,0))</f>
        <v/>
      </c>
      <c r="Z82" s="20" t="str">
        <f>IF(coder1_YH!AH81="","",IF(coder1_YH!AH81=coder2_NY_MT!AB82,1,0))</f>
        <v/>
      </c>
      <c r="AA82" s="20" t="str">
        <f>IF(coder1_YH!AI81="","",IF(coder1_YH!AI81=coder2_NY_MT!AC82,1,0))</f>
        <v/>
      </c>
      <c r="AB82" s="20">
        <f>IF(OR(coder2_NY_MT!AD81="", coder1_YH!AJ81 = ""),0,1)</f>
        <v>1</v>
      </c>
      <c r="AC82" s="20">
        <f>IF(coder1_YH!AK81="","",IF(coder1_YH!AK81=coder2_NY_MT!AE82,1,0))</f>
        <v>1</v>
      </c>
      <c r="AD82" s="20">
        <f>IF(OR(coder2_NY_MT!AF81="", coder1_YH!AL81 = ""),0,1)</f>
        <v>1</v>
      </c>
      <c r="AF82" s="20">
        <f>IF(coder1_YH!AN81="","",IF(coder1_YH!AN81=coder2_NY_MT!AH82,1,0))</f>
        <v>1</v>
      </c>
      <c r="AG82" s="20">
        <f>IF(coder1_YH!AO81="","",IF(coder1_YH!AO81=coder2_NY_MT!AI82,1,0))</f>
        <v>1</v>
      </c>
      <c r="AH82" s="20">
        <f>IF(coder1_YH!AP81="","",IF(coder1_YH!AP81=coder2_NY_MT!AJ82,1,0))</f>
        <v>1</v>
      </c>
      <c r="AI82" s="20">
        <f>IF(coder1_YH!AQ81="","",IF(coder1_YH!AQ81=coder2_NY_MT!AK82,1,0))</f>
        <v>1</v>
      </c>
      <c r="AJ82" s="20">
        <f>IF(coder1_YH!AR81="","",IF(coder1_YH!AR81=coder2_NY_MT!AL82,1,0))</f>
        <v>1</v>
      </c>
      <c r="AK82" s="20">
        <f>IF(coder1_YH!AS81="","",IF(coder1_YH!AS81=coder2_NY_MT!AM82,1,0))</f>
        <v>1</v>
      </c>
      <c r="AL82" s="20" t="str">
        <f>IF(coder1_YH!AZ81="","",IF(coder1_YH!AZ81=coder2_NY_MT!AT82,1,0))</f>
        <v/>
      </c>
      <c r="AM82" s="20" t="e">
        <f>IF(coder1_YH!BA81="","",IF(coder1_YH!BA81=coder2_NY_MT!#REF!,1,0))</f>
        <v>#REF!</v>
      </c>
      <c r="AN82" s="2"/>
    </row>
    <row r="83" spans="1:40" s="20" customFormat="1" ht="17" hidden="1" customHeight="1" x14ac:dyDescent="0.2">
      <c r="A83" s="20" t="str">
        <f>IF(coder1_YH!G82="","",IF(coder1_YH!G82=coder2_NY_MT!A83,1,0))</f>
        <v/>
      </c>
      <c r="B83" s="20" t="str">
        <f>IF(coder1_YH!H82="","",IF(RIGHT(coder1_YH!H82,2)=RIGHT(coder2_NY_MT!B83,2),1,0))</f>
        <v/>
      </c>
      <c r="C83" s="20" t="str">
        <f>IF(coder1_YH!I82="","",IF(coder1_YH!I82=coder2_NY_MT!C83,1,0))</f>
        <v/>
      </c>
      <c r="E83" s="20" t="str">
        <f>IF(coder1_YH!K82="","",IF(coder1_YH!K82=coder2_NY_MT!E83,1,0))</f>
        <v/>
      </c>
      <c r="F83" s="20" t="str">
        <f>IF(coder1_YH!L82="","",IF(coder1_YH!L82=coder2_NY_MT!F83,1,0))</f>
        <v/>
      </c>
      <c r="G83" s="20" t="str">
        <f>IF(coder1_YH!M82="","",IF(coder1_YH!M82=coder2_NY_MT!G83,1,0))</f>
        <v/>
      </c>
      <c r="H83" s="20">
        <f>IF(coder1_YH!P82="","",IF(RIGHT(coder1_YH!P82,3)=RIGHT(coder2_NY_MT!J83,3),1,0))</f>
        <v>0</v>
      </c>
      <c r="I83" s="20">
        <f>IF(H83="","",IF(OR(coder2_NY_MT!K83="", coder1_YH!Q82 = ""),0,1))</f>
        <v>1</v>
      </c>
      <c r="J83" s="20">
        <f>IF(coder1_YH!R82="","",IF(coder1_YH!R82=coder2_NY_MT!L83,1,0))</f>
        <v>1</v>
      </c>
      <c r="K83" s="20">
        <f>IF(coder1_YH!S82="","",IF(coder1_YH!S82=coder2_NY_MT!M83,1,0))</f>
        <v>1</v>
      </c>
      <c r="L83" s="20">
        <f>IF(coder1_YH!T82="","",IF(coder1_YH!T82=coder2_NY_MT!N83,1,0))</f>
        <v>0</v>
      </c>
      <c r="M83" s="20">
        <f>IF(coder1_YH!U82="","",IF(coder1_YH!U82=coder2_NY_MT!O83,1,0))</f>
        <v>1</v>
      </c>
      <c r="N83" s="101">
        <v>1</v>
      </c>
      <c r="O83" s="20">
        <f>IF(coder1_YH!W82="","",IF(coder1_YH!W82=coder2_NY_MT!Q83,1,0))</f>
        <v>1</v>
      </c>
      <c r="P83" s="101">
        <v>1</v>
      </c>
      <c r="Q83" s="20">
        <f>IF(coder1_YH!Y82="","",IF(coder1_YH!Y82=coder2_NY_MT!S83,1,0))</f>
        <v>0</v>
      </c>
      <c r="R83" s="20">
        <f>IF(coder1_YH!Z82="","",IF(coder1_YH!Z82=coder2_NY_MT!T83,1,0))</f>
        <v>1</v>
      </c>
      <c r="S83" s="20">
        <f>IF(R83="","",IF(OR(coder2_NY_MT!U83="", coder1_YH!AA82 = ""),0,1))</f>
        <v>1</v>
      </c>
      <c r="T83" s="20">
        <f>IF(coder1_YH!AB82="","",IF(coder1_YH!AB82=coder2_NY_MT!V83,1,0))</f>
        <v>1</v>
      </c>
      <c r="U83" s="20">
        <f>IF(coder1_YH!AC82="","",IF(coder1_YH!AC82=coder2_NY_MT!W83,1,0))</f>
        <v>1</v>
      </c>
      <c r="V83" s="20">
        <f>IF(coder1_YH!AD82="","",IF(coder1_YH!AD82=coder2_NY_MT!X83,1,0))</f>
        <v>1</v>
      </c>
      <c r="W83" s="20">
        <f>IF(coder1_YH!AE82="","",IF(coder1_YH!AE82=coder2_NY_MT!Y83,1,0))</f>
        <v>1</v>
      </c>
      <c r="X83" s="20">
        <f>IF(coder1_YH!AF82="","",IF(coder1_YH!AF82=coder2_NY_MT!Z83,1,0))</f>
        <v>1</v>
      </c>
      <c r="Y83" s="20">
        <f>IF(coder1_YH!AG82="","",IF(coder1_YH!AG82=coder2_NY_MT!AA83,1,0))</f>
        <v>1</v>
      </c>
      <c r="Z83" s="20">
        <f>IF(coder1_YH!AH82="","",IF(coder1_YH!AH82=coder2_NY_MT!AB83,1,0))</f>
        <v>1</v>
      </c>
      <c r="AA83" s="20">
        <f>IF(coder1_YH!AI82="","",IF(coder1_YH!AI82=coder2_NY_MT!AC83,1,0))</f>
        <v>1</v>
      </c>
      <c r="AB83" s="20">
        <f>IF(OR(coder2_NY_MT!AD82="", coder1_YH!AJ82 = ""),0,1)</f>
        <v>1</v>
      </c>
      <c r="AC83" s="20">
        <f>IF(coder1_YH!AK82="","",IF(coder1_YH!AK82=coder2_NY_MT!AE83,1,0))</f>
        <v>1</v>
      </c>
      <c r="AD83" s="20">
        <f>IF(OR(coder2_NY_MT!AF82="", coder1_YH!AL82 = ""),0,1)</f>
        <v>1</v>
      </c>
      <c r="AF83" s="20">
        <f>IF(coder1_YH!AN82="","",IF(coder1_YH!AN82=coder2_NY_MT!AH83,1,0))</f>
        <v>1</v>
      </c>
      <c r="AG83" s="20">
        <f>IF(coder1_YH!AO82="","",IF(coder1_YH!AO82=coder2_NY_MT!AI83,1,0))</f>
        <v>1</v>
      </c>
      <c r="AH83" s="20">
        <f>IF(coder1_YH!AP82="","",IF(coder1_YH!AP82=coder2_NY_MT!AJ83,1,0))</f>
        <v>1</v>
      </c>
      <c r="AI83" s="20">
        <f>IF(coder1_YH!AQ82="","",IF(coder1_YH!AQ82=coder2_NY_MT!AK83,1,0))</f>
        <v>1</v>
      </c>
      <c r="AJ83" s="20">
        <f>IF(coder1_YH!AR82="","",IF(coder1_YH!AR82=coder2_NY_MT!AL83,1,0))</f>
        <v>1</v>
      </c>
      <c r="AK83" s="20">
        <f>IF(coder1_YH!AS82="","",IF(coder1_YH!AS82=coder2_NY_MT!AM83,1,0))</f>
        <v>1</v>
      </c>
      <c r="AL83" s="20" t="str">
        <f>IF(coder1_YH!AZ82="","",IF(coder1_YH!AZ82=coder2_NY_MT!AT83,1,0))</f>
        <v/>
      </c>
      <c r="AM83" s="20" t="e">
        <f>IF(coder1_YH!BA82="","",IF(coder1_YH!BA82=coder2_NY_MT!#REF!,1,0))</f>
        <v>#REF!</v>
      </c>
      <c r="AN83" s="2"/>
    </row>
    <row r="84" spans="1:40" s="20" customFormat="1" ht="17" hidden="1" customHeight="1" x14ac:dyDescent="0.2">
      <c r="A84" s="20" t="str">
        <f>IF(coder1_YH!G83="","",IF(coder1_YH!G83=coder2_NY_MT!A84,1,0))</f>
        <v/>
      </c>
      <c r="B84" s="20" t="str">
        <f>IF(coder1_YH!H83="","",IF(RIGHT(coder1_YH!H83,2)=RIGHT(coder2_NY_MT!B84,2),1,0))</f>
        <v/>
      </c>
      <c r="C84" s="20" t="str">
        <f>IF(coder1_YH!I83="","",IF(coder1_YH!I83=coder2_NY_MT!C84,1,0))</f>
        <v/>
      </c>
      <c r="E84" s="20" t="str">
        <f>IF(coder1_YH!K83="","",IF(coder1_YH!K83=coder2_NY_MT!E84,1,0))</f>
        <v/>
      </c>
      <c r="F84" s="20" t="str">
        <f>IF(coder1_YH!L83="","",IF(coder1_YH!L83=coder2_NY_MT!F84,1,0))</f>
        <v/>
      </c>
      <c r="G84" s="20" t="str">
        <f>IF(coder1_YH!M83="","",IF(coder1_YH!M83=coder2_NY_MT!G84,1,0))</f>
        <v/>
      </c>
      <c r="H84" s="20" t="str">
        <f>IF(coder1_YH!P83="","",IF(RIGHT(coder1_YH!P83,3)=RIGHT(coder2_NY_MT!J84,3),1,0))</f>
        <v/>
      </c>
      <c r="I84" s="20" t="str">
        <f>IF(H84="","",IF(OR(coder2_NY_MT!K84="", coder1_YH!Q83 = ""),0,1))</f>
        <v/>
      </c>
      <c r="J84" s="20" t="str">
        <f>IF(coder1_YH!R83="","",IF(coder1_YH!R83=coder2_NY_MT!L84,1,0))</f>
        <v/>
      </c>
      <c r="K84" s="20" t="str">
        <f>IF(coder1_YH!S83="","",IF(coder1_YH!S83=coder2_NY_MT!M84,1,0))</f>
        <v/>
      </c>
      <c r="L84" s="20" t="str">
        <f>IF(coder1_YH!T83="","",IF(coder1_YH!T83=coder2_NY_MT!N84,1,0))</f>
        <v/>
      </c>
      <c r="M84" s="20" t="str">
        <f>IF(coder1_YH!U83="","",IF(coder1_YH!U83=coder2_NY_MT!O84,1,0))</f>
        <v/>
      </c>
      <c r="N84" s="20" t="str">
        <f>IF(coder1_YH!V83="","",IF(coder1_YH!V83=coder2_NY_MT!P84,1,0))</f>
        <v/>
      </c>
      <c r="O84" s="20" t="str">
        <f>IF(coder1_YH!W83="","",IF(coder1_YH!W83=coder2_NY_MT!Q84,1,0))</f>
        <v/>
      </c>
      <c r="P84" s="20" t="str">
        <f>IF(coder1_YH!X83="","",IF(coder1_YH!X83=coder2_NY_MT!R84,1,0))</f>
        <v/>
      </c>
      <c r="Q84" s="20" t="str">
        <f>IF(coder1_YH!Y83="","",IF(coder1_YH!Y83=coder2_NY_MT!S84,1,0))</f>
        <v/>
      </c>
      <c r="R84" s="20" t="str">
        <f>IF(coder1_YH!Z83="","",IF(coder1_YH!Z83=coder2_NY_MT!T84,1,0))</f>
        <v/>
      </c>
      <c r="S84" s="20" t="str">
        <f>IF(R84="","",IF(OR(coder2_NY_MT!U84="", coder1_YH!AA83 = ""),0,1))</f>
        <v/>
      </c>
      <c r="T84" s="20" t="str">
        <f>IF(coder1_YH!AB83="","",IF(coder1_YH!AB83=coder2_NY_MT!V84,1,0))</f>
        <v/>
      </c>
      <c r="U84" s="20" t="str">
        <f>IF(coder1_YH!AC83="","",IF(coder1_YH!AC83=coder2_NY_MT!W84,1,0))</f>
        <v/>
      </c>
      <c r="V84" s="20" t="str">
        <f>IF(coder1_YH!AD83="","",IF(coder1_YH!AD83=coder2_NY_MT!X84,1,0))</f>
        <v/>
      </c>
      <c r="W84" s="20" t="str">
        <f>IF(coder1_YH!AE83="","",IF(coder1_YH!AE83=coder2_NY_MT!Y84,1,0))</f>
        <v/>
      </c>
      <c r="X84" s="20" t="str">
        <f>IF(coder1_YH!AF83="","",IF(coder1_YH!AF83=coder2_NY_MT!Z84,1,0))</f>
        <v/>
      </c>
      <c r="Y84" s="20" t="str">
        <f>IF(coder1_YH!AG83="","",IF(coder1_YH!AG83=coder2_NY_MT!AA84,1,0))</f>
        <v/>
      </c>
      <c r="Z84" s="20" t="str">
        <f>IF(coder1_YH!AH83="","",IF(coder1_YH!AH83=coder2_NY_MT!AB84,1,0))</f>
        <v/>
      </c>
      <c r="AA84" s="20" t="str">
        <f>IF(coder1_YH!AI83="","",IF(coder1_YH!AI83=coder2_NY_MT!AC84,1,0))</f>
        <v/>
      </c>
      <c r="AB84" s="20">
        <f>IF(OR(coder2_NY_MT!AD83="", coder1_YH!AJ83 = ""),0,1)</f>
        <v>1</v>
      </c>
      <c r="AC84" s="20">
        <f>IF(coder1_YH!AK83="","",IF(coder1_YH!AK83=coder2_NY_MT!AE84,1,0))</f>
        <v>1</v>
      </c>
      <c r="AD84" s="20">
        <f>IF(OR(coder2_NY_MT!AF83="", coder1_YH!AL83 = ""),0,1)</f>
        <v>0</v>
      </c>
      <c r="AF84" s="20">
        <f>IF(coder1_YH!AN83="","",IF(coder1_YH!AN83=coder2_NY_MT!AH84,1,0))</f>
        <v>1</v>
      </c>
      <c r="AG84" s="20">
        <f>IF(coder1_YH!AO83="","",IF(coder1_YH!AO83=coder2_NY_MT!AI84,1,0))</f>
        <v>1</v>
      </c>
      <c r="AH84" s="20">
        <f>IF(coder1_YH!AP83="","",IF(coder1_YH!AP83=coder2_NY_MT!AJ84,1,0))</f>
        <v>1</v>
      </c>
      <c r="AI84" s="20">
        <f>IF(coder1_YH!AQ83="","",IF(coder1_YH!AQ83=coder2_NY_MT!AK84,1,0))</f>
        <v>1</v>
      </c>
      <c r="AJ84" s="20">
        <f>IF(coder1_YH!AR83="","",IF(coder1_YH!AR83=coder2_NY_MT!AL84,1,0))</f>
        <v>1</v>
      </c>
      <c r="AK84" s="20">
        <f>IF(coder1_YH!AS83="","",IF(coder1_YH!AS83=coder2_NY_MT!AM84,1,0))</f>
        <v>1</v>
      </c>
      <c r="AL84" s="20" t="str">
        <f>IF(coder1_YH!AZ83="","",IF(coder1_YH!AZ83=coder2_NY_MT!AT84,1,0))</f>
        <v/>
      </c>
      <c r="AM84" s="20" t="e">
        <f>IF(coder1_YH!BA83="","",IF(coder1_YH!BA83=coder2_NY_MT!#REF!,1,0))</f>
        <v>#REF!</v>
      </c>
      <c r="AN84" s="2"/>
    </row>
    <row r="85" spans="1:40" s="20" customFormat="1" ht="17" hidden="1" customHeight="1" x14ac:dyDescent="0.2">
      <c r="A85" s="20">
        <f>IF(coder1_YH!G84="","",IF(coder1_YH!G84=coder2_NY_MT!A85,1,0))</f>
        <v>0</v>
      </c>
      <c r="B85" s="20">
        <f>IF(coder1_YH!H84="","",IF(RIGHT(coder1_YH!H84,2)=RIGHT(coder2_NY_MT!B85,2),1,0))</f>
        <v>1</v>
      </c>
      <c r="C85" s="20">
        <f>IF(coder1_YH!I84="","",IF(coder1_YH!I84=coder2_NY_MT!C85,1,0))</f>
        <v>1</v>
      </c>
      <c r="E85" s="20">
        <f>IF(coder1_YH!K84="","",IF(coder1_YH!K84=coder2_NY_MT!E85,1,0))</f>
        <v>1</v>
      </c>
      <c r="F85" s="20">
        <f>IF(coder1_YH!L84="","",IF(coder1_YH!L84=coder2_NY_MT!F85,1,0))</f>
        <v>1</v>
      </c>
      <c r="G85" s="20">
        <f>IF(coder1_YH!M84="","",IF(coder1_YH!M84=coder2_NY_MT!G85,1,0))</f>
        <v>1</v>
      </c>
      <c r="H85" s="20">
        <f>IF(coder1_YH!P84="","",IF(RIGHT(coder1_YH!P84,3)=RIGHT(coder2_NY_MT!J85,3),1,0))</f>
        <v>0</v>
      </c>
      <c r="I85" s="20">
        <f>IF(H85="","",IF(OR(coder2_NY_MT!K85="", coder1_YH!Q84 = ""),0,1))</f>
        <v>1</v>
      </c>
      <c r="J85" s="20">
        <f>IF(coder1_YH!R84="","",IF(coder1_YH!R84=coder2_NY_MT!L85,1,0))</f>
        <v>1</v>
      </c>
      <c r="K85" s="20">
        <f>IF(coder1_YH!S84="","",IF(coder1_YH!S84=coder2_NY_MT!M85,1,0))</f>
        <v>1</v>
      </c>
      <c r="L85" s="20">
        <f>IF(coder1_YH!T84="","",IF(coder1_YH!T84=coder2_NY_MT!N85,1,0))</f>
        <v>0</v>
      </c>
      <c r="M85" s="101">
        <v>1</v>
      </c>
      <c r="N85" s="20">
        <f>IF(coder1_YH!V84="","",IF(coder1_YH!V84=coder2_NY_MT!P85,1,0))</f>
        <v>1</v>
      </c>
      <c r="O85" s="101">
        <v>1</v>
      </c>
      <c r="P85" s="101">
        <v>1</v>
      </c>
      <c r="Q85" s="20">
        <f>IF(coder1_YH!Y84="","",IF(coder1_YH!Y84=coder2_NY_MT!S85,1,0))</f>
        <v>0</v>
      </c>
      <c r="R85" s="20">
        <f>IF(coder1_YH!Z84="","",IF(coder1_YH!Z84=coder2_NY_MT!T85,1,0))</f>
        <v>1</v>
      </c>
      <c r="S85" s="20">
        <f>IF(R85="","",IF(OR(coder2_NY_MT!U85="", coder1_YH!AA84 = ""),0,1))</f>
        <v>1</v>
      </c>
      <c r="T85" s="20">
        <f>IF(coder1_YH!AB84="","",IF(coder1_YH!AB84=coder2_NY_MT!V85,1,0))</f>
        <v>1</v>
      </c>
      <c r="U85" s="20">
        <f>IF(coder1_YH!AC84="","",IF(coder1_YH!AC84=coder2_NY_MT!W85,1,0))</f>
        <v>1</v>
      </c>
      <c r="V85" s="20">
        <f>IF(coder1_YH!AD84="","",IF(coder1_YH!AD84=coder2_NY_MT!X85,1,0))</f>
        <v>1</v>
      </c>
      <c r="W85" s="20">
        <f>IF(coder1_YH!AE84="","",IF(coder1_YH!AE84=coder2_NY_MT!Y85,1,0))</f>
        <v>1</v>
      </c>
      <c r="X85" s="20">
        <f>IF(coder1_YH!AF84="","",IF(coder1_YH!AF84=coder2_NY_MT!Z85,1,0))</f>
        <v>1</v>
      </c>
      <c r="Y85" s="20">
        <f>IF(coder1_YH!AG84="","",IF(coder1_YH!AG84=coder2_NY_MT!AA85,1,0))</f>
        <v>1</v>
      </c>
      <c r="Z85" s="20">
        <f>IF(coder1_YH!AH84="","",IF(coder1_YH!AH84=coder2_NY_MT!AB85,1,0))</f>
        <v>1</v>
      </c>
      <c r="AA85" s="20">
        <f>IF(coder1_YH!AI84="","",IF(coder1_YH!AI84=coder2_NY_MT!AC85,1,0))</f>
        <v>1</v>
      </c>
      <c r="AB85" s="20">
        <f>IF(OR(coder2_NY_MT!AD84="", coder1_YH!AJ84 = ""),0,1)</f>
        <v>1</v>
      </c>
      <c r="AC85" s="20">
        <f>IF(coder1_YH!AK84="","",IF(coder1_YH!AK84=coder2_NY_MT!AE85,1,0))</f>
        <v>1</v>
      </c>
      <c r="AD85" s="20">
        <f>IF(OR(coder2_NY_MT!AF84="", coder1_YH!AL84 = ""),0,1)</f>
        <v>0</v>
      </c>
      <c r="AF85" s="20">
        <f>IF(coder1_YH!AN84="","",IF(coder1_YH!AN84=coder2_NY_MT!AH85,1,0))</f>
        <v>1</v>
      </c>
      <c r="AG85" s="20">
        <f>IF(coder1_YH!AO84="","",IF(coder1_YH!AO84=coder2_NY_MT!AI85,1,0))</f>
        <v>1</v>
      </c>
      <c r="AH85" s="20">
        <f>IF(coder1_YH!AP84="","",IF(coder1_YH!AP84=coder2_NY_MT!AJ85,1,0))</f>
        <v>1</v>
      </c>
      <c r="AI85" s="20">
        <f>IF(coder1_YH!AQ84="","",IF(coder1_YH!AQ84=coder2_NY_MT!AK85,1,0))</f>
        <v>1</v>
      </c>
      <c r="AJ85" s="20">
        <f>IF(coder1_YH!AR84="","",IF(coder1_YH!AR84=coder2_NY_MT!AL85,1,0))</f>
        <v>1</v>
      </c>
      <c r="AK85" s="20">
        <f>IF(coder1_YH!AS84="","",IF(coder1_YH!AS84=coder2_NY_MT!AM85,1,0))</f>
        <v>1</v>
      </c>
      <c r="AL85" s="20" t="str">
        <f>IF(coder1_YH!AZ84="","",IF(coder1_YH!AZ84=coder2_NY_MT!AT85,1,0))</f>
        <v/>
      </c>
      <c r="AM85" s="20" t="e">
        <f>IF(coder1_YH!BA84="","",IF(coder1_YH!BA84=coder2_NY_MT!#REF!,1,0))</f>
        <v>#REF!</v>
      </c>
      <c r="AN85" s="2"/>
    </row>
    <row r="86" spans="1:40" s="20" customFormat="1" ht="17" hidden="1" customHeight="1" x14ac:dyDescent="0.2">
      <c r="A86" s="20" t="str">
        <f>IF(coder1_YH!G85="","",IF(coder1_YH!G85=coder2_NY_MT!A86,1,0))</f>
        <v/>
      </c>
      <c r="B86" s="20" t="str">
        <f>IF(coder1_YH!H85="","",IF(RIGHT(coder1_YH!H85,2)=RIGHT(coder2_NY_MT!B86,2),1,0))</f>
        <v/>
      </c>
      <c r="C86" s="20" t="str">
        <f>IF(coder1_YH!I85="","",IF(coder1_YH!I85=coder2_NY_MT!C86,1,0))</f>
        <v/>
      </c>
      <c r="E86" s="20" t="str">
        <f>IF(coder1_YH!K85="","",IF(coder1_YH!K85=coder2_NY_MT!E86,1,0))</f>
        <v/>
      </c>
      <c r="F86" s="20" t="str">
        <f>IF(coder1_YH!L85="","",IF(coder1_YH!L85=coder2_NY_MT!F86,1,0))</f>
        <v/>
      </c>
      <c r="G86" s="20" t="str">
        <f>IF(coder1_YH!M85="","",IF(coder1_YH!M85=coder2_NY_MT!G86,1,0))</f>
        <v/>
      </c>
      <c r="H86" s="20" t="str">
        <f>IF(coder1_YH!P85="","",IF(RIGHT(coder1_YH!P85,3)=RIGHT(coder2_NY_MT!J86,3),1,0))</f>
        <v/>
      </c>
      <c r="I86" s="20" t="str">
        <f>IF(H86="","",IF(OR(coder2_NY_MT!K86="", coder1_YH!Q85 = ""),0,1))</f>
        <v/>
      </c>
      <c r="J86" s="20" t="str">
        <f>IF(coder1_YH!R85="","",IF(coder1_YH!R85=coder2_NY_MT!L86,1,0))</f>
        <v/>
      </c>
      <c r="K86" s="20" t="str">
        <f>IF(coder1_YH!S85="","",IF(coder1_YH!S85=coder2_NY_MT!M86,1,0))</f>
        <v/>
      </c>
      <c r="L86" s="20" t="str">
        <f>IF(coder1_YH!T85="","",IF(coder1_YH!T85=coder2_NY_MT!N86,1,0))</f>
        <v/>
      </c>
      <c r="M86" s="20" t="str">
        <f>IF(coder1_YH!U85="","",IF(coder1_YH!U85=coder2_NY_MT!O86,1,0))</f>
        <v/>
      </c>
      <c r="N86" s="20" t="str">
        <f>IF(coder1_YH!V85="","",IF(coder1_YH!V85=coder2_NY_MT!P86,1,0))</f>
        <v/>
      </c>
      <c r="O86" s="20" t="str">
        <f>IF(coder1_YH!W85="","",IF(coder1_YH!W85=coder2_NY_MT!Q86,1,0))</f>
        <v/>
      </c>
      <c r="P86" s="20" t="str">
        <f>IF(coder1_YH!X85="","",IF(coder1_YH!X85=coder2_NY_MT!R86,1,0))</f>
        <v/>
      </c>
      <c r="Q86" s="20" t="str">
        <f>IF(coder1_YH!Y85="","",IF(coder1_YH!Y85=coder2_NY_MT!S86,1,0))</f>
        <v/>
      </c>
      <c r="R86" s="20" t="str">
        <f>IF(coder1_YH!Z85="","",IF(coder1_YH!Z85=coder2_NY_MT!T86,1,0))</f>
        <v/>
      </c>
      <c r="S86" s="20" t="str">
        <f>IF(R86="","",IF(OR(coder2_NY_MT!U86="", coder1_YH!AA85 = ""),0,1))</f>
        <v/>
      </c>
      <c r="T86" s="20" t="str">
        <f>IF(coder1_YH!AB85="","",IF(coder1_YH!AB85=coder2_NY_MT!V86,1,0))</f>
        <v/>
      </c>
      <c r="U86" s="20" t="str">
        <f>IF(coder1_YH!AC85="","",IF(coder1_YH!AC85=coder2_NY_MT!W86,1,0))</f>
        <v/>
      </c>
      <c r="V86" s="20" t="str">
        <f>IF(coder1_YH!AD85="","",IF(coder1_YH!AD85=coder2_NY_MT!X86,1,0))</f>
        <v/>
      </c>
      <c r="W86" s="20" t="str">
        <f>IF(coder1_YH!AE85="","",IF(coder1_YH!AE85=coder2_NY_MT!Y86,1,0))</f>
        <v/>
      </c>
      <c r="X86" s="20" t="str">
        <f>IF(coder1_YH!AF85="","",IF(coder1_YH!AF85=coder2_NY_MT!Z86,1,0))</f>
        <v/>
      </c>
      <c r="Y86" s="20" t="str">
        <f>IF(coder1_YH!AG85="","",IF(coder1_YH!AG85=coder2_NY_MT!AA86,1,0))</f>
        <v/>
      </c>
      <c r="Z86" s="20" t="str">
        <f>IF(coder1_YH!AH85="","",IF(coder1_YH!AH85=coder2_NY_MT!AB86,1,0))</f>
        <v/>
      </c>
      <c r="AA86" s="20" t="str">
        <f>IF(coder1_YH!AI85="","",IF(coder1_YH!AI85=coder2_NY_MT!AC86,1,0))</f>
        <v/>
      </c>
      <c r="AB86" s="20">
        <f>IF(OR(coder2_NY_MT!AD85="", coder1_YH!AJ85 = ""),0,1)</f>
        <v>1</v>
      </c>
      <c r="AC86" s="20">
        <f>IF(coder1_YH!AK85="","",IF(coder1_YH!AK85=coder2_NY_MT!AE86,1,0))</f>
        <v>1</v>
      </c>
      <c r="AD86" s="20">
        <f>IF(OR(coder2_NY_MT!AF85="", coder1_YH!AL85 = ""),0,1)</f>
        <v>1</v>
      </c>
      <c r="AF86" s="20">
        <f>IF(coder1_YH!AN85="","",IF(coder1_YH!AN85=coder2_NY_MT!AH86,1,0))</f>
        <v>1</v>
      </c>
      <c r="AG86" s="20">
        <f>IF(coder1_YH!AO85="","",IF(coder1_YH!AO85=coder2_NY_MT!AI86,1,0))</f>
        <v>1</v>
      </c>
      <c r="AH86" s="20">
        <f>IF(coder1_YH!AP85="","",IF(coder1_YH!AP85=coder2_NY_MT!AJ86,1,0))</f>
        <v>1</v>
      </c>
      <c r="AI86" s="20">
        <f>IF(coder1_YH!AQ85="","",IF(coder1_YH!AQ85=coder2_NY_MT!AK86,1,0))</f>
        <v>1</v>
      </c>
      <c r="AJ86" s="20">
        <f>IF(coder1_YH!AR85="","",IF(coder1_YH!AR85=coder2_NY_MT!AL86,1,0))</f>
        <v>1</v>
      </c>
      <c r="AK86" s="20">
        <f>IF(coder1_YH!AS85="","",IF(coder1_YH!AS85=coder2_NY_MT!AM86,1,0))</f>
        <v>1</v>
      </c>
      <c r="AL86" s="20" t="str">
        <f>IF(coder1_YH!AZ85="","",IF(coder1_YH!AZ85=coder2_NY_MT!AT86,1,0))</f>
        <v/>
      </c>
      <c r="AM86" s="20" t="e">
        <f>IF(coder1_YH!BA85="","",IF(coder1_YH!BA85=coder2_NY_MT!#REF!,1,0))</f>
        <v>#REF!</v>
      </c>
      <c r="AN86" s="2"/>
    </row>
    <row r="87" spans="1:40" s="20" customFormat="1" ht="17" hidden="1" customHeight="1" x14ac:dyDescent="0.2">
      <c r="A87" s="20" t="str">
        <f>IF(coder1_YH!G86="","",IF(coder1_YH!G86=coder2_NY_MT!A87,1,0))</f>
        <v/>
      </c>
      <c r="B87" s="20" t="str">
        <f>IF(coder1_YH!H86="","",IF(RIGHT(coder1_YH!H86,2)=RIGHT(coder2_NY_MT!B87,2),1,0))</f>
        <v/>
      </c>
      <c r="C87" s="20" t="str">
        <f>IF(coder1_YH!I86="","",IF(coder1_YH!I86=coder2_NY_MT!C87,1,0))</f>
        <v/>
      </c>
      <c r="E87" s="20" t="str">
        <f>IF(coder1_YH!K86="","",IF(coder1_YH!K86=coder2_NY_MT!E87,1,0))</f>
        <v/>
      </c>
      <c r="F87" s="20" t="str">
        <f>IF(coder1_YH!L86="","",IF(coder1_YH!L86=coder2_NY_MT!F87,1,0))</f>
        <v/>
      </c>
      <c r="G87" s="20" t="str">
        <f>IF(coder1_YH!M86="","",IF(coder1_YH!M86=coder2_NY_MT!G87,1,0))</f>
        <v/>
      </c>
      <c r="H87" s="20">
        <f>IF(coder1_YH!P86="","",IF(RIGHT(coder1_YH!P86,3)=RIGHT(coder2_NY_MT!J87,3),1,0))</f>
        <v>0</v>
      </c>
      <c r="I87" s="20">
        <f>IF(H87="","",IF(OR(coder2_NY_MT!K87="", coder1_YH!Q86 = ""),0,1))</f>
        <v>1</v>
      </c>
      <c r="J87" s="20">
        <f>IF(coder1_YH!R86="","",IF(coder1_YH!R86=coder2_NY_MT!L87,1,0))</f>
        <v>1</v>
      </c>
      <c r="K87" s="20">
        <f>IF(coder1_YH!S86="","",IF(coder1_YH!S86=coder2_NY_MT!M87,1,0))</f>
        <v>1</v>
      </c>
      <c r="L87" s="20">
        <f>IF(coder1_YH!T86="","",IF(coder1_YH!T86=coder2_NY_MT!N87,1,0))</f>
        <v>0</v>
      </c>
      <c r="M87" s="101">
        <v>1</v>
      </c>
      <c r="N87" s="20">
        <f>IF(coder1_YH!V86="","",IF(coder1_YH!V86=coder2_NY_MT!P87,1,0))</f>
        <v>1</v>
      </c>
      <c r="O87" s="101">
        <v>1</v>
      </c>
      <c r="P87" s="101">
        <v>1</v>
      </c>
      <c r="Q87" s="101">
        <v>1</v>
      </c>
      <c r="R87" s="20">
        <f>IF(coder1_YH!Z86="","",IF(coder1_YH!Z86=coder2_NY_MT!T87,1,0))</f>
        <v>1</v>
      </c>
      <c r="S87" s="20">
        <f>IF(R87="","",IF(OR(coder2_NY_MT!U87="", coder1_YH!AA86 = ""),0,1))</f>
        <v>1</v>
      </c>
      <c r="T87" s="20">
        <f>IF(coder1_YH!AB86="","",IF(coder1_YH!AB86=coder2_NY_MT!V87,1,0))</f>
        <v>0</v>
      </c>
      <c r="U87" s="20">
        <f>IF(coder1_YH!AC86="","",IF(coder1_YH!AC86=coder2_NY_MT!W87,1,0))</f>
        <v>1</v>
      </c>
      <c r="V87" s="20">
        <f>IF(coder1_YH!AD86="","",IF(coder1_YH!AD86=coder2_NY_MT!X87,1,0))</f>
        <v>1</v>
      </c>
      <c r="W87" s="20">
        <f>IF(coder1_YH!AE86="","",IF(coder1_YH!AE86=coder2_NY_MT!Y87,1,0))</f>
        <v>1</v>
      </c>
      <c r="X87" s="20">
        <f>IF(coder1_YH!AF86="","",IF(coder1_YH!AF86=coder2_NY_MT!Z87,1,0))</f>
        <v>1</v>
      </c>
      <c r="Y87" s="20">
        <f>IF(coder1_YH!AG86="","",IF(coder1_YH!AG86=coder2_NY_MT!AA87,1,0))</f>
        <v>1</v>
      </c>
      <c r="Z87" s="20">
        <f>IF(coder1_YH!AH86="","",IF(coder1_YH!AH86=coder2_NY_MT!AB87,1,0))</f>
        <v>1</v>
      </c>
      <c r="AA87" s="20">
        <f>IF(coder1_YH!AI86="","",IF(coder1_YH!AI86=coder2_NY_MT!AC87,1,0))</f>
        <v>1</v>
      </c>
      <c r="AB87" s="20">
        <f>IF(OR(coder2_NY_MT!AD86="", coder1_YH!AJ86 = ""),0,1)</f>
        <v>1</v>
      </c>
      <c r="AC87" s="20">
        <f>IF(coder1_YH!AK86="","",IF(coder1_YH!AK86=coder2_NY_MT!AE87,1,0))</f>
        <v>1</v>
      </c>
      <c r="AD87" s="20">
        <f>IF(OR(coder2_NY_MT!AF86="", coder1_YH!AL86 = ""),0,1)</f>
        <v>1</v>
      </c>
      <c r="AF87" s="20">
        <f>IF(coder1_YH!AN86="","",IF(coder1_YH!AN86=coder2_NY_MT!AH87,1,0))</f>
        <v>1</v>
      </c>
      <c r="AG87" s="20">
        <f>IF(coder1_YH!AO86="","",IF(coder1_YH!AO86=coder2_NY_MT!AI87,1,0))</f>
        <v>1</v>
      </c>
      <c r="AH87" s="20">
        <f>IF(coder1_YH!AP86="","",IF(coder1_YH!AP86=coder2_NY_MT!AJ87,1,0))</f>
        <v>1</v>
      </c>
      <c r="AI87" s="20">
        <f>IF(coder1_YH!AQ86="","",IF(coder1_YH!AQ86=coder2_NY_MT!AK87,1,0))</f>
        <v>1</v>
      </c>
      <c r="AJ87" s="20">
        <f>IF(coder1_YH!AR86="","",IF(coder1_YH!AR86=coder2_NY_MT!AL87,1,0))</f>
        <v>1</v>
      </c>
      <c r="AK87" s="20">
        <f>IF(coder1_YH!AS86="","",IF(coder1_YH!AS86=coder2_NY_MT!AM87,1,0))</f>
        <v>1</v>
      </c>
      <c r="AL87" s="20" t="str">
        <f>IF(coder1_YH!AZ86="","",IF(coder1_YH!AZ86=coder2_NY_MT!AT87,1,0))</f>
        <v/>
      </c>
      <c r="AM87" s="20" t="e">
        <f>IF(coder1_YH!BA86="","",IF(coder1_YH!BA86=coder2_NY_MT!#REF!,1,0))</f>
        <v>#REF!</v>
      </c>
      <c r="AN87" s="2"/>
    </row>
    <row r="88" spans="1:40" s="20" customFormat="1" ht="17" hidden="1" customHeight="1" x14ac:dyDescent="0.2">
      <c r="A88" s="20" t="str">
        <f>IF(coder1_YH!G87="","",IF(coder1_YH!G87=coder2_NY_MT!A88,1,0))</f>
        <v/>
      </c>
      <c r="B88" s="20" t="str">
        <f>IF(coder1_YH!H87="","",IF(RIGHT(coder1_YH!H87,2)=RIGHT(coder2_NY_MT!B88,2),1,0))</f>
        <v/>
      </c>
      <c r="C88" s="20" t="str">
        <f>IF(coder1_YH!I87="","",IF(coder1_YH!I87=coder2_NY_MT!C88,1,0))</f>
        <v/>
      </c>
      <c r="E88" s="20" t="str">
        <f>IF(coder1_YH!K87="","",IF(coder1_YH!K87=coder2_NY_MT!E88,1,0))</f>
        <v/>
      </c>
      <c r="F88" s="20" t="str">
        <f>IF(coder1_YH!L87="","",IF(coder1_YH!L87=coder2_NY_MT!F88,1,0))</f>
        <v/>
      </c>
      <c r="G88" s="20" t="str">
        <f>IF(coder1_YH!M87="","",IF(coder1_YH!M87=coder2_NY_MT!G88,1,0))</f>
        <v/>
      </c>
      <c r="H88" s="20" t="str">
        <f>IF(coder1_YH!P87="","",IF(RIGHT(coder1_YH!P87,3)=RIGHT(coder2_NY_MT!J88,3),1,0))</f>
        <v/>
      </c>
      <c r="I88" s="20" t="str">
        <f>IF(H88="","",IF(OR(coder2_NY_MT!K88="", coder1_YH!Q87 = ""),0,1))</f>
        <v/>
      </c>
      <c r="J88" s="20" t="str">
        <f>IF(coder1_YH!R87="","",IF(coder1_YH!R87=coder2_NY_MT!L88,1,0))</f>
        <v/>
      </c>
      <c r="K88" s="20" t="str">
        <f>IF(coder1_YH!S87="","",IF(coder1_YH!S87=coder2_NY_MT!M88,1,0))</f>
        <v/>
      </c>
      <c r="L88" s="20" t="str">
        <f>IF(coder1_YH!T87="","",IF(coder1_YH!T87=coder2_NY_MT!N88,1,0))</f>
        <v/>
      </c>
      <c r="M88" s="20" t="str">
        <f>IF(coder1_YH!U87="","",IF(coder1_YH!U87=coder2_NY_MT!O88,1,0))</f>
        <v/>
      </c>
      <c r="N88" s="20" t="str">
        <f>IF(coder1_YH!V87="","",IF(coder1_YH!V87=coder2_NY_MT!P88,1,0))</f>
        <v/>
      </c>
      <c r="O88" s="20" t="str">
        <f>IF(coder1_YH!W87="","",IF(coder1_YH!W87=coder2_NY_MT!Q88,1,0))</f>
        <v/>
      </c>
      <c r="P88" s="20" t="str">
        <f>IF(coder1_YH!X87="","",IF(coder1_YH!X87=coder2_NY_MT!R88,1,0))</f>
        <v/>
      </c>
      <c r="Q88" s="20" t="str">
        <f>IF(coder1_YH!Y87="","",IF(coder1_YH!Y87=coder2_NY_MT!S88,1,0))</f>
        <v/>
      </c>
      <c r="R88" s="20" t="str">
        <f>IF(coder1_YH!Z87="","",IF(coder1_YH!Z87=coder2_NY_MT!T88,1,0))</f>
        <v/>
      </c>
      <c r="S88" s="20" t="str">
        <f>IF(R88="","",IF(OR(coder2_NY_MT!U88="", coder1_YH!AA87 = ""),0,1))</f>
        <v/>
      </c>
      <c r="T88" s="20" t="str">
        <f>IF(coder1_YH!AB87="","",IF(coder1_YH!AB87=coder2_NY_MT!V88,1,0))</f>
        <v/>
      </c>
      <c r="U88" s="20" t="str">
        <f>IF(coder1_YH!AC87="","",IF(coder1_YH!AC87=coder2_NY_MT!W88,1,0))</f>
        <v/>
      </c>
      <c r="V88" s="20" t="str">
        <f>IF(coder1_YH!AD87="","",IF(coder1_YH!AD87=coder2_NY_MT!X88,1,0))</f>
        <v/>
      </c>
      <c r="W88" s="20" t="str">
        <f>IF(coder1_YH!AE87="","",IF(coder1_YH!AE87=coder2_NY_MT!Y88,1,0))</f>
        <v/>
      </c>
      <c r="X88" s="20" t="str">
        <f>IF(coder1_YH!AF87="","",IF(coder1_YH!AF87=coder2_NY_MT!Z88,1,0))</f>
        <v/>
      </c>
      <c r="Y88" s="20" t="str">
        <f>IF(coder1_YH!AG87="","",IF(coder1_YH!AG87=coder2_NY_MT!AA88,1,0))</f>
        <v/>
      </c>
      <c r="Z88" s="20" t="str">
        <f>IF(coder1_YH!AH87="","",IF(coder1_YH!AH87=coder2_NY_MT!AB88,1,0))</f>
        <v/>
      </c>
      <c r="AA88" s="20" t="str">
        <f>IF(coder1_YH!AI87="","",IF(coder1_YH!AI87=coder2_NY_MT!AC88,1,0))</f>
        <v/>
      </c>
      <c r="AB88" s="20">
        <f>IF(OR(coder2_NY_MT!AD87="", coder1_YH!AJ87 = ""),0,1)</f>
        <v>1</v>
      </c>
      <c r="AC88" s="20">
        <f>IF(coder1_YH!AK87="","",IF(coder1_YH!AK87=coder2_NY_MT!AE88,1,0))</f>
        <v>1</v>
      </c>
      <c r="AD88" s="20">
        <f>IF(OR(coder2_NY_MT!AF87="", coder1_YH!AL87 = ""),0,1)</f>
        <v>0</v>
      </c>
      <c r="AF88" s="20">
        <f>IF(coder1_YH!AN87="","",IF(coder1_YH!AN87=coder2_NY_MT!AH88,1,0))</f>
        <v>1</v>
      </c>
      <c r="AG88" s="20">
        <f>IF(coder1_YH!AO87="","",IF(coder1_YH!AO87=coder2_NY_MT!AI88,1,0))</f>
        <v>1</v>
      </c>
      <c r="AH88" s="20">
        <f>IF(coder1_YH!AP87="","",IF(coder1_YH!AP87=coder2_NY_MT!AJ88,1,0))</f>
        <v>1</v>
      </c>
      <c r="AI88" s="20">
        <f>IF(coder1_YH!AQ87="","",IF(coder1_YH!AQ87=coder2_NY_MT!AK88,1,0))</f>
        <v>1</v>
      </c>
      <c r="AJ88" s="20">
        <f>IF(coder1_YH!AR87="","",IF(coder1_YH!AR87=coder2_NY_MT!AL88,1,0))</f>
        <v>1</v>
      </c>
      <c r="AK88" s="20">
        <f>IF(coder1_YH!AS87="","",IF(coder1_YH!AS87=coder2_NY_MT!AM88,1,0))</f>
        <v>1</v>
      </c>
      <c r="AL88" s="20" t="str">
        <f>IF(coder1_YH!AZ87="","",IF(coder1_YH!AZ87=coder2_NY_MT!AT88,1,0))</f>
        <v/>
      </c>
      <c r="AM88" s="20" t="e">
        <f>IF(coder1_YH!BA87="","",IF(coder1_YH!BA87=coder2_NY_MT!#REF!,1,0))</f>
        <v>#REF!</v>
      </c>
      <c r="AN88" s="2"/>
    </row>
    <row r="89" spans="1:40" s="20" customFormat="1" ht="17" hidden="1" customHeight="1" x14ac:dyDescent="0.2">
      <c r="A89" s="20" t="str">
        <f>IF(coder1_YH!G88="","",IF(coder1_YH!G88=coder2_NY_MT!A89,1,0))</f>
        <v/>
      </c>
      <c r="B89" s="20" t="str">
        <f>IF(coder1_YH!H88="","",IF(RIGHT(coder1_YH!H88,2)=RIGHT(coder2_NY_MT!B89,2),1,0))</f>
        <v/>
      </c>
      <c r="C89" s="20" t="str">
        <f>IF(coder1_YH!I88="","",IF(coder1_YH!I88=coder2_NY_MT!C89,1,0))</f>
        <v/>
      </c>
      <c r="E89" s="20" t="str">
        <f>IF(coder1_YH!K88="","",IF(coder1_YH!K88=coder2_NY_MT!E89,1,0))</f>
        <v/>
      </c>
      <c r="F89" s="20" t="str">
        <f>IF(coder1_YH!L88="","",IF(coder1_YH!L88=coder2_NY_MT!F89,1,0))</f>
        <v/>
      </c>
      <c r="G89" s="20" t="str">
        <f>IF(coder1_YH!M88="","",IF(coder1_YH!M88=coder2_NY_MT!G89,1,0))</f>
        <v/>
      </c>
      <c r="H89" s="20">
        <f>IF(coder1_YH!P88="","",IF(RIGHT(coder1_YH!P88,3)=RIGHT(coder2_NY_MT!J89,3),1,0))</f>
        <v>0</v>
      </c>
      <c r="I89" s="20">
        <f>IF(H89="","",IF(OR(coder2_NY_MT!K89="", coder1_YH!Q88 = ""),0,1))</f>
        <v>1</v>
      </c>
      <c r="J89" s="20">
        <f>IF(coder1_YH!R88="","",IF(coder1_YH!R88=coder2_NY_MT!L89,1,0))</f>
        <v>1</v>
      </c>
      <c r="K89" s="20">
        <f>IF(coder1_YH!S88="","",IF(coder1_YH!S88=coder2_NY_MT!M89,1,0))</f>
        <v>1</v>
      </c>
      <c r="L89" s="20">
        <f>IF(coder1_YH!T88="","",IF(coder1_YH!T88=coder2_NY_MT!N89,1,0))</f>
        <v>0</v>
      </c>
      <c r="M89" s="101">
        <v>1</v>
      </c>
      <c r="N89" s="20">
        <f>IF(coder1_YH!V88="","",IF(coder1_YH!V88=coder2_NY_MT!P89,1,0))</f>
        <v>1</v>
      </c>
      <c r="O89" s="20">
        <f>IF(coder1_YH!W88="","",IF(coder1_YH!W88=coder2_NY_MT!Q89,1,0))</f>
        <v>1</v>
      </c>
      <c r="P89" s="101">
        <v>1</v>
      </c>
      <c r="Q89" s="101">
        <v>1</v>
      </c>
      <c r="R89" s="20">
        <f>IF(coder1_YH!Z88="","",IF(coder1_YH!Z88=coder2_NY_MT!T89,1,0))</f>
        <v>1</v>
      </c>
      <c r="S89" s="20">
        <f>IF(R89="","",IF(OR(coder2_NY_MT!U89="", coder1_YH!AA88 = ""),0,1))</f>
        <v>1</v>
      </c>
      <c r="T89" s="20">
        <f>IF(coder1_YH!AB88="","",IF(coder1_YH!AB88=coder2_NY_MT!V89,1,0))</f>
        <v>1</v>
      </c>
      <c r="U89" s="20">
        <f>IF(coder1_YH!AC88="","",IF(coder1_YH!AC88=coder2_NY_MT!W89,1,0))</f>
        <v>1</v>
      </c>
      <c r="V89" s="20">
        <f>IF(coder1_YH!AD88="","",IF(coder1_YH!AD88=coder2_NY_MT!X89,1,0))</f>
        <v>1</v>
      </c>
      <c r="W89" s="20">
        <f>IF(coder1_YH!AE88="","",IF(coder1_YH!AE88=coder2_NY_MT!Y89,1,0))</f>
        <v>1</v>
      </c>
      <c r="X89" s="20">
        <f>IF(coder1_YH!AF88="","",IF(coder1_YH!AF88=coder2_NY_MT!Z89,1,0))</f>
        <v>1</v>
      </c>
      <c r="Y89" s="20">
        <f>IF(coder1_YH!AG88="","",IF(coder1_YH!AG88=coder2_NY_MT!AA89,1,0))</f>
        <v>1</v>
      </c>
      <c r="Z89" s="20">
        <f>IF(coder1_YH!AH88="","",IF(coder1_YH!AH88=coder2_NY_MT!AB89,1,0))</f>
        <v>1</v>
      </c>
      <c r="AA89" s="20">
        <f>IF(coder1_YH!AI88="","",IF(coder1_YH!AI88=coder2_NY_MT!AC89,1,0))</f>
        <v>1</v>
      </c>
      <c r="AB89" s="20">
        <f>IF(OR(coder2_NY_MT!AD88="", coder1_YH!AJ88 = ""),0,1)</f>
        <v>1</v>
      </c>
      <c r="AC89" s="20">
        <f>IF(coder1_YH!AK88="","",IF(coder1_YH!AK88=coder2_NY_MT!AE89,1,0))</f>
        <v>1</v>
      </c>
      <c r="AD89" s="20">
        <f>IF(OR(coder2_NY_MT!AF88="", coder1_YH!AL88 = ""),0,1)</f>
        <v>0</v>
      </c>
      <c r="AF89" s="20">
        <f>IF(coder1_YH!AN88="","",IF(coder1_YH!AN88=coder2_NY_MT!AH89,1,0))</f>
        <v>1</v>
      </c>
      <c r="AG89" s="20">
        <f>IF(coder1_YH!AO88="","",IF(coder1_YH!AO88=coder2_NY_MT!AI89,1,0))</f>
        <v>1</v>
      </c>
      <c r="AH89" s="20">
        <f>IF(coder1_YH!AP88="","",IF(coder1_YH!AP88=coder2_NY_MT!AJ89,1,0))</f>
        <v>1</v>
      </c>
      <c r="AI89" s="20">
        <f>IF(coder1_YH!AQ88="","",IF(coder1_YH!AQ88=coder2_NY_MT!AK89,1,0))</f>
        <v>1</v>
      </c>
      <c r="AJ89" s="20">
        <f>IF(coder1_YH!AR88="","",IF(coder1_YH!AR88=coder2_NY_MT!AL89,1,0))</f>
        <v>1</v>
      </c>
      <c r="AK89" s="20">
        <f>IF(coder1_YH!AS88="","",IF(coder1_YH!AS88=coder2_NY_MT!AM89,1,0))</f>
        <v>1</v>
      </c>
      <c r="AL89" s="20" t="str">
        <f>IF(coder1_YH!AZ88="","",IF(coder1_YH!AZ88=coder2_NY_MT!AT89,1,0))</f>
        <v/>
      </c>
      <c r="AM89" s="20" t="e">
        <f>IF(coder1_YH!BA88="","",IF(coder1_YH!BA88=coder2_NY_MT!#REF!,1,0))</f>
        <v>#REF!</v>
      </c>
      <c r="AN89" s="2"/>
    </row>
    <row r="90" spans="1:40" s="20" customFormat="1" ht="17" hidden="1" customHeight="1" x14ac:dyDescent="0.2">
      <c r="A90" s="20" t="str">
        <f>IF(coder1_YH!G89="","",IF(coder1_YH!G89=coder2_NY_MT!A90,1,0))</f>
        <v/>
      </c>
      <c r="B90" s="20" t="str">
        <f>IF(coder1_YH!H89="","",IF(RIGHT(coder1_YH!H89,2)=RIGHT(coder2_NY_MT!B90,2),1,0))</f>
        <v/>
      </c>
      <c r="C90" s="20" t="str">
        <f>IF(coder1_YH!I89="","",IF(coder1_YH!I89=coder2_NY_MT!C90,1,0))</f>
        <v/>
      </c>
      <c r="E90" s="20" t="str">
        <f>IF(coder1_YH!K89="","",IF(coder1_YH!K89=coder2_NY_MT!E90,1,0))</f>
        <v/>
      </c>
      <c r="F90" s="20" t="str">
        <f>IF(coder1_YH!L89="","",IF(coder1_YH!L89=coder2_NY_MT!F90,1,0))</f>
        <v/>
      </c>
      <c r="G90" s="20" t="str">
        <f>IF(coder1_YH!M89="","",IF(coder1_YH!M89=coder2_NY_MT!G90,1,0))</f>
        <v/>
      </c>
      <c r="H90" s="20" t="str">
        <f>IF(coder1_YH!P89="","",IF(RIGHT(coder1_YH!P89,3)=RIGHT(coder2_NY_MT!J90,3),1,0))</f>
        <v/>
      </c>
      <c r="I90" s="20" t="str">
        <f>IF(H90="","",IF(OR(coder2_NY_MT!K90="", coder1_YH!Q89 = ""),0,1))</f>
        <v/>
      </c>
      <c r="J90" s="20" t="str">
        <f>IF(coder1_YH!R89="","",IF(coder1_YH!R89=coder2_NY_MT!L90,1,0))</f>
        <v/>
      </c>
      <c r="K90" s="20" t="str">
        <f>IF(coder1_YH!S89="","",IF(coder1_YH!S89=coder2_NY_MT!M90,1,0))</f>
        <v/>
      </c>
      <c r="L90" s="20" t="str">
        <f>IF(coder1_YH!T89="","",IF(coder1_YH!T89=coder2_NY_MT!N90,1,0))</f>
        <v/>
      </c>
      <c r="M90" s="20" t="str">
        <f>IF(coder1_YH!U89="","",IF(coder1_YH!U89=coder2_NY_MT!O90,1,0))</f>
        <v/>
      </c>
      <c r="N90" s="20" t="str">
        <f>IF(coder1_YH!V89="","",IF(coder1_YH!V89=coder2_NY_MT!P90,1,0))</f>
        <v/>
      </c>
      <c r="O90" s="20" t="str">
        <f>IF(coder1_YH!W89="","",IF(coder1_YH!W89=coder2_NY_MT!Q90,1,0))</f>
        <v/>
      </c>
      <c r="P90" s="20" t="str">
        <f>IF(coder1_YH!X89="","",IF(coder1_YH!X89=coder2_NY_MT!R90,1,0))</f>
        <v/>
      </c>
      <c r="Q90" s="20" t="str">
        <f>IF(coder1_YH!Y89="","",IF(coder1_YH!Y89=coder2_NY_MT!S90,1,0))</f>
        <v/>
      </c>
      <c r="R90" s="20" t="str">
        <f>IF(coder1_YH!Z89="","",IF(coder1_YH!Z89=coder2_NY_MT!T90,1,0))</f>
        <v/>
      </c>
      <c r="S90" s="20" t="str">
        <f>IF(R90="","",IF(OR(coder2_NY_MT!U90="", coder1_YH!AA89 = ""),0,1))</f>
        <v/>
      </c>
      <c r="T90" s="20" t="str">
        <f>IF(coder1_YH!AB89="","",IF(coder1_YH!AB89=coder2_NY_MT!V90,1,0))</f>
        <v/>
      </c>
      <c r="U90" s="20" t="str">
        <f>IF(coder1_YH!AC89="","",IF(coder1_YH!AC89=coder2_NY_MT!W90,1,0))</f>
        <v/>
      </c>
      <c r="V90" s="20" t="str">
        <f>IF(coder1_YH!AD89="","",IF(coder1_YH!AD89=coder2_NY_MT!X90,1,0))</f>
        <v/>
      </c>
      <c r="W90" s="20" t="str">
        <f>IF(coder1_YH!AE89="","",IF(coder1_YH!AE89=coder2_NY_MT!Y90,1,0))</f>
        <v/>
      </c>
      <c r="X90" s="20" t="str">
        <f>IF(coder1_YH!AF89="","",IF(coder1_YH!AF89=coder2_NY_MT!Z90,1,0))</f>
        <v/>
      </c>
      <c r="Y90" s="20" t="str">
        <f>IF(coder1_YH!AG89="","",IF(coder1_YH!AG89=coder2_NY_MT!AA90,1,0))</f>
        <v/>
      </c>
      <c r="Z90" s="20" t="str">
        <f>IF(coder1_YH!AH89="","",IF(coder1_YH!AH89=coder2_NY_MT!AB90,1,0))</f>
        <v/>
      </c>
      <c r="AA90" s="20" t="str">
        <f>IF(coder1_YH!AI89="","",IF(coder1_YH!AI89=coder2_NY_MT!AC90,1,0))</f>
        <v/>
      </c>
      <c r="AB90" s="20">
        <f>IF(OR(coder2_NY_MT!AD89="", coder1_YH!AJ89 = ""),0,1)</f>
        <v>1</v>
      </c>
      <c r="AC90" s="20">
        <f>IF(coder1_YH!AK89="","",IF(coder1_YH!AK89=coder2_NY_MT!AE90,1,0))</f>
        <v>1</v>
      </c>
      <c r="AD90" s="20">
        <f>IF(OR(coder2_NY_MT!AF89="", coder1_YH!AL89 = ""),0,1)</f>
        <v>0</v>
      </c>
      <c r="AF90" s="20">
        <f>IF(coder1_YH!AN89="","",IF(coder1_YH!AN89=coder2_NY_MT!AH90,1,0))</f>
        <v>1</v>
      </c>
      <c r="AG90" s="20">
        <f>IF(coder1_YH!AO89="","",IF(coder1_YH!AO89=coder2_NY_MT!AI90,1,0))</f>
        <v>1</v>
      </c>
      <c r="AH90" s="20">
        <f>IF(coder1_YH!AP89="","",IF(coder1_YH!AP89=coder2_NY_MT!AJ90,1,0))</f>
        <v>1</v>
      </c>
      <c r="AI90" s="20">
        <f>IF(coder1_YH!AQ89="","",IF(coder1_YH!AQ89=coder2_NY_MT!AK90,1,0))</f>
        <v>1</v>
      </c>
      <c r="AJ90" s="20">
        <f>IF(coder1_YH!AR89="","",IF(coder1_YH!AR89=coder2_NY_MT!AL90,1,0))</f>
        <v>1</v>
      </c>
      <c r="AK90" s="20">
        <f>IF(coder1_YH!AS89="","",IF(coder1_YH!AS89=coder2_NY_MT!AM90,1,0))</f>
        <v>1</v>
      </c>
      <c r="AL90" s="20" t="str">
        <f>IF(coder1_YH!AZ89="","",IF(coder1_YH!AZ89=coder2_NY_MT!AT90,1,0))</f>
        <v/>
      </c>
      <c r="AM90" s="20" t="e">
        <f>IF(coder1_YH!BA89="","",IF(coder1_YH!BA89=coder2_NY_MT!#REF!,1,0))</f>
        <v>#REF!</v>
      </c>
      <c r="AN90" s="2"/>
    </row>
    <row r="91" spans="1:40" s="20" customFormat="1" ht="17" hidden="1" customHeight="1" x14ac:dyDescent="0.2">
      <c r="A91" s="20">
        <f>IF(coder1_YH!G90="","",IF(coder1_YH!G90=coder2_NY_MT!A91,1,0))</f>
        <v>1</v>
      </c>
      <c r="B91" s="20">
        <f>IF(coder1_YH!H90="","",IF(RIGHT(coder1_YH!H90,2)=RIGHT(coder2_NY_MT!B91,2),1,0))</f>
        <v>1</v>
      </c>
      <c r="C91" s="20">
        <f>IF(coder1_YH!I90="","",IF(coder1_YH!I90=coder2_NY_MT!C91,1,0))</f>
        <v>1</v>
      </c>
      <c r="E91" s="20">
        <f>IF(coder1_YH!K90="","",IF(coder1_YH!K90=coder2_NY_MT!E91,1,0))</f>
        <v>1</v>
      </c>
      <c r="F91" s="20">
        <f>IF(coder1_YH!L90="","",IF(coder1_YH!L90=coder2_NY_MT!F91,1,0))</f>
        <v>1</v>
      </c>
      <c r="G91" s="20">
        <f>IF(coder1_YH!M90="","",IF(coder1_YH!M90=coder2_NY_MT!G91,1,0))</f>
        <v>1</v>
      </c>
      <c r="H91" s="20">
        <f>IF(coder1_YH!P90="","",IF(RIGHT(coder1_YH!P90,3)=RIGHT(coder2_NY_MT!J91,3),1,0))</f>
        <v>0</v>
      </c>
      <c r="I91" s="20">
        <f>IF(H91="","",IF(OR(coder2_NY_MT!K91="", coder1_YH!Q90 = ""),0,1))</f>
        <v>1</v>
      </c>
      <c r="J91" s="20">
        <f>IF(coder1_YH!R90="","",IF(coder1_YH!R90=coder2_NY_MT!L91,1,0))</f>
        <v>1</v>
      </c>
      <c r="K91" s="20">
        <f>IF(coder1_YH!S90="","",IF(coder1_YH!S90=coder2_NY_MT!M91,1,0))</f>
        <v>1</v>
      </c>
      <c r="L91" s="20">
        <f>IF(coder1_YH!T90="","",IF(coder1_YH!T90=coder2_NY_MT!N91,1,0))</f>
        <v>1</v>
      </c>
      <c r="M91" s="20">
        <f>IF(coder1_YH!U90="","",IF(coder1_YH!U90=coder2_NY_MT!O91,1,0))</f>
        <v>1</v>
      </c>
      <c r="N91" s="20">
        <f>IF(coder1_YH!V90="","",IF(coder1_YH!V90=coder2_NY_MT!P91,1,0))</f>
        <v>1</v>
      </c>
      <c r="O91" s="20">
        <f>IF(coder1_YH!W90="","",IF(coder1_YH!W90=coder2_NY_MT!Q91,1,0))</f>
        <v>1</v>
      </c>
      <c r="P91" s="20">
        <f>IF(coder1_YH!X90="","",IF(coder1_YH!X90=coder2_NY_MT!R91,1,0))</f>
        <v>1</v>
      </c>
      <c r="Q91" s="20">
        <f>IF(coder1_YH!Y90="","",IF(coder1_YH!Y90=coder2_NY_MT!S91,1,0))</f>
        <v>1</v>
      </c>
      <c r="R91" s="20">
        <f>IF(coder1_YH!Z90="","",IF(coder1_YH!Z90=coder2_NY_MT!T91,1,0))</f>
        <v>1</v>
      </c>
      <c r="S91" s="20">
        <f>IF(R91="","",IF(OR(coder2_NY_MT!U91="", coder1_YH!AA90 = ""),0,1))</f>
        <v>1</v>
      </c>
      <c r="T91" s="20">
        <f>IF(coder1_YH!AB90="","",IF(coder1_YH!AB90=coder2_NY_MT!V91,1,0))</f>
        <v>1</v>
      </c>
      <c r="U91" s="20">
        <f>IF(coder1_YH!AC90="","",IF(coder1_YH!AC90=coder2_NY_MT!W91,1,0))</f>
        <v>1</v>
      </c>
      <c r="V91" s="20">
        <f>IF(coder1_YH!AD90="","",IF(coder1_YH!AD90=coder2_NY_MT!X91,1,0))</f>
        <v>1</v>
      </c>
      <c r="W91" s="20">
        <f>IF(coder1_YH!AE90="","",IF(coder1_YH!AE90=coder2_NY_MT!Y91,1,0))</f>
        <v>1</v>
      </c>
      <c r="X91" s="20">
        <f>IF(coder1_YH!AF90="","",IF(coder1_YH!AF90=coder2_NY_MT!Z91,1,0))</f>
        <v>1</v>
      </c>
      <c r="Y91" s="20">
        <f>IF(coder1_YH!AG90="","",IF(coder1_YH!AG90=coder2_NY_MT!AA91,1,0))</f>
        <v>1</v>
      </c>
      <c r="Z91" s="20">
        <f>IF(coder1_YH!AH90="","",IF(coder1_YH!AH90=coder2_NY_MT!AB91,1,0))</f>
        <v>1</v>
      </c>
      <c r="AA91" s="20">
        <f>IF(coder1_YH!AI90="","",IF(coder1_YH!AI90=coder2_NY_MT!AC91,1,0))</f>
        <v>1</v>
      </c>
      <c r="AB91" s="20">
        <f>IF(OR(coder2_NY_MT!AD90="", coder1_YH!AJ90 = ""),0,1)</f>
        <v>1</v>
      </c>
      <c r="AC91" s="20">
        <f>IF(coder1_YH!AK90="","",IF(coder1_YH!AK90=coder2_NY_MT!AE91,1,0))</f>
        <v>1</v>
      </c>
      <c r="AD91" s="20">
        <f>IF(OR(coder2_NY_MT!AF90="", coder1_YH!AL90 = ""),0,1)</f>
        <v>0</v>
      </c>
      <c r="AF91" s="20">
        <f>IF(coder1_YH!AN90="","",IF(coder1_YH!AN90=coder2_NY_MT!AH91,1,0))</f>
        <v>1</v>
      </c>
      <c r="AG91" s="20">
        <f>IF(coder1_YH!AO90="","",IF(coder1_YH!AO90=coder2_NY_MT!AI91,1,0))</f>
        <v>1</v>
      </c>
      <c r="AH91" s="20">
        <f>IF(coder1_YH!AP90="","",IF(coder1_YH!AP90=coder2_NY_MT!AJ91,1,0))</f>
        <v>1</v>
      </c>
      <c r="AI91" s="20">
        <f>IF(coder1_YH!AQ90="","",IF(coder1_YH!AQ90=coder2_NY_MT!AK91,1,0))</f>
        <v>1</v>
      </c>
      <c r="AJ91" s="20">
        <f>IF(coder1_YH!AR90="","",IF(coder1_YH!AR90=coder2_NY_MT!AL91,1,0))</f>
        <v>1</v>
      </c>
      <c r="AK91" s="20">
        <f>IF(coder1_YH!AS90="","",IF(coder1_YH!AS90=coder2_NY_MT!AM91,1,0))</f>
        <v>1</v>
      </c>
      <c r="AL91" s="20" t="str">
        <f>IF(coder1_YH!AZ90="","",IF(coder1_YH!AZ90=coder2_NY_MT!AT91,1,0))</f>
        <v/>
      </c>
      <c r="AM91" s="62">
        <v>1</v>
      </c>
      <c r="AN91" s="2"/>
    </row>
    <row r="92" spans="1:40" s="20" customFormat="1" ht="17" hidden="1" customHeight="1" x14ac:dyDescent="0.2">
      <c r="A92" s="20" t="str">
        <f>IF(coder1_YH!G91="","",IF(coder1_YH!G91=coder2_NY_MT!A92,1,0))</f>
        <v/>
      </c>
      <c r="B92" s="20" t="str">
        <f>IF(coder1_YH!H91="","",IF(RIGHT(coder1_YH!H91,2)=RIGHT(coder2_NY_MT!B92,2),1,0))</f>
        <v/>
      </c>
      <c r="C92" s="20" t="str">
        <f>IF(coder1_YH!I91="","",IF(coder1_YH!I91=coder2_NY_MT!C92,1,0))</f>
        <v/>
      </c>
      <c r="E92" s="20" t="str">
        <f>IF(coder1_YH!K91="","",IF(coder1_YH!K91=coder2_NY_MT!E92,1,0))</f>
        <v/>
      </c>
      <c r="F92" s="20" t="str">
        <f>IF(coder1_YH!L91="","",IF(coder1_YH!L91=coder2_NY_MT!F92,1,0))</f>
        <v/>
      </c>
      <c r="G92" s="20" t="str">
        <f>IF(coder1_YH!M91="","",IF(coder1_YH!M91=coder2_NY_MT!G92,1,0))</f>
        <v/>
      </c>
      <c r="H92" s="20">
        <f>IF(coder1_YH!P91="","",IF(RIGHT(coder1_YH!P91,3)=RIGHT(coder2_NY_MT!J92,3),1,0))</f>
        <v>0</v>
      </c>
      <c r="I92" s="20">
        <f>IF(H92="","",IF(OR(coder2_NY_MT!K92="", coder1_YH!Q91 = ""),0,1))</f>
        <v>1</v>
      </c>
      <c r="J92" s="20">
        <f>IF(coder1_YH!R91="","",IF(coder1_YH!R91=coder2_NY_MT!L92,1,0))</f>
        <v>1</v>
      </c>
      <c r="K92" s="20">
        <f>IF(coder1_YH!S91="","",IF(coder1_YH!S91=coder2_NY_MT!M92,1,0))</f>
        <v>1</v>
      </c>
      <c r="L92" s="20">
        <f>IF(coder1_YH!T91="","",IF(coder1_YH!T91=coder2_NY_MT!N92,1,0))</f>
        <v>1</v>
      </c>
      <c r="M92" s="20">
        <f>IF(coder1_YH!U91="","",IF(coder1_YH!U91=coder2_NY_MT!O92,1,0))</f>
        <v>1</v>
      </c>
      <c r="N92" s="20">
        <f>IF(coder1_YH!V91="","",IF(coder1_YH!V91=coder2_NY_MT!P92,1,0))</f>
        <v>1</v>
      </c>
      <c r="O92" s="20">
        <f>IF(coder1_YH!W91="","",IF(coder1_YH!W91=coder2_NY_MT!Q92,1,0))</f>
        <v>1</v>
      </c>
      <c r="P92" s="20">
        <f>IF(coder1_YH!X91="","",IF(coder1_YH!X91=coder2_NY_MT!R92,1,0))</f>
        <v>1</v>
      </c>
      <c r="Q92" s="20">
        <f>IF(coder1_YH!Y91="","",IF(coder1_YH!Y91=coder2_NY_MT!S92,1,0))</f>
        <v>1</v>
      </c>
      <c r="R92" s="20">
        <f>IF(coder1_YH!Z91="","",IF(coder1_YH!Z91=coder2_NY_MT!T92,1,0))</f>
        <v>1</v>
      </c>
      <c r="S92" s="20">
        <f>IF(R92="","",IF(OR(coder2_NY_MT!U92="", coder1_YH!AA91 = ""),0,1))</f>
        <v>1</v>
      </c>
      <c r="T92" s="20">
        <f>IF(coder1_YH!AB91="","",IF(coder1_YH!AB91=coder2_NY_MT!V92,1,0))</f>
        <v>1</v>
      </c>
      <c r="U92" s="20">
        <f>IF(coder1_YH!AC91="","",IF(coder1_YH!AC91=coder2_NY_MT!W92,1,0))</f>
        <v>1</v>
      </c>
      <c r="V92" s="20">
        <f>IF(coder1_YH!AD91="","",IF(coder1_YH!AD91=coder2_NY_MT!X92,1,0))</f>
        <v>1</v>
      </c>
      <c r="W92" s="20">
        <f>IF(coder1_YH!AE91="","",IF(coder1_YH!AE91=coder2_NY_MT!Y92,1,0))</f>
        <v>1</v>
      </c>
      <c r="X92" s="20">
        <f>IF(coder1_YH!AF91="","",IF(coder1_YH!AF91=coder2_NY_MT!Z92,1,0))</f>
        <v>1</v>
      </c>
      <c r="Y92" s="20">
        <f>IF(coder1_YH!AG91="","",IF(coder1_YH!AG91=coder2_NY_MT!AA92,1,0))</f>
        <v>1</v>
      </c>
      <c r="Z92" s="20">
        <f>IF(coder1_YH!AH91="","",IF(coder1_YH!AH91=coder2_NY_MT!AB92,1,0))</f>
        <v>1</v>
      </c>
      <c r="AA92" s="20">
        <f>IF(coder1_YH!AI91="","",IF(coder1_YH!AI91=coder2_NY_MT!AC92,1,0))</f>
        <v>1</v>
      </c>
      <c r="AB92" s="20">
        <f>IF(OR(coder2_NY_MT!AD91="", coder1_YH!AJ91 = ""),0,1)</f>
        <v>1</v>
      </c>
      <c r="AC92" s="20">
        <f>IF(coder1_YH!AK91="","",IF(coder1_YH!AK91=coder2_NY_MT!AE92,1,0))</f>
        <v>1</v>
      </c>
      <c r="AD92" s="20">
        <f>IF(OR(coder2_NY_MT!AF91="", coder1_YH!AL91 = ""),0,1)</f>
        <v>1</v>
      </c>
      <c r="AF92" s="20">
        <f>IF(coder1_YH!AN91="","",IF(coder1_YH!AN91=coder2_NY_MT!AH92,1,0))</f>
        <v>1</v>
      </c>
      <c r="AG92" s="20">
        <f>IF(coder1_YH!AO91="","",IF(coder1_YH!AO91=coder2_NY_MT!AI92,1,0))</f>
        <v>1</v>
      </c>
      <c r="AH92" s="20">
        <f>IF(coder1_YH!AP91="","",IF(coder1_YH!AP91=coder2_NY_MT!AJ92,1,0))</f>
        <v>1</v>
      </c>
      <c r="AI92" s="20">
        <f>IF(coder1_YH!AQ91="","",IF(coder1_YH!AQ91=coder2_NY_MT!AK92,1,0))</f>
        <v>1</v>
      </c>
      <c r="AJ92" s="20">
        <f>IF(coder1_YH!AR91="","",IF(coder1_YH!AR91=coder2_NY_MT!AL92,1,0))</f>
        <v>1</v>
      </c>
      <c r="AK92" s="20">
        <f>IF(coder1_YH!AS91="","",IF(coder1_YH!AS91=coder2_NY_MT!AM92,1,0))</f>
        <v>1</v>
      </c>
      <c r="AL92" s="20" t="str">
        <f>IF(coder1_YH!AZ91="","",IF(coder1_YH!AZ91=coder2_NY_MT!AT92,1,0))</f>
        <v/>
      </c>
      <c r="AM92" s="62">
        <v>1</v>
      </c>
      <c r="AN92" s="2"/>
    </row>
    <row r="93" spans="1:40" s="20" customFormat="1" ht="17" hidden="1" customHeight="1" x14ac:dyDescent="0.2">
      <c r="A93" s="20" t="str">
        <f>IF(coder1_YH!G92="","",IF(coder1_YH!G92=coder2_NY_MT!A93,1,0))</f>
        <v/>
      </c>
      <c r="B93" s="20" t="str">
        <f>IF(coder1_YH!H92="","",IF(RIGHT(coder1_YH!H92,2)=RIGHT(coder2_NY_MT!B93,2),1,0))</f>
        <v/>
      </c>
      <c r="C93" s="20" t="str">
        <f>IF(coder1_YH!I92="","",IF(coder1_YH!I92=coder2_NY_MT!C93,1,0))</f>
        <v/>
      </c>
      <c r="E93" s="20" t="str">
        <f>IF(coder1_YH!K92="","",IF(coder1_YH!K92=coder2_NY_MT!E93,1,0))</f>
        <v/>
      </c>
      <c r="F93" s="20" t="str">
        <f>IF(coder1_YH!L92="","",IF(coder1_YH!L92=coder2_NY_MT!F93,1,0))</f>
        <v/>
      </c>
      <c r="G93" s="20" t="str">
        <f>IF(coder1_YH!M92="","",IF(coder1_YH!M92=coder2_NY_MT!G93,1,0))</f>
        <v/>
      </c>
      <c r="H93" s="20">
        <f>IF(coder1_YH!P92="","",IF(RIGHT(coder1_YH!P92,3)=RIGHT(coder2_NY_MT!J93,3),1,0))</f>
        <v>0</v>
      </c>
      <c r="I93" s="20">
        <f>IF(H93="","",IF(OR(coder2_NY_MT!K93="", coder1_YH!Q92 = ""),0,1))</f>
        <v>1</v>
      </c>
      <c r="J93" s="20">
        <f>IF(coder1_YH!R92="","",IF(coder1_YH!R92=coder2_NY_MT!L93,1,0))</f>
        <v>1</v>
      </c>
      <c r="K93" s="20">
        <f>IF(coder1_YH!S92="","",IF(coder1_YH!S92=coder2_NY_MT!M93,1,0))</f>
        <v>1</v>
      </c>
      <c r="L93" s="20">
        <f>IF(coder1_YH!T92="","",IF(coder1_YH!T92=coder2_NY_MT!N93,1,0))</f>
        <v>1</v>
      </c>
      <c r="M93" s="20">
        <f>IF(coder1_YH!U92="","",IF(coder1_YH!U92=coder2_NY_MT!O93,1,0))</f>
        <v>1</v>
      </c>
      <c r="N93" s="20">
        <f>IF(coder1_YH!V92="","",IF(coder1_YH!V92=coder2_NY_MT!P93,1,0))</f>
        <v>1</v>
      </c>
      <c r="O93" s="20">
        <f>IF(coder1_YH!W92="","",IF(coder1_YH!W92=coder2_NY_MT!Q93,1,0))</f>
        <v>1</v>
      </c>
      <c r="P93" s="20">
        <f>IF(coder1_YH!X92="","",IF(coder1_YH!X92=coder2_NY_MT!R93,1,0))</f>
        <v>1</v>
      </c>
      <c r="Q93" s="20">
        <f>IF(coder1_YH!Y92="","",IF(coder1_YH!Y92=coder2_NY_MT!S93,1,0))</f>
        <v>1</v>
      </c>
      <c r="R93" s="20">
        <f>IF(coder1_YH!Z92="","",IF(coder1_YH!Z92=coder2_NY_MT!T93,1,0))</f>
        <v>1</v>
      </c>
      <c r="S93" s="20">
        <f>IF(R93="","",IF(OR(coder2_NY_MT!U93="", coder1_YH!AA92 = ""),0,1))</f>
        <v>1</v>
      </c>
      <c r="T93" s="20">
        <f>IF(coder1_YH!AB92="","",IF(coder1_YH!AB92=coder2_NY_MT!V93,1,0))</f>
        <v>1</v>
      </c>
      <c r="U93" s="20">
        <f>IF(coder1_YH!AC92="","",IF(coder1_YH!AC92=coder2_NY_MT!W93,1,0))</f>
        <v>1</v>
      </c>
      <c r="V93" s="20">
        <f>IF(coder1_YH!AD92="","",IF(coder1_YH!AD92=coder2_NY_MT!X93,1,0))</f>
        <v>1</v>
      </c>
      <c r="W93" s="20">
        <f>IF(coder1_YH!AE92="","",IF(coder1_YH!AE92=coder2_NY_MT!Y93,1,0))</f>
        <v>1</v>
      </c>
      <c r="X93" s="20">
        <f>IF(coder1_YH!AF92="","",IF(coder1_YH!AF92=coder2_NY_MT!Z93,1,0))</f>
        <v>1</v>
      </c>
      <c r="Y93" s="20">
        <f>IF(coder1_YH!AG92="","",IF(coder1_YH!AG92=coder2_NY_MT!AA93,1,0))</f>
        <v>1</v>
      </c>
      <c r="Z93" s="20">
        <f>IF(coder1_YH!AH92="","",IF(coder1_YH!AH92=coder2_NY_MT!AB93,1,0))</f>
        <v>1</v>
      </c>
      <c r="AA93" s="20">
        <f>IF(coder1_YH!AI92="","",IF(coder1_YH!AI92=coder2_NY_MT!AC93,1,0))</f>
        <v>1</v>
      </c>
      <c r="AB93" s="20">
        <f>IF(OR(coder2_NY_MT!AD92="", coder1_YH!AJ92 = ""),0,1)</f>
        <v>1</v>
      </c>
      <c r="AC93" s="20">
        <f>IF(coder1_YH!AK92="","",IF(coder1_YH!AK92=coder2_NY_MT!AE93,1,0))</f>
        <v>1</v>
      </c>
      <c r="AD93" s="20">
        <f>IF(OR(coder2_NY_MT!AF92="", coder1_YH!AL92 = ""),0,1)</f>
        <v>0</v>
      </c>
      <c r="AF93" s="20">
        <f>IF(coder1_YH!AN92="","",IF(coder1_YH!AN92=coder2_NY_MT!AH93,1,0))</f>
        <v>1</v>
      </c>
      <c r="AG93" s="20">
        <f>IF(coder1_YH!AO92="","",IF(coder1_YH!AO92=coder2_NY_MT!AI93,1,0))</f>
        <v>1</v>
      </c>
      <c r="AH93" s="20">
        <f>IF(coder1_YH!AP92="","",IF(coder1_YH!AP92=coder2_NY_MT!AJ93,1,0))</f>
        <v>1</v>
      </c>
      <c r="AI93" s="20">
        <f>IF(coder1_YH!AQ92="","",IF(coder1_YH!AQ92=coder2_NY_MT!AK93,1,0))</f>
        <v>1</v>
      </c>
      <c r="AJ93" s="20">
        <f>IF(coder1_YH!AR92="","",IF(coder1_YH!AR92=coder2_NY_MT!AL93,1,0))</f>
        <v>1</v>
      </c>
      <c r="AK93" s="20">
        <f>IF(coder1_YH!AS92="","",IF(coder1_YH!AS92=coder2_NY_MT!AM93,1,0))</f>
        <v>1</v>
      </c>
      <c r="AL93" s="20" t="str">
        <f>IF(coder1_YH!AZ92="","",IF(coder1_YH!AZ92=coder2_NY_MT!AT93,1,0))</f>
        <v/>
      </c>
      <c r="AM93" s="62">
        <v>1</v>
      </c>
      <c r="AN93" s="2"/>
    </row>
    <row r="94" spans="1:40" s="20" customFormat="1" ht="17" hidden="1" customHeight="1" x14ac:dyDescent="0.2">
      <c r="A94" s="20">
        <f>IF(coder1_YH!G93="","",IF(coder1_YH!G93=coder2_NY_MT!A94,1,0))</f>
        <v>1</v>
      </c>
      <c r="B94" s="20">
        <f>IF(coder1_YH!H93="","",IF(RIGHT(coder1_YH!H93,2)=RIGHT(coder2_NY_MT!B94,2),1,0))</f>
        <v>1</v>
      </c>
      <c r="C94" s="20">
        <f>IF(coder1_YH!I93="","",IF(coder1_YH!I93=coder2_NY_MT!C94,1,0))</f>
        <v>1</v>
      </c>
      <c r="E94" s="20">
        <f>IF(coder1_YH!K93="","",IF(coder1_YH!K93=coder2_NY_MT!E94,1,0))</f>
        <v>1</v>
      </c>
      <c r="F94" s="20">
        <f>IF(coder1_YH!L93="","",IF(coder1_YH!L93=coder2_NY_MT!F94,1,0))</f>
        <v>1</v>
      </c>
      <c r="G94" s="20">
        <f>IF(coder1_YH!M93="","",IF(coder1_YH!M93=coder2_NY_MT!G94,1,0))</f>
        <v>1</v>
      </c>
      <c r="H94" s="20">
        <f>IF(coder1_YH!P93="","",IF(RIGHT(coder1_YH!P93,3)=RIGHT(coder2_NY_MT!J94,3),1,0))</f>
        <v>0</v>
      </c>
      <c r="I94" s="20">
        <f>IF(H94="","",IF(OR(coder2_NY_MT!K94="", coder1_YH!Q93 = ""),0,1))</f>
        <v>1</v>
      </c>
      <c r="J94" s="20">
        <f>IF(coder1_YH!R93="","",IF(coder1_YH!R93=coder2_NY_MT!L94,1,0))</f>
        <v>1</v>
      </c>
      <c r="K94" s="20">
        <f>IF(coder1_YH!S93="","",IF(coder1_YH!S93=coder2_NY_MT!M94,1,0))</f>
        <v>1</v>
      </c>
      <c r="L94" s="20">
        <f>IF(coder1_YH!T93="","",IF(coder1_YH!T93=coder2_NY_MT!N94,1,0))</f>
        <v>1</v>
      </c>
      <c r="M94" s="20">
        <f>IF(coder1_YH!U93="","",IF(coder1_YH!U93=coder2_NY_MT!O94,1,0))</f>
        <v>1</v>
      </c>
      <c r="N94" s="20">
        <f>IF(coder1_YH!V93="","",IF(coder1_YH!V93=coder2_NY_MT!P94,1,0))</f>
        <v>1</v>
      </c>
      <c r="O94" s="20">
        <f>IF(coder1_YH!W93="","",IF(coder1_YH!W93=coder2_NY_MT!Q94,1,0))</f>
        <v>1</v>
      </c>
      <c r="P94" s="20">
        <f>IF(coder1_YH!X93="","",IF(coder1_YH!X93=coder2_NY_MT!R94,1,0))</f>
        <v>1</v>
      </c>
      <c r="Q94" s="20">
        <f>IF(coder1_YH!Y93="","",IF(coder1_YH!Y93=coder2_NY_MT!S94,1,0))</f>
        <v>1</v>
      </c>
      <c r="R94" s="20">
        <f>IF(coder1_YH!Z93="","",IF(coder1_YH!Z93=coder2_NY_MT!T94,1,0))</f>
        <v>1</v>
      </c>
      <c r="S94" s="20">
        <f>IF(R94="","",IF(OR(coder2_NY_MT!U94="", coder1_YH!AA93 = ""),0,1))</f>
        <v>1</v>
      </c>
      <c r="T94" s="20">
        <f>IF(coder1_YH!AB93="","",IF(coder1_YH!AB93=coder2_NY_MT!V94,1,0))</f>
        <v>1</v>
      </c>
      <c r="U94" s="20">
        <f>IF(coder1_YH!AC93="","",IF(coder1_YH!AC93=coder2_NY_MT!W94,1,0))</f>
        <v>1</v>
      </c>
      <c r="V94" s="20">
        <f>IF(coder1_YH!AD93="","",IF(coder1_YH!AD93=coder2_NY_MT!X94,1,0))</f>
        <v>1</v>
      </c>
      <c r="W94" s="20">
        <f>IF(coder1_YH!AE93="","",IF(coder1_YH!AE93=coder2_NY_MT!Y94,1,0))</f>
        <v>1</v>
      </c>
      <c r="X94" s="20">
        <f>IF(coder1_YH!AF93="","",IF(coder1_YH!AF93=coder2_NY_MT!Z94,1,0))</f>
        <v>1</v>
      </c>
      <c r="Y94" s="20">
        <f>IF(coder1_YH!AG93="","",IF(coder1_YH!AG93=coder2_NY_MT!AA94,1,0))</f>
        <v>1</v>
      </c>
      <c r="Z94" s="20">
        <f>IF(coder1_YH!AH93="","",IF(coder1_YH!AH93=coder2_NY_MT!AB94,1,0))</f>
        <v>1</v>
      </c>
      <c r="AA94" s="20">
        <f>IF(coder1_YH!AI93="","",IF(coder1_YH!AI93=coder2_NY_MT!AC94,1,0))</f>
        <v>1</v>
      </c>
      <c r="AB94" s="20">
        <f>IF(OR(coder2_NY_MT!AD93="", coder1_YH!AJ93 = ""),0,1)</f>
        <v>1</v>
      </c>
      <c r="AC94" s="20">
        <f>IF(coder1_YH!AK93="","",IF(coder1_YH!AK93=coder2_NY_MT!AE94,1,0))</f>
        <v>1</v>
      </c>
      <c r="AD94" s="20">
        <f>IF(OR(coder2_NY_MT!AF93="", coder1_YH!AL93 = ""),0,1)</f>
        <v>0</v>
      </c>
      <c r="AF94" s="20">
        <f>IF(coder1_YH!AN93="","",IF(coder1_YH!AN93=coder2_NY_MT!AH94,1,0))</f>
        <v>1</v>
      </c>
      <c r="AG94" s="20">
        <f>IF(coder1_YH!AO93="","",IF(coder1_YH!AO93=coder2_NY_MT!AI94,1,0))</f>
        <v>1</v>
      </c>
      <c r="AH94" s="20">
        <f>IF(coder1_YH!AP93="","",IF(coder1_YH!AP93=coder2_NY_MT!AJ94,1,0))</f>
        <v>1</v>
      </c>
      <c r="AI94" s="20">
        <f>IF(coder1_YH!AQ93="","",IF(coder1_YH!AQ93=coder2_NY_MT!AK94,1,0))</f>
        <v>1</v>
      </c>
      <c r="AJ94" s="20">
        <f>IF(coder1_YH!AR93="","",IF(coder1_YH!AR93=coder2_NY_MT!AL94,1,0))</f>
        <v>1</v>
      </c>
      <c r="AK94" s="20">
        <f>IF(coder1_YH!AS93="","",IF(coder1_YH!AS93=coder2_NY_MT!AM94,1,0))</f>
        <v>1</v>
      </c>
      <c r="AL94" s="20" t="str">
        <f>IF(coder1_YH!AZ93="","",IF(coder1_YH!AZ93=coder2_NY_MT!AT94,1,0))</f>
        <v/>
      </c>
      <c r="AM94" s="20" t="e">
        <f>IF(coder1_YH!BA93="","",IF(coder1_YH!BA93=coder2_NY_MT!#REF!,1,0))</f>
        <v>#REF!</v>
      </c>
      <c r="AN94" s="2"/>
    </row>
    <row r="95" spans="1:40" s="20" customFormat="1" ht="17" hidden="1" customHeight="1" x14ac:dyDescent="0.2">
      <c r="A95" s="20" t="str">
        <f>IF(coder1_YH!G94="","",IF(coder1_YH!G94=coder2_NY_MT!A95,1,0))</f>
        <v/>
      </c>
      <c r="B95" s="20" t="str">
        <f>IF(coder1_YH!H94="","",IF(RIGHT(coder1_YH!H94,2)=RIGHT(coder2_NY_MT!B95,2),1,0))</f>
        <v/>
      </c>
      <c r="C95" s="20" t="str">
        <f>IF(coder1_YH!I94="","",IF(coder1_YH!I94=coder2_NY_MT!C95,1,0))</f>
        <v/>
      </c>
      <c r="E95" s="20" t="str">
        <f>IF(coder1_YH!K94="","",IF(coder1_YH!K94=coder2_NY_MT!E95,1,0))</f>
        <v/>
      </c>
      <c r="F95" s="20" t="str">
        <f>IF(coder1_YH!L94="","",IF(coder1_YH!L94=coder2_NY_MT!F95,1,0))</f>
        <v/>
      </c>
      <c r="G95" s="20" t="str">
        <f>IF(coder1_YH!M94="","",IF(coder1_YH!M94=coder2_NY_MT!G95,1,0))</f>
        <v/>
      </c>
      <c r="H95" s="20" t="str">
        <f>IF(coder1_YH!P94="","",IF(RIGHT(coder1_YH!P94,3)=RIGHT(coder2_NY_MT!J95,3),1,0))</f>
        <v/>
      </c>
      <c r="I95" s="20" t="str">
        <f>IF(H95="","",IF(OR(coder2_NY_MT!K95="", coder1_YH!Q94 = ""),0,1))</f>
        <v/>
      </c>
      <c r="J95" s="20" t="str">
        <f>IF(coder1_YH!R94="","",IF(coder1_YH!R94=coder2_NY_MT!L95,1,0))</f>
        <v/>
      </c>
      <c r="K95" s="20" t="str">
        <f>IF(coder1_YH!S94="","",IF(coder1_YH!S94=coder2_NY_MT!M95,1,0))</f>
        <v/>
      </c>
      <c r="L95" s="20" t="str">
        <f>IF(coder1_YH!T94="","",IF(coder1_YH!T94=coder2_NY_MT!N95,1,0))</f>
        <v/>
      </c>
      <c r="M95" s="20" t="str">
        <f>IF(coder1_YH!U94="","",IF(coder1_YH!U94=coder2_NY_MT!O95,1,0))</f>
        <v/>
      </c>
      <c r="N95" s="20" t="str">
        <f>IF(coder1_YH!V94="","",IF(coder1_YH!V94=coder2_NY_MT!P95,1,0))</f>
        <v/>
      </c>
      <c r="O95" s="20" t="str">
        <f>IF(coder1_YH!W94="","",IF(coder1_YH!W94=coder2_NY_MT!Q95,1,0))</f>
        <v/>
      </c>
      <c r="P95" s="20" t="str">
        <f>IF(coder1_YH!X94="","",IF(coder1_YH!X94=coder2_NY_MT!R95,1,0))</f>
        <v/>
      </c>
      <c r="Q95" s="20" t="str">
        <f>IF(coder1_YH!Y94="","",IF(coder1_YH!Y94=coder2_NY_MT!S95,1,0))</f>
        <v/>
      </c>
      <c r="R95" s="20" t="str">
        <f>IF(coder1_YH!Z94="","",IF(coder1_YH!Z94=coder2_NY_MT!T95,1,0))</f>
        <v/>
      </c>
      <c r="S95" s="20" t="str">
        <f>IF(R95="","",IF(OR(coder2_NY_MT!U95="", coder1_YH!AA94 = ""),0,1))</f>
        <v/>
      </c>
      <c r="T95" s="20" t="str">
        <f>IF(coder1_YH!AB94="","",IF(coder1_YH!AB94=coder2_NY_MT!V95,1,0))</f>
        <v/>
      </c>
      <c r="U95" s="20" t="str">
        <f>IF(coder1_YH!AC94="","",IF(coder1_YH!AC94=coder2_NY_MT!W95,1,0))</f>
        <v/>
      </c>
      <c r="V95" s="20" t="str">
        <f>IF(coder1_YH!AD94="","",IF(coder1_YH!AD94=coder2_NY_MT!X95,1,0))</f>
        <v/>
      </c>
      <c r="W95" s="20" t="str">
        <f>IF(coder1_YH!AE94="","",IF(coder1_YH!AE94=coder2_NY_MT!Y95,1,0))</f>
        <v/>
      </c>
      <c r="X95" s="20" t="str">
        <f>IF(coder1_YH!AF94="","",IF(coder1_YH!AF94=coder2_NY_MT!Z95,1,0))</f>
        <v/>
      </c>
      <c r="Y95" s="20" t="str">
        <f>IF(coder1_YH!AG94="","",IF(coder1_YH!AG94=coder2_NY_MT!AA95,1,0))</f>
        <v/>
      </c>
      <c r="Z95" s="20" t="str">
        <f>IF(coder1_YH!AH94="","",IF(coder1_YH!AH94=coder2_NY_MT!AB95,1,0))</f>
        <v/>
      </c>
      <c r="AA95" s="20" t="str">
        <f>IF(coder1_YH!AI94="","",IF(coder1_YH!AI94=coder2_NY_MT!AC95,1,0))</f>
        <v/>
      </c>
      <c r="AB95" s="20">
        <f>IF(OR(coder2_NY_MT!AD94="", coder1_YH!AJ94 = ""),0,1)</f>
        <v>1</v>
      </c>
      <c r="AC95" s="20">
        <f>IF(coder1_YH!AK94="","",IF(coder1_YH!AK94=coder2_NY_MT!AE95,1,0))</f>
        <v>1</v>
      </c>
      <c r="AD95" s="20">
        <f>IF(OR(coder2_NY_MT!AF94="", coder1_YH!AL94 = ""),0,1)</f>
        <v>1</v>
      </c>
      <c r="AF95" s="20">
        <f>IF(coder1_YH!AN94="","",IF(coder1_YH!AN94=coder2_NY_MT!AH95,1,0))</f>
        <v>1</v>
      </c>
      <c r="AG95" s="20">
        <f>IF(coder1_YH!AO94="","",IF(coder1_YH!AO94=coder2_NY_MT!AI95,1,0))</f>
        <v>1</v>
      </c>
      <c r="AH95" s="20">
        <f>IF(coder1_YH!AP94="","",IF(coder1_YH!AP94=coder2_NY_MT!AJ95,1,0))</f>
        <v>1</v>
      </c>
      <c r="AI95" s="20">
        <f>IF(coder1_YH!AQ94="","",IF(coder1_YH!AQ94=coder2_NY_MT!AK95,1,0))</f>
        <v>1</v>
      </c>
      <c r="AJ95" s="20">
        <f>IF(coder1_YH!AR94="","",IF(coder1_YH!AR94=coder2_NY_MT!AL95,1,0))</f>
        <v>1</v>
      </c>
      <c r="AK95" s="20">
        <f>IF(coder1_YH!AS94="","",IF(coder1_YH!AS94=coder2_NY_MT!AM95,1,0))</f>
        <v>1</v>
      </c>
      <c r="AL95" s="20" t="str">
        <f>IF(coder1_YH!AZ94="","",IF(coder1_YH!AZ94=coder2_NY_MT!AT95,1,0))</f>
        <v/>
      </c>
      <c r="AM95" s="20" t="e">
        <f>IF(coder1_YH!BA94="","",IF(coder1_YH!BA94=coder2_NY_MT!#REF!,1,0))</f>
        <v>#REF!</v>
      </c>
      <c r="AN95" s="2"/>
    </row>
    <row r="96" spans="1:40" s="20" customFormat="1" ht="17" hidden="1" customHeight="1" x14ac:dyDescent="0.2">
      <c r="A96" s="20" t="str">
        <f>IF(coder1_YH!G95="","",IF(coder1_YH!G95=coder2_NY_MT!A96,1,0))</f>
        <v/>
      </c>
      <c r="B96" s="20" t="str">
        <f>IF(coder1_YH!H95="","",IF(RIGHT(coder1_YH!H95,2)=RIGHT(coder2_NY_MT!B96,2),1,0))</f>
        <v/>
      </c>
      <c r="C96" s="20" t="str">
        <f>IF(coder1_YH!I95="","",IF(coder1_YH!I95=coder2_NY_MT!C96,1,0))</f>
        <v/>
      </c>
      <c r="E96" s="20" t="str">
        <f>IF(coder1_YH!K95="","",IF(coder1_YH!K95=coder2_NY_MT!E96,1,0))</f>
        <v/>
      </c>
      <c r="F96" s="20" t="str">
        <f>IF(coder1_YH!L95="","",IF(coder1_YH!L95=coder2_NY_MT!F96,1,0))</f>
        <v/>
      </c>
      <c r="G96" s="20" t="str">
        <f>IF(coder1_YH!M95="","",IF(coder1_YH!M95=coder2_NY_MT!G96,1,0))</f>
        <v/>
      </c>
      <c r="H96" s="20">
        <f>IF(coder1_YH!P95="","",IF(RIGHT(coder1_YH!P95,3)=RIGHT(coder2_NY_MT!J96,3),1,0))</f>
        <v>0</v>
      </c>
      <c r="I96" s="20">
        <f>IF(H96="","",IF(OR(coder2_NY_MT!K96="", coder1_YH!Q95 = ""),0,1))</f>
        <v>1</v>
      </c>
      <c r="J96" s="20">
        <f>IF(coder1_YH!R95="","",IF(coder1_YH!R95=coder2_NY_MT!L96,1,0))</f>
        <v>1</v>
      </c>
      <c r="K96" s="20">
        <f>IF(coder1_YH!S95="","",IF(coder1_YH!S95=coder2_NY_MT!M96,1,0))</f>
        <v>1</v>
      </c>
      <c r="L96" s="20">
        <f>IF(coder1_YH!T95="","",IF(coder1_YH!T95=coder2_NY_MT!N96,1,0))</f>
        <v>1</v>
      </c>
      <c r="M96" s="20">
        <f>IF(coder1_YH!U95="","",IF(coder1_YH!U95=coder2_NY_MT!O96,1,0))</f>
        <v>1</v>
      </c>
      <c r="N96" s="20">
        <f>IF(coder1_YH!V95="","",IF(coder1_YH!V95=coder2_NY_MT!P96,1,0))</f>
        <v>1</v>
      </c>
      <c r="O96" s="20">
        <f>IF(coder1_YH!W95="","",IF(coder1_YH!W95=coder2_NY_MT!Q96,1,0))</f>
        <v>1</v>
      </c>
      <c r="P96" s="20">
        <f>IF(coder1_YH!X95="","",IF(coder1_YH!X95=coder2_NY_MT!R96,1,0))</f>
        <v>1</v>
      </c>
      <c r="Q96" s="20">
        <f>IF(coder1_YH!Y95="","",IF(coder1_YH!Y95=coder2_NY_MT!S96,1,0))</f>
        <v>1</v>
      </c>
      <c r="R96" s="20">
        <f>IF(coder1_YH!Z95="","",IF(coder1_YH!Z95=coder2_NY_MT!T96,1,0))</f>
        <v>1</v>
      </c>
      <c r="S96" s="20">
        <f>IF(R96="","",IF(OR(coder2_NY_MT!U96="", coder1_YH!AA95 = ""),0,1))</f>
        <v>1</v>
      </c>
      <c r="T96" s="20">
        <f>IF(coder1_YH!AB95="","",IF(coder1_YH!AB95=coder2_NY_MT!V96,1,0))</f>
        <v>1</v>
      </c>
      <c r="U96" s="20">
        <f>IF(coder1_YH!AC95="","",IF(coder1_YH!AC95=coder2_NY_MT!W96,1,0))</f>
        <v>1</v>
      </c>
      <c r="V96" s="20">
        <f>IF(coder1_YH!AD95="","",IF(coder1_YH!AD95=coder2_NY_MT!X96,1,0))</f>
        <v>1</v>
      </c>
      <c r="W96" s="20">
        <f>IF(coder1_YH!AE95="","",IF(coder1_YH!AE95=coder2_NY_MT!Y96,1,0))</f>
        <v>1</v>
      </c>
      <c r="X96" s="20">
        <f>IF(coder1_YH!AF95="","",IF(coder1_YH!AF95=coder2_NY_MT!Z96,1,0))</f>
        <v>1</v>
      </c>
      <c r="Y96" s="20">
        <f>IF(coder1_YH!AG95="","",IF(coder1_YH!AG95=coder2_NY_MT!AA96,1,0))</f>
        <v>1</v>
      </c>
      <c r="Z96" s="20">
        <f>IF(coder1_YH!AH95="","",IF(coder1_YH!AH95=coder2_NY_MT!AB96,1,0))</f>
        <v>1</v>
      </c>
      <c r="AA96" s="20">
        <f>IF(coder1_YH!AI95="","",IF(coder1_YH!AI95=coder2_NY_MT!AC96,1,0))</f>
        <v>1</v>
      </c>
      <c r="AB96" s="20">
        <f>IF(OR(coder2_NY_MT!AD95="", coder1_YH!AJ95 = ""),0,1)</f>
        <v>1</v>
      </c>
      <c r="AC96" s="20">
        <f>IF(coder1_YH!AK95="","",IF(coder1_YH!AK95=coder2_NY_MT!AE96,1,0))</f>
        <v>1</v>
      </c>
      <c r="AD96" s="20">
        <f>IF(OR(coder2_NY_MT!AF95="", coder1_YH!AL95 = ""),0,1)</f>
        <v>1</v>
      </c>
      <c r="AF96" s="20">
        <f>IF(coder1_YH!AN95="","",IF(coder1_YH!AN95=coder2_NY_MT!AH96,1,0))</f>
        <v>1</v>
      </c>
      <c r="AG96" s="20">
        <f>IF(coder1_YH!AO95="","",IF(coder1_YH!AO95=coder2_NY_MT!AI96,1,0))</f>
        <v>1</v>
      </c>
      <c r="AH96" s="20">
        <f>IF(coder1_YH!AP95="","",IF(coder1_YH!AP95=coder2_NY_MT!AJ96,1,0))</f>
        <v>1</v>
      </c>
      <c r="AI96" s="20">
        <f>IF(coder1_YH!AQ95="","",IF(coder1_YH!AQ95=coder2_NY_MT!AK96,1,0))</f>
        <v>1</v>
      </c>
      <c r="AJ96" s="20">
        <f>IF(coder1_YH!AR95="","",IF(coder1_YH!AR95=coder2_NY_MT!AL96,1,0))</f>
        <v>1</v>
      </c>
      <c r="AK96" s="20">
        <f>IF(coder1_YH!AS95="","",IF(coder1_YH!AS95=coder2_NY_MT!AM96,1,0))</f>
        <v>1</v>
      </c>
      <c r="AL96" s="20" t="str">
        <f>IF(coder1_YH!AZ95="","",IF(coder1_YH!AZ95=coder2_NY_MT!AT96,1,0))</f>
        <v/>
      </c>
      <c r="AM96" s="20" t="e">
        <f>IF(coder1_YH!BA95="","",IF(coder1_YH!BA95=coder2_NY_MT!#REF!,1,0))</f>
        <v>#REF!</v>
      </c>
      <c r="AN96" s="2"/>
    </row>
    <row r="97" spans="1:40" s="20" customFormat="1" ht="17" hidden="1" customHeight="1" x14ac:dyDescent="0.2">
      <c r="A97" s="20" t="str">
        <f>IF(coder1_YH!G96="","",IF(coder1_YH!G96=coder2_NY_MT!A97,1,0))</f>
        <v/>
      </c>
      <c r="B97" s="20" t="str">
        <f>IF(coder1_YH!H96="","",IF(RIGHT(coder1_YH!H96,2)=RIGHT(coder2_NY_MT!B97,2),1,0))</f>
        <v/>
      </c>
      <c r="C97" s="20" t="str">
        <f>IF(coder1_YH!I96="","",IF(coder1_YH!I96=coder2_NY_MT!C97,1,0))</f>
        <v/>
      </c>
      <c r="E97" s="20" t="str">
        <f>IF(coder1_YH!K96="","",IF(coder1_YH!K96=coder2_NY_MT!E97,1,0))</f>
        <v/>
      </c>
      <c r="F97" s="20" t="str">
        <f>IF(coder1_YH!L96="","",IF(coder1_YH!L96=coder2_NY_MT!F97,1,0))</f>
        <v/>
      </c>
      <c r="G97" s="20" t="str">
        <f>IF(coder1_YH!M96="","",IF(coder1_YH!M96=coder2_NY_MT!G97,1,0))</f>
        <v/>
      </c>
      <c r="H97" s="20" t="str">
        <f>IF(coder1_YH!P96="","",IF(RIGHT(coder1_YH!P96,3)=RIGHT(coder2_NY_MT!J97,3),1,0))</f>
        <v/>
      </c>
      <c r="I97" s="20" t="str">
        <f>IF(H97="","",IF(OR(coder2_NY_MT!K97="", coder1_YH!Q96 = ""),0,1))</f>
        <v/>
      </c>
      <c r="J97" s="20" t="str">
        <f>IF(coder1_YH!R96="","",IF(coder1_YH!R96=coder2_NY_MT!L97,1,0))</f>
        <v/>
      </c>
      <c r="K97" s="20" t="str">
        <f>IF(coder1_YH!S96="","",IF(coder1_YH!S96=coder2_NY_MT!M97,1,0))</f>
        <v/>
      </c>
      <c r="L97" s="20" t="str">
        <f>IF(coder1_YH!T96="","",IF(coder1_YH!T96=coder2_NY_MT!N97,1,0))</f>
        <v/>
      </c>
      <c r="M97" s="20" t="str">
        <f>IF(coder1_YH!U96="","",IF(coder1_YH!U96=coder2_NY_MT!O97,1,0))</f>
        <v/>
      </c>
      <c r="N97" s="20" t="str">
        <f>IF(coder1_YH!V96="","",IF(coder1_YH!V96=coder2_NY_MT!P97,1,0))</f>
        <v/>
      </c>
      <c r="O97" s="20" t="str">
        <f>IF(coder1_YH!W96="","",IF(coder1_YH!W96=coder2_NY_MT!Q97,1,0))</f>
        <v/>
      </c>
      <c r="P97" s="20" t="str">
        <f>IF(coder1_YH!X96="","",IF(coder1_YH!X96=coder2_NY_MT!R97,1,0))</f>
        <v/>
      </c>
      <c r="Q97" s="20" t="str">
        <f>IF(coder1_YH!Y96="","",IF(coder1_YH!Y96=coder2_NY_MT!S97,1,0))</f>
        <v/>
      </c>
      <c r="R97" s="20" t="str">
        <f>IF(coder1_YH!Z96="","",IF(coder1_YH!Z96=coder2_NY_MT!T97,1,0))</f>
        <v/>
      </c>
      <c r="S97" s="20" t="str">
        <f>IF(R97="","",IF(OR(coder2_NY_MT!U97="", coder1_YH!AA96 = ""),0,1))</f>
        <v/>
      </c>
      <c r="T97" s="20" t="str">
        <f>IF(coder1_YH!AB96="","",IF(coder1_YH!AB96=coder2_NY_MT!V97,1,0))</f>
        <v/>
      </c>
      <c r="U97" s="20" t="str">
        <f>IF(coder1_YH!AC96="","",IF(coder1_YH!AC96=coder2_NY_MT!W97,1,0))</f>
        <v/>
      </c>
      <c r="V97" s="20" t="str">
        <f>IF(coder1_YH!AD96="","",IF(coder1_YH!AD96=coder2_NY_MT!X97,1,0))</f>
        <v/>
      </c>
      <c r="W97" s="20" t="str">
        <f>IF(coder1_YH!AE96="","",IF(coder1_YH!AE96=coder2_NY_MT!Y97,1,0))</f>
        <v/>
      </c>
      <c r="X97" s="20" t="str">
        <f>IF(coder1_YH!AF96="","",IF(coder1_YH!AF96=coder2_NY_MT!Z97,1,0))</f>
        <v/>
      </c>
      <c r="Y97" s="20" t="str">
        <f>IF(coder1_YH!AG96="","",IF(coder1_YH!AG96=coder2_NY_MT!AA97,1,0))</f>
        <v/>
      </c>
      <c r="Z97" s="20" t="str">
        <f>IF(coder1_YH!AH96="","",IF(coder1_YH!AH96=coder2_NY_MT!AB97,1,0))</f>
        <v/>
      </c>
      <c r="AA97" s="20" t="str">
        <f>IF(coder1_YH!AI96="","",IF(coder1_YH!AI96=coder2_NY_MT!AC97,1,0))</f>
        <v/>
      </c>
      <c r="AB97" s="20">
        <f>IF(OR(coder2_NY_MT!AD96="", coder1_YH!AJ96 = ""),0,1)</f>
        <v>1</v>
      </c>
      <c r="AC97" s="20">
        <f>IF(coder1_YH!AK96="","",IF(coder1_YH!AK96=coder2_NY_MT!AE97,1,0))</f>
        <v>1</v>
      </c>
      <c r="AD97" s="20">
        <f>IF(OR(coder2_NY_MT!AF96="", coder1_YH!AL96 = ""),0,1)</f>
        <v>0</v>
      </c>
      <c r="AF97" s="20">
        <f>IF(coder1_YH!AN96="","",IF(coder1_YH!AN96=coder2_NY_MT!AH97,1,0))</f>
        <v>1</v>
      </c>
      <c r="AG97" s="20">
        <f>IF(coder1_YH!AO96="","",IF(coder1_YH!AO96=coder2_NY_MT!AI97,1,0))</f>
        <v>0</v>
      </c>
      <c r="AH97" s="20">
        <f>IF(coder1_YH!AP96="","",IF(coder1_YH!AP96=coder2_NY_MT!AJ97,1,0))</f>
        <v>1</v>
      </c>
      <c r="AI97" s="20">
        <f>IF(coder1_YH!AQ96="","",IF(coder1_YH!AQ96=coder2_NY_MT!AK97,1,0))</f>
        <v>1</v>
      </c>
      <c r="AJ97" s="20">
        <f>IF(coder1_YH!AR96="","",IF(coder1_YH!AR96=coder2_NY_MT!AL97,1,0))</f>
        <v>1</v>
      </c>
      <c r="AK97" s="20">
        <f>IF(coder1_YH!AS96="","",IF(coder1_YH!AS96=coder2_NY_MT!AM97,1,0))</f>
        <v>1</v>
      </c>
      <c r="AL97" s="20" t="str">
        <f>IF(coder1_YH!AZ96="","",IF(coder1_YH!AZ96=coder2_NY_MT!AT97,1,0))</f>
        <v/>
      </c>
      <c r="AM97" s="20" t="e">
        <f>IF(coder1_YH!BA96="","",IF(coder1_YH!BA96=coder2_NY_MT!#REF!,1,0))</f>
        <v>#REF!</v>
      </c>
      <c r="AN97" s="2"/>
    </row>
    <row r="98" spans="1:40" s="20" customFormat="1" ht="17" hidden="1" customHeight="1" x14ac:dyDescent="0.2">
      <c r="A98" s="20">
        <f>IF(coder1_YH!G97="","",IF(coder1_YH!G97=coder2_NY_MT!A98,1,0))</f>
        <v>1</v>
      </c>
      <c r="B98" s="20">
        <f>IF(coder1_YH!H97="","",IF(RIGHT(coder1_YH!H97,2)=RIGHT(coder2_NY_MT!B98,2),1,0))</f>
        <v>1</v>
      </c>
      <c r="C98" s="20">
        <f>IF(coder1_YH!I97="","",IF(coder1_YH!I97=coder2_NY_MT!C98,1,0))</f>
        <v>0</v>
      </c>
      <c r="E98" s="20">
        <f>IF(coder1_YH!K97="","",IF(coder1_YH!K97=coder2_NY_MT!E98,1,0))</f>
        <v>1</v>
      </c>
      <c r="F98" s="20">
        <f>IF(coder1_YH!L97="","",IF(coder1_YH!L97=coder2_NY_MT!F98,1,0))</f>
        <v>1</v>
      </c>
      <c r="G98" s="20">
        <f>IF(coder1_YH!M97="","",IF(coder1_YH!M97=coder2_NY_MT!G98,1,0))</f>
        <v>1</v>
      </c>
      <c r="H98" s="20">
        <f>IF(coder1_YH!P97="","",IF(RIGHT(coder1_YH!P97,3)=RIGHT(coder2_NY_MT!J98,3),1,0))</f>
        <v>0</v>
      </c>
      <c r="I98" s="20">
        <f>IF(H98="","",IF(OR(coder2_NY_MT!K98="", coder1_YH!Q97 = ""),0,1))</f>
        <v>1</v>
      </c>
      <c r="J98" s="20">
        <f>IF(coder1_YH!R97="","",IF(coder1_YH!R97=coder2_NY_MT!L98,1,0))</f>
        <v>1</v>
      </c>
      <c r="K98" s="20">
        <f>IF(coder1_YH!S97="","",IF(coder1_YH!S97=coder2_NY_MT!M98,1,0))</f>
        <v>1</v>
      </c>
      <c r="L98" s="20">
        <f>IF(coder1_YH!T97="","",IF(coder1_YH!T97=coder2_NY_MT!N98,1,0))</f>
        <v>0</v>
      </c>
      <c r="M98" s="20">
        <f>IF(coder1_YH!U97="","",IF(coder1_YH!U97=coder2_NY_MT!O98,1,0))</f>
        <v>1</v>
      </c>
      <c r="N98" s="20">
        <f>IF(coder1_YH!V97="","",IF(coder1_YH!V97=coder2_NY_MT!P98,1,0))</f>
        <v>1</v>
      </c>
      <c r="O98" s="20">
        <f>IF(coder1_YH!W97="","",IF(coder1_YH!W97=coder2_NY_MT!Q98,1,0))</f>
        <v>1</v>
      </c>
      <c r="P98" s="20">
        <f>IF(coder1_YH!X97="","",IF(coder1_YH!X97=coder2_NY_MT!R98,1,0))</f>
        <v>1</v>
      </c>
      <c r="Q98" s="20">
        <f>IF(coder1_YH!Y97="","",IF(coder1_YH!Y97=coder2_NY_MT!S98,1,0))</f>
        <v>1</v>
      </c>
      <c r="R98" s="20">
        <f>IF(coder1_YH!Z97="","",IF(coder1_YH!Z97=coder2_NY_MT!T98,1,0))</f>
        <v>1</v>
      </c>
      <c r="S98" s="20">
        <f>IF(R98="","",IF(OR(coder2_NY_MT!U98="", coder1_YH!AA97 = ""),0,1))</f>
        <v>1</v>
      </c>
      <c r="T98" s="20">
        <f>IF(coder1_YH!AB97="","",IF(coder1_YH!AB97=coder2_NY_MT!V98,1,0))</f>
        <v>1</v>
      </c>
      <c r="U98" s="20">
        <f>IF(coder1_YH!AC97="","",IF(coder1_YH!AC97=coder2_NY_MT!W98,1,0))</f>
        <v>1</v>
      </c>
      <c r="V98" s="20">
        <f>IF(coder1_YH!AD97="","",IF(coder1_YH!AD97=coder2_NY_MT!X98,1,0))</f>
        <v>1</v>
      </c>
      <c r="W98" s="20">
        <f>IF(coder1_YH!AE97="","",IF(coder1_YH!AE97=coder2_NY_MT!Y98,1,0))</f>
        <v>1</v>
      </c>
      <c r="X98" s="20">
        <f>IF(coder1_YH!AF97="","",IF(coder1_YH!AF97=coder2_NY_MT!Z98,1,0))</f>
        <v>1</v>
      </c>
      <c r="Y98" s="20">
        <f>IF(coder1_YH!AG97="","",IF(coder1_YH!AG97=coder2_NY_MT!AA98,1,0))</f>
        <v>1</v>
      </c>
      <c r="Z98" s="20">
        <f>IF(coder1_YH!AH97="","",IF(coder1_YH!AH97=coder2_NY_MT!AB98,1,0))</f>
        <v>1</v>
      </c>
      <c r="AA98" s="20">
        <f>IF(coder1_YH!AI97="","",IF(coder1_YH!AI97=coder2_NY_MT!AC98,1,0))</f>
        <v>1</v>
      </c>
      <c r="AB98" s="20">
        <f>IF(OR(coder2_NY_MT!AD97="", coder1_YH!AJ97 = ""),0,1)</f>
        <v>1</v>
      </c>
      <c r="AC98" s="20">
        <f>IF(coder1_YH!AK97="","",IF(coder1_YH!AK97=coder2_NY_MT!AE98,1,0))</f>
        <v>1</v>
      </c>
      <c r="AD98" s="20">
        <f>IF(OR(coder2_NY_MT!AF97="", coder1_YH!AL97 = ""),0,1)</f>
        <v>0</v>
      </c>
      <c r="AF98" s="20">
        <f>IF(coder1_YH!AN97="","",IF(coder1_YH!AN97=coder2_NY_MT!AH98,1,0))</f>
        <v>1</v>
      </c>
      <c r="AG98" s="20">
        <f>IF(coder1_YH!AO97="","",IF(coder1_YH!AO97=coder2_NY_MT!AI98,1,0))</f>
        <v>1</v>
      </c>
      <c r="AH98" s="20">
        <f>IF(coder1_YH!AP97="","",IF(coder1_YH!AP97=coder2_NY_MT!AJ98,1,0))</f>
        <v>1</v>
      </c>
      <c r="AI98" s="20">
        <f>IF(coder1_YH!AQ97="","",IF(coder1_YH!AQ97=coder2_NY_MT!AK98,1,0))</f>
        <v>1</v>
      </c>
      <c r="AJ98" s="20">
        <f>IF(coder1_YH!AR97="","",IF(coder1_YH!AR97=coder2_NY_MT!AL98,1,0))</f>
        <v>1</v>
      </c>
      <c r="AK98" s="20">
        <f>IF(coder1_YH!AS97="","",IF(coder1_YH!AS97=coder2_NY_MT!AM98,1,0))</f>
        <v>1</v>
      </c>
      <c r="AL98" s="20" t="str">
        <f>IF(coder1_YH!AZ97="","",IF(coder1_YH!AZ97=coder2_NY_MT!AT98,1,0))</f>
        <v/>
      </c>
      <c r="AM98" s="20" t="e">
        <f>IF(coder1_YH!BA97="","",IF(coder1_YH!BA97=coder2_NY_MT!#REF!,1,0))</f>
        <v>#REF!</v>
      </c>
      <c r="AN98" s="2"/>
    </row>
    <row r="99" spans="1:40" s="20" customFormat="1" ht="17" hidden="1" customHeight="1" x14ac:dyDescent="0.2">
      <c r="A99" s="20" t="str">
        <f>IF(coder1_YH!G98="","",IF(coder1_YH!G98=coder2_NY_MT!A99,1,0))</f>
        <v/>
      </c>
      <c r="B99" s="20" t="str">
        <f>IF(coder1_YH!H98="","",IF(RIGHT(coder1_YH!H98,2)=RIGHT(coder2_NY_MT!B99,2),1,0))</f>
        <v/>
      </c>
      <c r="C99" s="20" t="str">
        <f>IF(coder1_YH!I98="","",IF(coder1_YH!I98=coder2_NY_MT!C99,1,0))</f>
        <v/>
      </c>
      <c r="E99" s="20" t="str">
        <f>IF(coder1_YH!K98="","",IF(coder1_YH!K98=coder2_NY_MT!E99,1,0))</f>
        <v/>
      </c>
      <c r="F99" s="20" t="str">
        <f>IF(coder1_YH!L98="","",IF(coder1_YH!L98=coder2_NY_MT!F99,1,0))</f>
        <v/>
      </c>
      <c r="G99" s="20" t="str">
        <f>IF(coder1_YH!M98="","",IF(coder1_YH!M98=coder2_NY_MT!G99,1,0))</f>
        <v/>
      </c>
      <c r="H99" s="20">
        <f>IF(coder1_YH!P98="","",IF(RIGHT(coder1_YH!P98,3)=RIGHT(coder2_NY_MT!J99,3),1,0))</f>
        <v>0</v>
      </c>
      <c r="I99" s="20">
        <f>IF(H99="","",IF(OR(coder2_NY_MT!K99="", coder1_YH!Q98 = ""),0,1))</f>
        <v>1</v>
      </c>
      <c r="J99" s="20">
        <f>IF(coder1_YH!R98="","",IF(coder1_YH!R98=coder2_NY_MT!L99,1,0))</f>
        <v>1</v>
      </c>
      <c r="K99" s="20">
        <f>IF(coder1_YH!S98="","",IF(coder1_YH!S98=coder2_NY_MT!M99,1,0))</f>
        <v>1</v>
      </c>
      <c r="L99" s="20">
        <f>IF(coder1_YH!T98="","",IF(coder1_YH!T98=coder2_NY_MT!N99,1,0))</f>
        <v>0</v>
      </c>
      <c r="M99" s="20">
        <f>IF(coder1_YH!U98="","",IF(coder1_YH!U98=coder2_NY_MT!O99,1,0))</f>
        <v>1</v>
      </c>
      <c r="N99" s="20">
        <f>IF(coder1_YH!V98="","",IF(coder1_YH!V98=coder2_NY_MT!P99,1,0))</f>
        <v>1</v>
      </c>
      <c r="O99" s="20">
        <f>IF(coder1_YH!W98="","",IF(coder1_YH!W98=coder2_NY_MT!Q99,1,0))</f>
        <v>1</v>
      </c>
      <c r="P99" s="20">
        <f>IF(coder1_YH!X98="","",IF(coder1_YH!X98=coder2_NY_MT!R99,1,0))</f>
        <v>1</v>
      </c>
      <c r="Q99" s="20">
        <f>IF(coder1_YH!Y98="","",IF(coder1_YH!Y98=coder2_NY_MT!S99,1,0))</f>
        <v>1</v>
      </c>
      <c r="R99" s="20">
        <f>IF(coder1_YH!Z98="","",IF(coder1_YH!Z98=coder2_NY_MT!T99,1,0))</f>
        <v>1</v>
      </c>
      <c r="S99" s="20">
        <f>IF(R99="","",IF(OR(coder2_NY_MT!U99="", coder1_YH!AA98 = ""),0,1))</f>
        <v>1</v>
      </c>
      <c r="T99" s="20">
        <f>IF(coder1_YH!AB98="","",IF(coder1_YH!AB98=coder2_NY_MT!V99,1,0))</f>
        <v>1</v>
      </c>
      <c r="U99" s="20">
        <f>IF(coder1_YH!AC98="","",IF(coder1_YH!AC98=coder2_NY_MT!W99,1,0))</f>
        <v>1</v>
      </c>
      <c r="V99" s="20">
        <f>IF(coder1_YH!AD98="","",IF(coder1_YH!AD98=coder2_NY_MT!X99,1,0))</f>
        <v>1</v>
      </c>
      <c r="W99" s="20">
        <f>IF(coder1_YH!AE98="","",IF(coder1_YH!AE98=coder2_NY_MT!Y99,1,0))</f>
        <v>1</v>
      </c>
      <c r="X99" s="20">
        <f>IF(coder1_YH!AF98="","",IF(coder1_YH!AF98=coder2_NY_MT!Z99,1,0))</f>
        <v>1</v>
      </c>
      <c r="Y99" s="20">
        <f>IF(coder1_YH!AG98="","",IF(coder1_YH!AG98=coder2_NY_MT!AA99,1,0))</f>
        <v>1</v>
      </c>
      <c r="Z99" s="20">
        <f>IF(coder1_YH!AH98="","",IF(coder1_YH!AH98=coder2_NY_MT!AB99,1,0))</f>
        <v>1</v>
      </c>
      <c r="AA99" s="20">
        <f>IF(coder1_YH!AI98="","",IF(coder1_YH!AI98=coder2_NY_MT!AC99,1,0))</f>
        <v>1</v>
      </c>
      <c r="AB99" s="20">
        <f>IF(OR(coder2_NY_MT!AD98="", coder1_YH!AJ98 = ""),0,1)</f>
        <v>1</v>
      </c>
      <c r="AC99" s="20">
        <f>IF(coder1_YH!AK98="","",IF(coder1_YH!AK98=coder2_NY_MT!AE99,1,0))</f>
        <v>1</v>
      </c>
      <c r="AD99" s="20">
        <f>IF(OR(coder2_NY_MT!AF98="", coder1_YH!AL98 = ""),0,1)</f>
        <v>1</v>
      </c>
      <c r="AF99" s="20">
        <f>IF(coder1_YH!AN98="","",IF(coder1_YH!AN98=coder2_NY_MT!AH99,1,0))</f>
        <v>1</v>
      </c>
      <c r="AG99" s="20">
        <f>IF(coder1_YH!AO98="","",IF(coder1_YH!AO98=coder2_NY_MT!AI99,1,0))</f>
        <v>1</v>
      </c>
      <c r="AH99" s="20">
        <f>IF(coder1_YH!AP98="","",IF(coder1_YH!AP98=coder2_NY_MT!AJ99,1,0))</f>
        <v>1</v>
      </c>
      <c r="AI99" s="20">
        <f>IF(coder1_YH!AQ98="","",IF(coder1_YH!AQ98=coder2_NY_MT!AK99,1,0))</f>
        <v>1</v>
      </c>
      <c r="AJ99" s="20">
        <f>IF(coder1_YH!AR98="","",IF(coder1_YH!AR98=coder2_NY_MT!AL99,1,0))</f>
        <v>1</v>
      </c>
      <c r="AK99" s="20">
        <f>IF(coder1_YH!AS98="","",IF(coder1_YH!AS98=coder2_NY_MT!AM99,1,0))</f>
        <v>1</v>
      </c>
      <c r="AL99" s="20" t="str">
        <f>IF(coder1_YH!AZ98="","",IF(coder1_YH!AZ98=coder2_NY_MT!AT99,1,0))</f>
        <v/>
      </c>
      <c r="AM99" s="20" t="e">
        <f>IF(coder1_YH!BA98="","",IF(coder1_YH!BA98=coder2_NY_MT!#REF!,1,0))</f>
        <v>#REF!</v>
      </c>
      <c r="AN99" s="2"/>
    </row>
    <row r="100" spans="1:40" s="20" customFormat="1" ht="17" hidden="1" customHeight="1" x14ac:dyDescent="0.2">
      <c r="A100" s="20" t="str">
        <f>IF(coder1_YH!G99="","",IF(coder1_YH!G99=coder2_NY_MT!A100,1,0))</f>
        <v/>
      </c>
      <c r="B100" s="20" t="str">
        <f>IF(coder1_YH!H99="","",IF(RIGHT(coder1_YH!H99,2)=RIGHT(coder2_NY_MT!B100,2),1,0))</f>
        <v/>
      </c>
      <c r="C100" s="20" t="str">
        <f>IF(coder1_YH!I99="","",IF(coder1_YH!I99=coder2_NY_MT!C100,1,0))</f>
        <v/>
      </c>
      <c r="E100" s="20" t="str">
        <f>IF(coder1_YH!K99="","",IF(coder1_YH!K99=coder2_NY_MT!E100,1,0))</f>
        <v/>
      </c>
      <c r="F100" s="20" t="str">
        <f>IF(coder1_YH!L99="","",IF(coder1_YH!L99=coder2_NY_MT!F100,1,0))</f>
        <v/>
      </c>
      <c r="G100" s="20" t="str">
        <f>IF(coder1_YH!M99="","",IF(coder1_YH!M99=coder2_NY_MT!G100,1,0))</f>
        <v/>
      </c>
      <c r="H100" s="20">
        <f>IF(coder1_YH!P99="","",IF(RIGHT(coder1_YH!P99,3)=RIGHT(coder2_NY_MT!J100,3),1,0))</f>
        <v>0</v>
      </c>
      <c r="I100" s="20">
        <f>IF(H100="","",IF(OR(coder2_NY_MT!K100="", coder1_YH!Q99 = ""),0,1))</f>
        <v>1</v>
      </c>
      <c r="J100" s="20">
        <f>IF(coder1_YH!R99="","",IF(coder1_YH!R99=coder2_NY_MT!L100,1,0))</f>
        <v>1</v>
      </c>
      <c r="K100" s="20">
        <f>IF(coder1_YH!S99="","",IF(coder1_YH!S99=coder2_NY_MT!M100,1,0))</f>
        <v>1</v>
      </c>
      <c r="L100" s="20">
        <f>IF(coder1_YH!T99="","",IF(coder1_YH!T99=coder2_NY_MT!N100,1,0))</f>
        <v>0</v>
      </c>
      <c r="M100" s="20">
        <f>IF(coder1_YH!U99="","",IF(coder1_YH!U99=coder2_NY_MT!O100,1,0))</f>
        <v>1</v>
      </c>
      <c r="N100" s="20">
        <f>IF(coder1_YH!V99="","",IF(coder1_YH!V99=coder2_NY_MT!P100,1,0))</f>
        <v>1</v>
      </c>
      <c r="O100" s="20">
        <f>IF(coder1_YH!W99="","",IF(coder1_YH!W99=coder2_NY_MT!Q100,1,0))</f>
        <v>1</v>
      </c>
      <c r="P100" s="20">
        <f>IF(coder1_YH!X99="","",IF(coder1_YH!X99=coder2_NY_MT!R100,1,0))</f>
        <v>1</v>
      </c>
      <c r="Q100" s="20">
        <f>IF(coder1_YH!Y99="","",IF(coder1_YH!Y99=coder2_NY_MT!S100,1,0))</f>
        <v>1</v>
      </c>
      <c r="R100" s="20">
        <f>IF(coder1_YH!Z99="","",IF(coder1_YH!Z99=coder2_NY_MT!T100,1,0))</f>
        <v>1</v>
      </c>
      <c r="S100" s="20">
        <f>IF(R100="","",IF(OR(coder2_NY_MT!U100="", coder1_YH!AA99 = ""),0,1))</f>
        <v>1</v>
      </c>
      <c r="T100" s="20">
        <f>IF(coder1_YH!AB99="","",IF(coder1_YH!AB99=coder2_NY_MT!V100,1,0))</f>
        <v>1</v>
      </c>
      <c r="U100" s="20">
        <f>IF(coder1_YH!AC99="","",IF(coder1_YH!AC99=coder2_NY_MT!W100,1,0))</f>
        <v>1</v>
      </c>
      <c r="V100" s="20">
        <f>IF(coder1_YH!AD99="","",IF(coder1_YH!AD99=coder2_NY_MT!X100,1,0))</f>
        <v>1</v>
      </c>
      <c r="W100" s="20">
        <f>IF(coder1_YH!AE99="","",IF(coder1_YH!AE99=coder2_NY_MT!Y100,1,0))</f>
        <v>1</v>
      </c>
      <c r="X100" s="20">
        <f>IF(coder1_YH!AF99="","",IF(coder1_YH!AF99=coder2_NY_MT!Z100,1,0))</f>
        <v>1</v>
      </c>
      <c r="Y100" s="20">
        <f>IF(coder1_YH!AG99="","",IF(coder1_YH!AG99=coder2_NY_MT!AA100,1,0))</f>
        <v>1</v>
      </c>
      <c r="Z100" s="20">
        <f>IF(coder1_YH!AH99="","",IF(coder1_YH!AH99=coder2_NY_MT!AB100,1,0))</f>
        <v>1</v>
      </c>
      <c r="AA100" s="20">
        <f>IF(coder1_YH!AI99="","",IF(coder1_YH!AI99=coder2_NY_MT!AC100,1,0))</f>
        <v>1</v>
      </c>
      <c r="AB100" s="20">
        <f>IF(OR(coder2_NY_MT!AD99="", coder1_YH!AJ99 = ""),0,1)</f>
        <v>1</v>
      </c>
      <c r="AC100" s="20">
        <f>IF(coder1_YH!AK99="","",IF(coder1_YH!AK99=coder2_NY_MT!AE100,1,0))</f>
        <v>1</v>
      </c>
      <c r="AD100" s="20">
        <f>IF(OR(coder2_NY_MT!AF99="", coder1_YH!AL99 = ""),0,1)</f>
        <v>0</v>
      </c>
      <c r="AF100" s="20">
        <f>IF(coder1_YH!AN99="","",IF(coder1_YH!AN99=coder2_NY_MT!AH100,1,0))</f>
        <v>1</v>
      </c>
      <c r="AG100" s="20">
        <f>IF(coder1_YH!AO99="","",IF(coder1_YH!AO99=coder2_NY_MT!AI100,1,0))</f>
        <v>1</v>
      </c>
      <c r="AH100" s="20">
        <f>IF(coder1_YH!AP99="","",IF(coder1_YH!AP99=coder2_NY_MT!AJ100,1,0))</f>
        <v>1</v>
      </c>
      <c r="AI100" s="20">
        <f>IF(coder1_YH!AQ99="","",IF(coder1_YH!AQ99=coder2_NY_MT!AK100,1,0))</f>
        <v>1</v>
      </c>
      <c r="AJ100" s="20">
        <f>IF(coder1_YH!AR99="","",IF(coder1_YH!AR99=coder2_NY_MT!AL100,1,0))</f>
        <v>1</v>
      </c>
      <c r="AK100" s="20">
        <f>IF(coder1_YH!AS99="","",IF(coder1_YH!AS99=coder2_NY_MT!AM100,1,0))</f>
        <v>1</v>
      </c>
      <c r="AL100" s="20" t="str">
        <f>IF(coder1_YH!AZ99="","",IF(coder1_YH!AZ99=coder2_NY_MT!AT100,1,0))</f>
        <v/>
      </c>
      <c r="AM100" s="20" t="e">
        <f>IF(coder1_YH!BA99="","",IF(coder1_YH!BA99=coder2_NY_MT!#REF!,1,0))</f>
        <v>#REF!</v>
      </c>
      <c r="AN100" s="2"/>
    </row>
    <row r="101" spans="1:40" s="20" customFormat="1" ht="17" hidden="1" customHeight="1" x14ac:dyDescent="0.2">
      <c r="A101" s="20">
        <f>IF(coder1_YH!G100="","",IF(coder1_YH!G100=coder2_NY_MT!A101,1,0))</f>
        <v>1</v>
      </c>
      <c r="B101" s="20">
        <f>IF(coder1_YH!H100="","",IF(RIGHT(coder1_YH!H100,2)=RIGHT(coder2_NY_MT!B101,2),1,0))</f>
        <v>1</v>
      </c>
      <c r="C101" s="20">
        <f>IF(coder1_YH!I100="","",IF(coder1_YH!I100=coder2_NY_MT!C101,1,0))</f>
        <v>1</v>
      </c>
      <c r="E101" s="20">
        <f>IF(coder1_YH!K100="","",IF(coder1_YH!K100=coder2_NY_MT!E101,1,0))</f>
        <v>1</v>
      </c>
      <c r="F101" s="20">
        <f>IF(coder1_YH!L100="","",IF(coder1_YH!L100=coder2_NY_MT!F101,1,0))</f>
        <v>1</v>
      </c>
      <c r="G101" s="20">
        <f>IF(coder1_YH!M100="","",IF(coder1_YH!M100=coder2_NY_MT!G101,1,0))</f>
        <v>1</v>
      </c>
      <c r="H101" s="20">
        <f>IF(coder1_YH!P100="","",IF(RIGHT(coder1_YH!P100,3)=RIGHT(coder2_NY_MT!J101,3),1,0))</f>
        <v>0</v>
      </c>
      <c r="I101" s="20">
        <f>IF(H101="","",IF(OR(coder2_NY_MT!K101="", coder1_YH!Q100 = ""),0,1))</f>
        <v>1</v>
      </c>
      <c r="J101" s="20">
        <f>IF(coder1_YH!R100="","",IF(coder1_YH!R100=coder2_NY_MT!L101,1,0))</f>
        <v>1</v>
      </c>
      <c r="K101" s="20">
        <f>IF(coder1_YH!S100="","",IF(coder1_YH!S100=coder2_NY_MT!M101,1,0))</f>
        <v>1</v>
      </c>
      <c r="L101" s="20">
        <f>IF(coder1_YH!T100="","",IF(coder1_YH!T100=coder2_NY_MT!N101,1,0))</f>
        <v>1</v>
      </c>
      <c r="M101" s="20">
        <f>IF(coder1_YH!U100="","",IF(coder1_YH!U100=coder2_NY_MT!O101,1,0))</f>
        <v>1</v>
      </c>
      <c r="N101" s="20">
        <f>IF(coder1_YH!V100="","",IF(coder1_YH!V100=coder2_NY_MT!P101,1,0))</f>
        <v>1</v>
      </c>
      <c r="O101" s="20">
        <f>IF(coder1_YH!W100="","",IF(coder1_YH!W100=coder2_NY_MT!Q101,1,0))</f>
        <v>1</v>
      </c>
      <c r="P101" s="101">
        <v>1</v>
      </c>
      <c r="Q101" s="20">
        <f>IF(coder1_YH!Y100="","",IF(coder1_YH!Y100=coder2_NY_MT!S101,1,0))</f>
        <v>1</v>
      </c>
      <c r="R101" s="20">
        <f>IF(coder1_YH!Z100="","",IF(coder1_YH!Z100=coder2_NY_MT!T101,1,0))</f>
        <v>1</v>
      </c>
      <c r="S101" s="20">
        <f>IF(R101="","",IF(OR(coder2_NY_MT!U101="", coder1_YH!AA100 = ""),0,1))</f>
        <v>1</v>
      </c>
      <c r="T101" s="20">
        <f>IF(coder1_YH!AB100="","",IF(coder1_YH!AB100=coder2_NY_MT!V101,1,0))</f>
        <v>1</v>
      </c>
      <c r="U101" s="20">
        <f>IF(coder1_YH!AC100="","",IF(coder1_YH!AC100=coder2_NY_MT!W101,1,0))</f>
        <v>1</v>
      </c>
      <c r="V101" s="20">
        <f>IF(coder1_YH!AD100="","",IF(coder1_YH!AD100=coder2_NY_MT!X101,1,0))</f>
        <v>1</v>
      </c>
      <c r="W101" s="20">
        <f>IF(coder1_YH!AE100="","",IF(coder1_YH!AE100=coder2_NY_MT!Y101,1,0))</f>
        <v>1</v>
      </c>
      <c r="X101" s="20">
        <f>IF(coder1_YH!AF100="","",IF(coder1_YH!AF100=coder2_NY_MT!Z101,1,0))</f>
        <v>1</v>
      </c>
      <c r="Y101" s="20">
        <f>IF(coder1_YH!AG100="","",IF(coder1_YH!AG100=coder2_NY_MT!AA101,1,0))</f>
        <v>1</v>
      </c>
      <c r="Z101" s="20">
        <f>IF(coder1_YH!AH100="","",IF(coder1_YH!AH100=coder2_NY_MT!AB101,1,0))</f>
        <v>1</v>
      </c>
      <c r="AA101" s="20">
        <f>IF(coder1_YH!AI100="","",IF(coder1_YH!AI100=coder2_NY_MT!AC101,1,0))</f>
        <v>1</v>
      </c>
      <c r="AB101" s="20">
        <f>IF(OR(coder2_NY_MT!AD100="", coder1_YH!AJ100 = ""),0,1)</f>
        <v>1</v>
      </c>
      <c r="AC101" s="20">
        <f>IF(coder1_YH!AK100="","",IF(coder1_YH!AK100=coder2_NY_MT!AE101,1,0))</f>
        <v>1</v>
      </c>
      <c r="AD101" s="20">
        <f>IF(OR(coder2_NY_MT!AF100="", coder1_YH!AL100 = ""),0,1)</f>
        <v>0</v>
      </c>
      <c r="AF101" s="20">
        <f>IF(coder1_YH!AN100="","",IF(coder1_YH!AN100=coder2_NY_MT!AH101,1,0))</f>
        <v>1</v>
      </c>
      <c r="AG101" s="20">
        <f>IF(coder1_YH!AO100="","",IF(coder1_YH!AO100=coder2_NY_MT!AI101,1,0))</f>
        <v>1</v>
      </c>
      <c r="AH101" s="20">
        <f>IF(coder1_YH!AP100="","",IF(coder1_YH!AP100=coder2_NY_MT!AJ101,1,0))</f>
        <v>1</v>
      </c>
      <c r="AI101" s="20">
        <f>IF(coder1_YH!AQ100="","",IF(coder1_YH!AQ100=coder2_NY_MT!AK101,1,0))</f>
        <v>1</v>
      </c>
      <c r="AJ101" s="20">
        <f>IF(coder1_YH!AR100="","",IF(coder1_YH!AR100=coder2_NY_MT!AL101,1,0))</f>
        <v>1</v>
      </c>
      <c r="AK101" s="20">
        <f>IF(coder1_YH!AS100="","",IF(coder1_YH!AS100=coder2_NY_MT!AM101,1,0))</f>
        <v>1</v>
      </c>
      <c r="AL101" s="20" t="str">
        <f>IF(coder1_YH!AZ100="","",IF(coder1_YH!AZ100=coder2_NY_MT!AT101,1,0))</f>
        <v/>
      </c>
      <c r="AM101" s="20" t="e">
        <f>IF(coder1_YH!BA100="","",IF(coder1_YH!BA100=coder2_NY_MT!#REF!,1,0))</f>
        <v>#REF!</v>
      </c>
      <c r="AN101" s="2"/>
    </row>
    <row r="102" spans="1:40" s="20" customFormat="1" ht="17" hidden="1" customHeight="1" x14ac:dyDescent="0.2">
      <c r="A102" s="20" t="str">
        <f>IF(coder1_YH!G101="","",IF(coder1_YH!G101=coder2_NY_MT!A102,1,0))</f>
        <v/>
      </c>
      <c r="B102" s="20" t="str">
        <f>IF(coder1_YH!H101="","",IF(RIGHT(coder1_YH!H101,2)=RIGHT(coder2_NY_MT!B102,2),1,0))</f>
        <v/>
      </c>
      <c r="C102" s="20" t="str">
        <f>IF(coder1_YH!I101="","",IF(coder1_YH!I101=coder2_NY_MT!C102,1,0))</f>
        <v/>
      </c>
      <c r="E102" s="20" t="str">
        <f>IF(coder1_YH!K101="","",IF(coder1_YH!K101=coder2_NY_MT!E102,1,0))</f>
        <v/>
      </c>
      <c r="F102" s="20" t="str">
        <f>IF(coder1_YH!L101="","",IF(coder1_YH!L101=coder2_NY_MT!F102,1,0))</f>
        <v/>
      </c>
      <c r="G102" s="20" t="str">
        <f>IF(coder1_YH!M101="","",IF(coder1_YH!M101=coder2_NY_MT!G102,1,0))</f>
        <v/>
      </c>
      <c r="H102" s="20">
        <f>IF(coder1_YH!P101="","",IF(RIGHT(coder1_YH!P101,3)=RIGHT(coder2_NY_MT!J102,3),1,0))</f>
        <v>0</v>
      </c>
      <c r="I102" s="20">
        <f>IF(H102="","",IF(OR(coder2_NY_MT!K102="", coder1_YH!Q101 = ""),0,1))</f>
        <v>1</v>
      </c>
      <c r="J102" s="20">
        <f>IF(coder1_YH!R101="","",IF(coder1_YH!R101=coder2_NY_MT!L102,1,0))</f>
        <v>1</v>
      </c>
      <c r="K102" s="20">
        <f>IF(coder1_YH!S101="","",IF(coder1_YH!S101=coder2_NY_MT!M102,1,0))</f>
        <v>1</v>
      </c>
      <c r="L102" s="20">
        <f>IF(coder1_YH!T101="","",IF(coder1_YH!T101=coder2_NY_MT!N102,1,0))</f>
        <v>1</v>
      </c>
      <c r="M102" s="20">
        <f>IF(coder1_YH!U101="","",IF(coder1_YH!U101=coder2_NY_MT!O102,1,0))</f>
        <v>1</v>
      </c>
      <c r="N102" s="20">
        <f>IF(coder1_YH!V101="","",IF(coder1_YH!V101=coder2_NY_MT!P102,1,0))</f>
        <v>1</v>
      </c>
      <c r="O102" s="20">
        <f>IF(coder1_YH!W101="","",IF(coder1_YH!W101=coder2_NY_MT!Q102,1,0))</f>
        <v>1</v>
      </c>
      <c r="P102" s="101">
        <v>1</v>
      </c>
      <c r="Q102" s="20">
        <f>IF(coder1_YH!Y101="","",IF(coder1_YH!Y101=coder2_NY_MT!S102,1,0))</f>
        <v>1</v>
      </c>
      <c r="R102" s="20">
        <f>IF(coder1_YH!Z101="","",IF(coder1_YH!Z101=coder2_NY_MT!T102,1,0))</f>
        <v>1</v>
      </c>
      <c r="S102" s="20">
        <f>IF(R102="","",IF(OR(coder2_NY_MT!U102="", coder1_YH!AA101 = ""),0,1))</f>
        <v>1</v>
      </c>
      <c r="T102" s="20">
        <f>IF(coder1_YH!AB101="","",IF(coder1_YH!AB101=coder2_NY_MT!V102,1,0))</f>
        <v>1</v>
      </c>
      <c r="U102" s="20">
        <f>IF(coder1_YH!AC101="","",IF(coder1_YH!AC101=coder2_NY_MT!W102,1,0))</f>
        <v>1</v>
      </c>
      <c r="V102" s="20">
        <f>IF(coder1_YH!AD101="","",IF(coder1_YH!AD101=coder2_NY_MT!X102,1,0))</f>
        <v>1</v>
      </c>
      <c r="W102" s="20">
        <f>IF(coder1_YH!AE101="","",IF(coder1_YH!AE101=coder2_NY_MT!Y102,1,0))</f>
        <v>1</v>
      </c>
      <c r="X102" s="20">
        <f>IF(coder1_YH!AF101="","",IF(coder1_YH!AF101=coder2_NY_MT!Z102,1,0))</f>
        <v>1</v>
      </c>
      <c r="Y102" s="20">
        <f>IF(coder1_YH!AG101="","",IF(coder1_YH!AG101=coder2_NY_MT!AA102,1,0))</f>
        <v>1</v>
      </c>
      <c r="Z102" s="20">
        <f>IF(coder1_YH!AH101="","",IF(coder1_YH!AH101=coder2_NY_MT!AB102,1,0))</f>
        <v>1</v>
      </c>
      <c r="AA102" s="20">
        <f>IF(coder1_YH!AI101="","",IF(coder1_YH!AI101=coder2_NY_MT!AC102,1,0))</f>
        <v>1</v>
      </c>
      <c r="AB102" s="20">
        <f>IF(OR(coder2_NY_MT!AD101="", coder1_YH!AJ101 = ""),0,1)</f>
        <v>1</v>
      </c>
      <c r="AC102" s="20">
        <f>IF(coder1_YH!AK101="","",IF(coder1_YH!AK101=coder2_NY_MT!AE102,1,0))</f>
        <v>1</v>
      </c>
      <c r="AD102" s="20">
        <f>IF(OR(coder2_NY_MT!AF101="", coder1_YH!AL101 = ""),0,1)</f>
        <v>1</v>
      </c>
      <c r="AF102" s="20">
        <f>IF(coder1_YH!AN101="","",IF(coder1_YH!AN101=coder2_NY_MT!AH102,1,0))</f>
        <v>1</v>
      </c>
      <c r="AG102" s="20">
        <f>IF(coder1_YH!AO101="","",IF(coder1_YH!AO101=coder2_NY_MT!AI102,1,0))</f>
        <v>1</v>
      </c>
      <c r="AH102" s="20">
        <f>IF(coder1_YH!AP101="","",IF(coder1_YH!AP101=coder2_NY_MT!AJ102,1,0))</f>
        <v>1</v>
      </c>
      <c r="AI102" s="20">
        <f>IF(coder1_YH!AQ101="","",IF(coder1_YH!AQ101=coder2_NY_MT!AK102,1,0))</f>
        <v>0</v>
      </c>
      <c r="AJ102" s="20">
        <f>IF(coder1_YH!AR101="","",IF(coder1_YH!AR101=coder2_NY_MT!AL102,1,0))</f>
        <v>1</v>
      </c>
      <c r="AK102" s="20">
        <f>IF(coder1_YH!AS101="","",IF(coder1_YH!AS101=coder2_NY_MT!AM102,1,0))</f>
        <v>1</v>
      </c>
      <c r="AL102" s="20" t="str">
        <f>IF(coder1_YH!AZ101="","",IF(coder1_YH!AZ101=coder2_NY_MT!AT102,1,0))</f>
        <v/>
      </c>
      <c r="AM102" s="20" t="e">
        <f>IF(coder1_YH!BA101="","",IF(coder1_YH!BA101=coder2_NY_MT!#REF!,1,0))</f>
        <v>#REF!</v>
      </c>
      <c r="AN102" s="2"/>
    </row>
    <row r="103" spans="1:40" s="20" customFormat="1" ht="17" hidden="1" customHeight="1" x14ac:dyDescent="0.2">
      <c r="A103" s="20">
        <f>IF(coder1_YH!G102="","",IF(coder1_YH!G102=coder2_NY_MT!A103,1,0))</f>
        <v>1</v>
      </c>
      <c r="B103" s="20">
        <f>IF(coder1_YH!H102="","",IF(RIGHT(coder1_YH!H102,2)=RIGHT(coder2_NY_MT!B103,2),1,0))</f>
        <v>0</v>
      </c>
      <c r="C103" s="20">
        <f>IF(coder1_YH!I102="","",IF(coder1_YH!I102=coder2_NY_MT!C103,1,0))</f>
        <v>1</v>
      </c>
      <c r="E103" s="20">
        <f>IF(coder1_YH!K102="","",IF(coder1_YH!K102=coder2_NY_MT!E103,1,0))</f>
        <v>1</v>
      </c>
      <c r="F103" s="20">
        <f>IF(coder1_YH!L102="","",IF(coder1_YH!L102=coder2_NY_MT!F103,1,0))</f>
        <v>1</v>
      </c>
      <c r="G103" s="20">
        <f>IF(coder1_YH!M102="","",IF(coder1_YH!M102=coder2_NY_MT!G103,1,0))</f>
        <v>1</v>
      </c>
      <c r="H103" s="20">
        <f>IF(coder1_YH!P102="","",IF(RIGHT(coder1_YH!P102,3)=RIGHT(coder2_NY_MT!J103,3),1,0))</f>
        <v>0</v>
      </c>
      <c r="I103" s="20">
        <f>IF(H103="","",IF(OR(coder2_NY_MT!K103="", coder1_YH!Q102 = ""),0,1))</f>
        <v>1</v>
      </c>
      <c r="J103" s="20">
        <f>IF(coder1_YH!R102="","",IF(coder1_YH!R102=coder2_NY_MT!L103,1,0))</f>
        <v>1</v>
      </c>
      <c r="K103" s="20">
        <f>IF(coder1_YH!S102="","",IF(coder1_YH!S102=coder2_NY_MT!M103,1,0))</f>
        <v>1</v>
      </c>
      <c r="L103" s="20">
        <f>IF(coder1_YH!T102="","",IF(coder1_YH!T102=coder2_NY_MT!N103,1,0))</f>
        <v>1</v>
      </c>
      <c r="M103" s="20">
        <f>IF(coder1_YH!U102="","",IF(coder1_YH!U102=coder2_NY_MT!O103,1,0))</f>
        <v>1</v>
      </c>
      <c r="N103" s="20">
        <f>IF(coder1_YH!V102="","",IF(coder1_YH!V102=coder2_NY_MT!P103,1,0))</f>
        <v>1</v>
      </c>
      <c r="O103" s="20">
        <f>IF(coder1_YH!W102="","",IF(coder1_YH!W102=coder2_NY_MT!Q103,1,0))</f>
        <v>1</v>
      </c>
      <c r="P103" s="20">
        <f>IF(coder1_YH!X102="","",IF(coder1_YH!X102=coder2_NY_MT!R103,1,0))</f>
        <v>1</v>
      </c>
      <c r="Q103" s="20">
        <f>IF(coder1_YH!Y102="","",IF(coder1_YH!Y102=coder2_NY_MT!S103,1,0))</f>
        <v>1</v>
      </c>
      <c r="R103" s="20">
        <f>IF(coder1_YH!Z102="","",IF(coder1_YH!Z102=coder2_NY_MT!T103,1,0))</f>
        <v>1</v>
      </c>
      <c r="S103" s="20">
        <f>IF(R103="","",IF(OR(coder2_NY_MT!U103="", coder1_YH!AA102 = ""),0,1))</f>
        <v>1</v>
      </c>
      <c r="T103" s="20">
        <f>IF(coder1_YH!AB102="","",IF(coder1_YH!AB102=coder2_NY_MT!V103,1,0))</f>
        <v>1</v>
      </c>
      <c r="U103" s="20">
        <f>IF(coder1_YH!AC102="","",IF(coder1_YH!AC102=coder2_NY_MT!W103,1,0))</f>
        <v>1</v>
      </c>
      <c r="V103" s="20">
        <f>IF(coder1_YH!AD102="","",IF(coder1_YH!AD102=coder2_NY_MT!X103,1,0))</f>
        <v>1</v>
      </c>
      <c r="W103" s="20">
        <f>IF(coder1_YH!AE102="","",IF(coder1_YH!AE102=coder2_NY_MT!Y103,1,0))</f>
        <v>1</v>
      </c>
      <c r="X103" s="20">
        <f>IF(coder1_YH!AF102="","",IF(coder1_YH!AF102=coder2_NY_MT!Z103,1,0))</f>
        <v>1</v>
      </c>
      <c r="Y103" s="20">
        <f>IF(coder1_YH!AG102="","",IF(coder1_YH!AG102=coder2_NY_MT!AA103,1,0))</f>
        <v>1</v>
      </c>
      <c r="Z103" s="20">
        <f>IF(coder1_YH!AH102="","",IF(coder1_YH!AH102=coder2_NY_MT!AB103,1,0))</f>
        <v>1</v>
      </c>
      <c r="AA103" s="20">
        <f>IF(coder1_YH!AI102="","",IF(coder1_YH!AI102=coder2_NY_MT!AC103,1,0))</f>
        <v>1</v>
      </c>
      <c r="AB103" s="20">
        <f>IF(OR(coder2_NY_MT!AD102="", coder1_YH!AJ102 = ""),0,1)</f>
        <v>1</v>
      </c>
      <c r="AC103" s="20">
        <f>IF(coder1_YH!AK102="","",IF(coder1_YH!AK102=coder2_NY_MT!AE103,1,0))</f>
        <v>1</v>
      </c>
      <c r="AD103" s="20">
        <f>IF(OR(coder2_NY_MT!AF102="", coder1_YH!AL102 = ""),0,1)</f>
        <v>0</v>
      </c>
      <c r="AF103" s="20">
        <f>IF(coder1_YH!AN102="","",IF(coder1_YH!AN102=coder2_NY_MT!AH103,1,0))</f>
        <v>1</v>
      </c>
      <c r="AG103" s="20">
        <f>IF(coder1_YH!AO102="","",IF(coder1_YH!AO102=coder2_NY_MT!AI103,1,0))</f>
        <v>1</v>
      </c>
      <c r="AH103" s="20">
        <f>IF(coder1_YH!AP102="","",IF(coder1_YH!AP102=coder2_NY_MT!AJ103,1,0))</f>
        <v>1</v>
      </c>
      <c r="AI103" s="20">
        <f>IF(coder1_YH!AQ102="","",IF(coder1_YH!AQ102=coder2_NY_MT!AK103,1,0))</f>
        <v>1</v>
      </c>
      <c r="AJ103" s="20">
        <f>IF(coder1_YH!AR102="","",IF(coder1_YH!AR102=coder2_NY_MT!AL103,1,0))</f>
        <v>1</v>
      </c>
      <c r="AK103" s="20">
        <f>IF(coder1_YH!AS102="","",IF(coder1_YH!AS102=coder2_NY_MT!AM103,1,0))</f>
        <v>1</v>
      </c>
      <c r="AL103" s="20" t="str">
        <f>IF(coder1_YH!AZ102="","",IF(coder1_YH!AZ102=coder2_NY_MT!AT103,1,0))</f>
        <v/>
      </c>
      <c r="AM103" s="20" t="e">
        <f>IF(coder1_YH!BA102="","",IF(coder1_YH!BA102=coder2_NY_MT!#REF!,1,0))</f>
        <v>#REF!</v>
      </c>
      <c r="AN103" s="2"/>
    </row>
    <row r="104" spans="1:40" s="20" customFormat="1" ht="17" hidden="1" customHeight="1" x14ac:dyDescent="0.2">
      <c r="A104" s="20" t="str">
        <f>IF(coder1_YH!G103="","",IF(coder1_YH!G103=coder2_NY_MT!A104,1,0))</f>
        <v/>
      </c>
      <c r="B104" s="20" t="str">
        <f>IF(coder1_YH!H103="","",IF(RIGHT(coder1_YH!H103,2)=RIGHT(coder2_NY_MT!B104,2),1,0))</f>
        <v/>
      </c>
      <c r="C104" s="20" t="str">
        <f>IF(coder1_YH!I103="","",IF(coder1_YH!I103=coder2_NY_MT!C104,1,0))</f>
        <v/>
      </c>
      <c r="E104" s="20" t="str">
        <f>IF(coder1_YH!K103="","",IF(coder1_YH!K103=coder2_NY_MT!E104,1,0))</f>
        <v/>
      </c>
      <c r="F104" s="20" t="str">
        <f>IF(coder1_YH!L103="","",IF(coder1_YH!L103=coder2_NY_MT!F104,1,0))</f>
        <v/>
      </c>
      <c r="G104" s="20" t="str">
        <f>IF(coder1_YH!M103="","",IF(coder1_YH!M103=coder2_NY_MT!G104,1,0))</f>
        <v/>
      </c>
      <c r="H104" s="20">
        <f>IF(coder1_YH!P103="","",IF(RIGHT(coder1_YH!P103,3)=RIGHT(coder2_NY_MT!J104,3),1,0))</f>
        <v>0</v>
      </c>
      <c r="I104" s="20">
        <f>IF(H104="","",IF(OR(coder2_NY_MT!K104="", coder1_YH!Q103 = ""),0,1))</f>
        <v>1</v>
      </c>
      <c r="J104" s="20">
        <f>IF(coder1_YH!R103="","",IF(coder1_YH!R103=coder2_NY_MT!L104,1,0))</f>
        <v>1</v>
      </c>
      <c r="K104" s="20">
        <f>IF(coder1_YH!S103="","",IF(coder1_YH!S103=coder2_NY_MT!M104,1,0))</f>
        <v>1</v>
      </c>
      <c r="L104" s="20">
        <f>IF(coder1_YH!T103="","",IF(coder1_YH!T103=coder2_NY_MT!N104,1,0))</f>
        <v>1</v>
      </c>
      <c r="M104" s="20">
        <f>IF(coder1_YH!U103="","",IF(coder1_YH!U103=coder2_NY_MT!O104,1,0))</f>
        <v>1</v>
      </c>
      <c r="N104" s="20">
        <f>IF(coder1_YH!V103="","",IF(coder1_YH!V103=coder2_NY_MT!P104,1,0))</f>
        <v>1</v>
      </c>
      <c r="O104" s="20">
        <f>IF(coder1_YH!W103="","",IF(coder1_YH!W103=coder2_NY_MT!Q104,1,0))</f>
        <v>1</v>
      </c>
      <c r="P104" s="20">
        <f>IF(coder1_YH!X103="","",IF(coder1_YH!X103=coder2_NY_MT!R104,1,0))</f>
        <v>1</v>
      </c>
      <c r="Q104" s="20">
        <f>IF(coder1_YH!Y103="","",IF(coder1_YH!Y103=coder2_NY_MT!S104,1,0))</f>
        <v>1</v>
      </c>
      <c r="R104" s="20">
        <f>IF(coder1_YH!Z103="","",IF(coder1_YH!Z103=coder2_NY_MT!T104,1,0))</f>
        <v>1</v>
      </c>
      <c r="S104" s="20">
        <f>IF(R104="","",IF(OR(coder2_NY_MT!U104="", coder1_YH!AA103 = ""),0,1))</f>
        <v>1</v>
      </c>
      <c r="T104" s="20">
        <f>IF(coder1_YH!AB103="","",IF(coder1_YH!AB103=coder2_NY_MT!V104,1,0))</f>
        <v>1</v>
      </c>
      <c r="U104" s="20">
        <f>IF(coder1_YH!AC103="","",IF(coder1_YH!AC103=coder2_NY_MT!W104,1,0))</f>
        <v>1</v>
      </c>
      <c r="V104" s="20">
        <f>IF(coder1_YH!AD103="","",IF(coder1_YH!AD103=coder2_NY_MT!X104,1,0))</f>
        <v>1</v>
      </c>
      <c r="W104" s="20">
        <f>IF(coder1_YH!AE103="","",IF(coder1_YH!AE103=coder2_NY_MT!Y104,1,0))</f>
        <v>1</v>
      </c>
      <c r="X104" s="20">
        <f>IF(coder1_YH!AF103="","",IF(coder1_YH!AF103=coder2_NY_MT!Z104,1,0))</f>
        <v>1</v>
      </c>
      <c r="Y104" s="20">
        <f>IF(coder1_YH!AG103="","",IF(coder1_YH!AG103=coder2_NY_MT!AA104,1,0))</f>
        <v>1</v>
      </c>
      <c r="Z104" s="20">
        <f>IF(coder1_YH!AH103="","",IF(coder1_YH!AH103=coder2_NY_MT!AB104,1,0))</f>
        <v>1</v>
      </c>
      <c r="AA104" s="20">
        <f>IF(coder1_YH!AI103="","",IF(coder1_YH!AI103=coder2_NY_MT!AC104,1,0))</f>
        <v>1</v>
      </c>
      <c r="AB104" s="20">
        <f>IF(OR(coder2_NY_MT!AD103="", coder1_YH!AJ103 = ""),0,1)</f>
        <v>1</v>
      </c>
      <c r="AC104" s="20">
        <f>IF(coder1_YH!AK103="","",IF(coder1_YH!AK103=coder2_NY_MT!AE104,1,0))</f>
        <v>1</v>
      </c>
      <c r="AD104" s="20">
        <f>IF(OR(coder2_NY_MT!AF103="", coder1_YH!AL103 = ""),0,1)</f>
        <v>1</v>
      </c>
      <c r="AF104" s="20">
        <f>IF(coder1_YH!AN103="","",IF(coder1_YH!AN103=coder2_NY_MT!AH104,1,0))</f>
        <v>1</v>
      </c>
      <c r="AG104" s="20">
        <f>IF(coder1_YH!AO103="","",IF(coder1_YH!AO103=coder2_NY_MT!AI104,1,0))</f>
        <v>1</v>
      </c>
      <c r="AH104" s="20">
        <f>IF(coder1_YH!AP103="","",IF(coder1_YH!AP103=coder2_NY_MT!AJ104,1,0))</f>
        <v>1</v>
      </c>
      <c r="AI104" s="20">
        <f>IF(coder1_YH!AQ103="","",IF(coder1_YH!AQ103=coder2_NY_MT!AK104,1,0))</f>
        <v>1</v>
      </c>
      <c r="AJ104" s="20">
        <f>IF(coder1_YH!AR103="","",IF(coder1_YH!AR103=coder2_NY_MT!AL104,1,0))</f>
        <v>1</v>
      </c>
      <c r="AK104" s="20">
        <f>IF(coder1_YH!AS103="","",IF(coder1_YH!AS103=coder2_NY_MT!AM104,1,0))</f>
        <v>1</v>
      </c>
      <c r="AL104" s="20" t="str">
        <f>IF(coder1_YH!AZ103="","",IF(coder1_YH!AZ103=coder2_NY_MT!AT104,1,0))</f>
        <v/>
      </c>
      <c r="AM104" s="20" t="e">
        <f>IF(coder1_YH!BA103="","",IF(coder1_YH!BA103=coder2_NY_MT!#REF!,1,0))</f>
        <v>#REF!</v>
      </c>
      <c r="AN104" s="2"/>
    </row>
    <row r="105" spans="1:40" s="20" customFormat="1" ht="17" hidden="1" customHeight="1" x14ac:dyDescent="0.2">
      <c r="A105" s="20">
        <f>IF(coder1_YH!G104="","",IF(coder1_YH!G104=coder2_NY_MT!A105,1,0))</f>
        <v>0</v>
      </c>
      <c r="B105" s="20">
        <f>IF(coder1_YH!H104="","",IF(RIGHT(coder1_YH!H104,2)=RIGHT(coder2_NY_MT!B105,2),1,0))</f>
        <v>0</v>
      </c>
      <c r="C105" s="20">
        <f>IF(coder1_YH!I104="","",IF(coder1_YH!I104=coder2_NY_MT!C105,1,0))</f>
        <v>0</v>
      </c>
      <c r="E105" s="20">
        <f>IF(coder1_YH!K104="","",IF(coder1_YH!K104=coder2_NY_MT!E105,1,0))</f>
        <v>0</v>
      </c>
      <c r="F105" s="20">
        <f>IF(coder1_YH!L104="","",IF(coder1_YH!L104=coder2_NY_MT!F105,1,0))</f>
        <v>0</v>
      </c>
      <c r="G105" s="20">
        <f>IF(coder1_YH!M104="","",IF(coder1_YH!M104=coder2_NY_MT!G105,1,0))</f>
        <v>0</v>
      </c>
      <c r="H105" s="20">
        <f>IF(coder1_YH!P104="","",IF(RIGHT(coder1_YH!P104,3)=RIGHT(coder2_NY_MT!J105,3),1,0))</f>
        <v>0</v>
      </c>
      <c r="I105" s="20">
        <f>IF(H105="","",IF(OR(coder2_NY_MT!K105="", coder1_YH!Q104 = ""),0,1))</f>
        <v>1</v>
      </c>
      <c r="J105" s="20">
        <f>IF(coder1_YH!R104="","",IF(coder1_YH!R104=coder2_NY_MT!L105,1,0))</f>
        <v>1</v>
      </c>
      <c r="K105" s="20">
        <f>IF(coder1_YH!S104="","",IF(coder1_YH!S104=coder2_NY_MT!M105,1,0))</f>
        <v>1</v>
      </c>
      <c r="L105" s="20">
        <f>IF(coder1_YH!T104="","",IF(coder1_YH!T104=coder2_NY_MT!N105,1,0))</f>
        <v>1</v>
      </c>
      <c r="M105" s="20">
        <f>IF(coder1_YH!U104="","",IF(coder1_YH!U104=coder2_NY_MT!O105,1,0))</f>
        <v>1</v>
      </c>
      <c r="N105" s="20">
        <f>IF(coder1_YH!V104="","",IF(coder1_YH!V104=coder2_NY_MT!P105,1,0))</f>
        <v>1</v>
      </c>
      <c r="O105" s="20">
        <f>IF(coder1_YH!W104="","",IF(coder1_YH!W104=coder2_NY_MT!Q105,1,0))</f>
        <v>1</v>
      </c>
      <c r="P105" s="20">
        <f>IF(coder1_YH!X104="","",IF(coder1_YH!X104=coder2_NY_MT!R105,1,0))</f>
        <v>1</v>
      </c>
      <c r="Q105" s="20">
        <f>IF(coder1_YH!Y104="","",IF(coder1_YH!Y104=coder2_NY_MT!S105,1,0))</f>
        <v>1</v>
      </c>
      <c r="R105" s="20">
        <f>IF(coder1_YH!Z104="","",IF(coder1_YH!Z104=coder2_NY_MT!T105,1,0))</f>
        <v>1</v>
      </c>
      <c r="S105" s="20">
        <f>IF(R105="","",IF(OR(coder2_NY_MT!U105="", coder1_YH!AA104 = ""),0,1))</f>
        <v>1</v>
      </c>
      <c r="T105" s="20">
        <f>IF(coder1_YH!AB104="","",IF(coder1_YH!AB104=coder2_NY_MT!V105,1,0))</f>
        <v>1</v>
      </c>
      <c r="U105" s="20">
        <f>IF(coder1_YH!AC104="","",IF(coder1_YH!AC104=coder2_NY_MT!W105,1,0))</f>
        <v>1</v>
      </c>
      <c r="V105" s="20">
        <f>IF(coder1_YH!AD104="","",IF(coder1_YH!AD104=coder2_NY_MT!X105,1,0))</f>
        <v>1</v>
      </c>
      <c r="W105" s="20">
        <f>IF(coder1_YH!AE104="","",IF(coder1_YH!AE104=coder2_NY_MT!Y105,1,0))</f>
        <v>1</v>
      </c>
      <c r="X105" s="20">
        <f>IF(coder1_YH!AF104="","",IF(coder1_YH!AF104=coder2_NY_MT!Z105,1,0))</f>
        <v>1</v>
      </c>
      <c r="Y105" s="20">
        <f>IF(coder1_YH!AG104="","",IF(coder1_YH!AG104=coder2_NY_MT!AA105,1,0))</f>
        <v>1</v>
      </c>
      <c r="Z105" s="20">
        <f>IF(coder1_YH!AH104="","",IF(coder1_YH!AH104=coder2_NY_MT!AB105,1,0))</f>
        <v>1</v>
      </c>
      <c r="AA105" s="20">
        <f>IF(coder1_YH!AI104="","",IF(coder1_YH!AI104=coder2_NY_MT!AC105,1,0))</f>
        <v>1</v>
      </c>
      <c r="AB105" s="20">
        <f>IF(OR(coder2_NY_MT!AD104="", coder1_YH!AJ104 = ""),0,1)</f>
        <v>1</v>
      </c>
      <c r="AC105" s="20">
        <f>IF(coder1_YH!AK104="","",IF(coder1_YH!AK104=coder2_NY_MT!AE105,1,0))</f>
        <v>1</v>
      </c>
      <c r="AD105" s="20">
        <f>IF(OR(coder2_NY_MT!AF104="", coder1_YH!AL104 = ""),0,1)</f>
        <v>0</v>
      </c>
      <c r="AF105" s="20">
        <f>IF(coder1_YH!AN104="","",IF(coder1_YH!AN104=coder2_NY_MT!AH105,1,0))</f>
        <v>1</v>
      </c>
      <c r="AG105" s="20">
        <f>IF(coder1_YH!AO104="","",IF(coder1_YH!AO104=coder2_NY_MT!AI105,1,0))</f>
        <v>1</v>
      </c>
      <c r="AH105" s="62">
        <v>1</v>
      </c>
      <c r="AI105" s="20">
        <f>IF(coder1_YH!AQ104="","",IF(coder1_YH!AQ104=coder2_NY_MT!AK105,1,0))</f>
        <v>1</v>
      </c>
      <c r="AJ105" s="20">
        <f>IF(coder1_YH!AR104="","",IF(coder1_YH!AR104=coder2_NY_MT!AL105,1,0))</f>
        <v>1</v>
      </c>
      <c r="AK105" s="62">
        <v>1</v>
      </c>
      <c r="AL105" s="20" t="str">
        <f>IF(coder1_YH!AZ104="","",IF(coder1_YH!AZ104=coder2_NY_MT!AT105,1,0))</f>
        <v/>
      </c>
      <c r="AM105" s="20" t="e">
        <f>IF(coder1_YH!BA104="","",IF(coder1_YH!BA104=coder2_NY_MT!#REF!,1,0))</f>
        <v>#REF!</v>
      </c>
      <c r="AN105" s="2"/>
    </row>
    <row r="106" spans="1:40" s="20" customFormat="1" ht="17" hidden="1" customHeight="1" x14ac:dyDescent="0.2">
      <c r="A106" s="20" t="str">
        <f>IF(coder1_YH!G105="","",IF(coder1_YH!G105=coder2_NY_MT!A106,1,0))</f>
        <v/>
      </c>
      <c r="B106" s="20" t="str">
        <f>IF(coder1_YH!H105="","",IF(RIGHT(coder1_YH!H105,2)=RIGHT(coder2_NY_MT!B106,2),1,0))</f>
        <v/>
      </c>
      <c r="C106" s="20" t="str">
        <f>IF(coder1_YH!I105="","",IF(coder1_YH!I105=coder2_NY_MT!C106,1,0))</f>
        <v/>
      </c>
      <c r="E106" s="20" t="str">
        <f>IF(coder1_YH!K105="","",IF(coder1_YH!K105=coder2_NY_MT!E106,1,0))</f>
        <v/>
      </c>
      <c r="F106" s="20" t="str">
        <f>IF(coder1_YH!L105="","",IF(coder1_YH!L105=coder2_NY_MT!F106,1,0))</f>
        <v/>
      </c>
      <c r="G106" s="20" t="str">
        <f>IF(coder1_YH!M105="","",IF(coder1_YH!M105=coder2_NY_MT!G106,1,0))</f>
        <v/>
      </c>
      <c r="H106" s="20">
        <f>IF(coder1_YH!P105="","",IF(RIGHT(coder1_YH!P105,3)=RIGHT(coder2_NY_MT!J106,3),1,0))</f>
        <v>0</v>
      </c>
      <c r="I106" s="20">
        <f>IF(H106="","",IF(OR(coder2_NY_MT!K106="", coder1_YH!Q105 = ""),0,1))</f>
        <v>1</v>
      </c>
      <c r="J106" s="20">
        <f>IF(coder1_YH!R105="","",IF(coder1_YH!R105=coder2_NY_MT!L106,1,0))</f>
        <v>1</v>
      </c>
      <c r="K106" s="20">
        <f>IF(coder1_YH!S105="","",IF(coder1_YH!S105=coder2_NY_MT!M106,1,0))</f>
        <v>1</v>
      </c>
      <c r="L106" s="20">
        <f>IF(coder1_YH!T105="","",IF(coder1_YH!T105=coder2_NY_MT!N106,1,0))</f>
        <v>1</v>
      </c>
      <c r="M106" s="20">
        <f>IF(coder1_YH!U105="","",IF(coder1_YH!U105=coder2_NY_MT!O106,1,0))</f>
        <v>1</v>
      </c>
      <c r="N106" s="20">
        <f>IF(coder1_YH!V105="","",IF(coder1_YH!V105=coder2_NY_MT!P106,1,0))</f>
        <v>1</v>
      </c>
      <c r="O106" s="20">
        <f>IF(coder1_YH!W105="","",IF(coder1_YH!W105=coder2_NY_MT!Q106,1,0))</f>
        <v>1</v>
      </c>
      <c r="P106" s="20">
        <f>IF(coder1_YH!X105="","",IF(coder1_YH!X105=coder2_NY_MT!R106,1,0))</f>
        <v>1</v>
      </c>
      <c r="Q106" s="20">
        <f>IF(coder1_YH!Y105="","",IF(coder1_YH!Y105=coder2_NY_MT!S106,1,0))</f>
        <v>1</v>
      </c>
      <c r="R106" s="20">
        <f>IF(coder1_YH!Z105="","",IF(coder1_YH!Z105=coder2_NY_MT!T106,1,0))</f>
        <v>1</v>
      </c>
      <c r="S106" s="20">
        <f>IF(R106="","",IF(OR(coder2_NY_MT!U106="", coder1_YH!AA105 = ""),0,1))</f>
        <v>1</v>
      </c>
      <c r="T106" s="20">
        <f>IF(coder1_YH!AB105="","",IF(coder1_YH!AB105=coder2_NY_MT!V106,1,0))</f>
        <v>1</v>
      </c>
      <c r="U106" s="20">
        <f>IF(coder1_YH!AC105="","",IF(coder1_YH!AC105=coder2_NY_MT!W106,1,0))</f>
        <v>1</v>
      </c>
      <c r="V106" s="20">
        <f>IF(coder1_YH!AD105="","",IF(coder1_YH!AD105=coder2_NY_MT!X106,1,0))</f>
        <v>1</v>
      </c>
      <c r="W106" s="20">
        <f>IF(coder1_YH!AE105="","",IF(coder1_YH!AE105=coder2_NY_MT!Y106,1,0))</f>
        <v>1</v>
      </c>
      <c r="X106" s="20">
        <f>IF(coder1_YH!AF105="","",IF(coder1_YH!AF105=coder2_NY_MT!Z106,1,0))</f>
        <v>1</v>
      </c>
      <c r="Y106" s="20">
        <f>IF(coder1_YH!AG105="","",IF(coder1_YH!AG105=coder2_NY_MT!AA106,1,0))</f>
        <v>1</v>
      </c>
      <c r="Z106" s="20">
        <f>IF(coder1_YH!AH105="","",IF(coder1_YH!AH105=coder2_NY_MT!AB106,1,0))</f>
        <v>1</v>
      </c>
      <c r="AA106" s="20">
        <f>IF(coder1_YH!AI105="","",IF(coder1_YH!AI105=coder2_NY_MT!AC106,1,0))</f>
        <v>1</v>
      </c>
      <c r="AB106" s="20">
        <f>IF(OR(coder2_NY_MT!AD105="", coder1_YH!AJ105 = ""),0,1)</f>
        <v>1</v>
      </c>
      <c r="AC106" s="20">
        <f>IF(coder1_YH!AK105="","",IF(coder1_YH!AK105=coder2_NY_MT!AE106,1,0))</f>
        <v>1</v>
      </c>
      <c r="AD106" s="20">
        <f>IF(OR(coder2_NY_MT!AF105="", coder1_YH!AL105 = ""),0,1)</f>
        <v>0</v>
      </c>
      <c r="AF106" s="20">
        <f>IF(coder1_YH!AN105="","",IF(coder1_YH!AN105=coder2_NY_MT!AH106,1,0))</f>
        <v>1</v>
      </c>
      <c r="AG106" s="20">
        <f>IF(coder1_YH!AO105="","",IF(coder1_YH!AO105=coder2_NY_MT!AI106,1,0))</f>
        <v>1</v>
      </c>
      <c r="AH106" s="62">
        <v>1</v>
      </c>
      <c r="AI106" s="20">
        <f>IF(coder1_YH!AQ105="","",IF(coder1_YH!AQ105=coder2_NY_MT!AK106,1,0))</f>
        <v>1</v>
      </c>
      <c r="AJ106" s="20">
        <f>IF(coder1_YH!AR105="","",IF(coder1_YH!AR105=coder2_NY_MT!AL106,1,0))</f>
        <v>0</v>
      </c>
      <c r="AK106" s="62">
        <v>1</v>
      </c>
      <c r="AL106" s="20" t="str">
        <f>IF(coder1_YH!AZ105="","",IF(coder1_YH!AZ105=coder2_NY_MT!AT106,1,0))</f>
        <v/>
      </c>
      <c r="AM106" s="20" t="e">
        <f>IF(coder1_YH!BA105="","",IF(coder1_YH!BA105=coder2_NY_MT!#REF!,1,0))</f>
        <v>#REF!</v>
      </c>
      <c r="AN106" s="2"/>
    </row>
    <row r="107" spans="1:40" s="20" customFormat="1" ht="17" hidden="1" customHeight="1" x14ac:dyDescent="0.2">
      <c r="A107" s="20">
        <f>IF(coder1_YH!G106="","",IF(coder1_YH!G106=coder2_NY_MT!A107,1,0))</f>
        <v>0</v>
      </c>
      <c r="B107" s="20">
        <f>IF(coder1_YH!H106="","",IF(RIGHT(coder1_YH!H106,2)=RIGHT(coder2_NY_MT!B107,2),1,0))</f>
        <v>0</v>
      </c>
      <c r="C107" s="20">
        <f>IF(coder1_YH!I106="","",IF(coder1_YH!I106=coder2_NY_MT!C107,1,0))</f>
        <v>0</v>
      </c>
      <c r="E107" s="20">
        <f>IF(coder1_YH!K106="","",IF(coder1_YH!K106=coder2_NY_MT!E107,1,0))</f>
        <v>0</v>
      </c>
      <c r="F107" s="20">
        <f>IF(coder1_YH!L106="","",IF(coder1_YH!L106=coder2_NY_MT!F107,1,0))</f>
        <v>0</v>
      </c>
      <c r="G107" s="20">
        <f>IF(coder1_YH!M106="","",IF(coder1_YH!M106=coder2_NY_MT!G107,1,0))</f>
        <v>0</v>
      </c>
      <c r="H107" s="20">
        <f>IF(coder1_YH!P106="","",IF(RIGHT(coder1_YH!P106,3)=RIGHT(coder2_NY_MT!J107,3),1,0))</f>
        <v>0</v>
      </c>
      <c r="I107" s="20">
        <f>IF(H107="","",IF(OR(coder2_NY_MT!K107="", coder1_YH!Q106 = ""),0,1))</f>
        <v>1</v>
      </c>
      <c r="J107" s="20">
        <f>IF(coder1_YH!R106="","",IF(coder1_YH!R106=coder2_NY_MT!L107,1,0))</f>
        <v>1</v>
      </c>
      <c r="K107" s="20">
        <f>IF(coder1_YH!S106="","",IF(coder1_YH!S106=coder2_NY_MT!M107,1,0))</f>
        <v>1</v>
      </c>
      <c r="L107" s="20">
        <f>IF(coder1_YH!T106="","",IF(coder1_YH!T106=coder2_NY_MT!N107,1,0))</f>
        <v>1</v>
      </c>
      <c r="M107" s="20">
        <f>IF(coder1_YH!U106="","",IF(coder1_YH!U106=coder2_NY_MT!O107,1,0))</f>
        <v>1</v>
      </c>
      <c r="N107" s="20">
        <f>IF(coder1_YH!V106="","",IF(coder1_YH!V106=coder2_NY_MT!P107,1,0))</f>
        <v>1</v>
      </c>
      <c r="O107" s="20">
        <f>IF(coder1_YH!W106="","",IF(coder1_YH!W106=coder2_NY_MT!Q107,1,0))</f>
        <v>1</v>
      </c>
      <c r="P107" s="20">
        <f>IF(coder1_YH!X106="","",IF(coder1_YH!X106=coder2_NY_MT!R107,1,0))</f>
        <v>1</v>
      </c>
      <c r="Q107" s="20">
        <f>IF(coder1_YH!Y106="","",IF(coder1_YH!Y106=coder2_NY_MT!S107,1,0))</f>
        <v>1</v>
      </c>
      <c r="R107" s="20">
        <f>IF(coder1_YH!Z106="","",IF(coder1_YH!Z106=coder2_NY_MT!T107,1,0))</f>
        <v>1</v>
      </c>
      <c r="S107" s="20">
        <f>IF(R107="","",IF(OR(coder2_NY_MT!U107="", coder1_YH!AA106 = ""),0,1))</f>
        <v>1</v>
      </c>
      <c r="T107" s="20">
        <f>IF(coder1_YH!AB106="","",IF(coder1_YH!AB106=coder2_NY_MT!V107,1,0))</f>
        <v>1</v>
      </c>
      <c r="U107" s="20">
        <f>IF(coder1_YH!AC106="","",IF(coder1_YH!AC106=coder2_NY_MT!W107,1,0))</f>
        <v>1</v>
      </c>
      <c r="V107" s="20">
        <f>IF(coder1_YH!AD106="","",IF(coder1_YH!AD106=coder2_NY_MT!X107,1,0))</f>
        <v>1</v>
      </c>
      <c r="W107" s="20">
        <f>IF(coder1_YH!AE106="","",IF(coder1_YH!AE106=coder2_NY_MT!Y107,1,0))</f>
        <v>1</v>
      </c>
      <c r="X107" s="20">
        <f>IF(coder1_YH!AF106="","",IF(coder1_YH!AF106=coder2_NY_MT!Z107,1,0))</f>
        <v>1</v>
      </c>
      <c r="Y107" s="20">
        <f>IF(coder1_YH!AG106="","",IF(coder1_YH!AG106=coder2_NY_MT!AA107,1,0))</f>
        <v>1</v>
      </c>
      <c r="Z107" s="20">
        <f>IF(coder1_YH!AH106="","",IF(coder1_YH!AH106=coder2_NY_MT!AB107,1,0))</f>
        <v>1</v>
      </c>
      <c r="AA107" s="20">
        <f>IF(coder1_YH!AI106="","",IF(coder1_YH!AI106=coder2_NY_MT!AC107,1,0))</f>
        <v>1</v>
      </c>
      <c r="AB107" s="20">
        <f>IF(OR(coder2_NY_MT!AD106="", coder1_YH!AJ106 = ""),0,1)</f>
        <v>1</v>
      </c>
      <c r="AC107" s="20">
        <f>IF(coder1_YH!AK106="","",IF(coder1_YH!AK106=coder2_NY_MT!AE107,1,0))</f>
        <v>1</v>
      </c>
      <c r="AD107" s="20">
        <f>IF(OR(coder2_NY_MT!AF106="", coder1_YH!AL106 = ""),0,1)</f>
        <v>0</v>
      </c>
      <c r="AF107" s="20">
        <f>IF(coder1_YH!AN106="","",IF(coder1_YH!AN106=coder2_NY_MT!AH107,1,0))</f>
        <v>1</v>
      </c>
      <c r="AG107" s="20">
        <f>IF(coder1_YH!AO106="","",IF(coder1_YH!AO106=coder2_NY_MT!AI107,1,0))</f>
        <v>1</v>
      </c>
      <c r="AH107" s="62">
        <v>1</v>
      </c>
      <c r="AI107" s="20">
        <f>IF(coder1_YH!AQ106="","",IF(coder1_YH!AQ106=coder2_NY_MT!AK107,1,0))</f>
        <v>1</v>
      </c>
      <c r="AJ107" s="20">
        <f>IF(coder1_YH!AR106="","",IF(coder1_YH!AR106=coder2_NY_MT!AL107,1,0))</f>
        <v>1</v>
      </c>
      <c r="AK107" s="62">
        <v>1</v>
      </c>
      <c r="AL107" s="20" t="str">
        <f>IF(coder1_YH!AZ106="","",IF(coder1_YH!AZ106=coder2_NY_MT!AT107,1,0))</f>
        <v/>
      </c>
      <c r="AM107" s="20" t="e">
        <f>IF(coder1_YH!BA106="","",IF(coder1_YH!BA106=coder2_NY_MT!#REF!,1,0))</f>
        <v>#REF!</v>
      </c>
      <c r="AN107" s="2"/>
    </row>
    <row r="108" spans="1:40" s="66" customFormat="1" ht="17" hidden="1" customHeight="1" thickBot="1" x14ac:dyDescent="0.25">
      <c r="A108" s="66" t="str">
        <f>IF(coder1_YH!G107="","",IF(coder1_YH!G107=coder2_NY_MT!A108,1,0))</f>
        <v/>
      </c>
      <c r="B108" s="66" t="str">
        <f>IF(coder1_YH!H107="","",IF(RIGHT(coder1_YH!H107,2)=RIGHT(coder2_NY_MT!B108,2),1,0))</f>
        <v/>
      </c>
      <c r="C108" s="66" t="str">
        <f>IF(coder1_YH!I107="","",IF(coder1_YH!I107=coder2_NY_MT!C108,1,0))</f>
        <v/>
      </c>
      <c r="E108" s="66" t="str">
        <f>IF(coder1_YH!K107="","",IF(coder1_YH!K107=coder2_NY_MT!E108,1,0))</f>
        <v/>
      </c>
      <c r="F108" s="66" t="str">
        <f>IF(coder1_YH!L107="","",IF(coder1_YH!L107=coder2_NY_MT!F108,1,0))</f>
        <v/>
      </c>
      <c r="G108" s="66" t="str">
        <f>IF(coder1_YH!M107="","",IF(coder1_YH!M107=coder2_NY_MT!G108,1,0))</f>
        <v/>
      </c>
      <c r="H108" s="66">
        <f>IF(coder1_YH!P107="","",IF(RIGHT(coder1_YH!P107,3)=RIGHT(coder2_NY_MT!J108,3),1,0))</f>
        <v>0</v>
      </c>
      <c r="I108" s="66">
        <f>IF(H108="","",IF(OR(coder2_NY_MT!K108="", coder1_YH!Q107 = ""),0,1))</f>
        <v>1</v>
      </c>
      <c r="J108" s="66">
        <f>IF(coder1_YH!R107="","",IF(coder1_YH!R107=coder2_NY_MT!L108,1,0))</f>
        <v>1</v>
      </c>
      <c r="K108" s="66">
        <f>IF(coder1_YH!S107="","",IF(coder1_YH!S107=coder2_NY_MT!M108,1,0))</f>
        <v>1</v>
      </c>
      <c r="L108" s="66">
        <f>IF(coder1_YH!T107="","",IF(coder1_YH!T107=coder2_NY_MT!N108,1,0))</f>
        <v>1</v>
      </c>
      <c r="M108" s="66">
        <f>IF(coder1_YH!U107="","",IF(coder1_YH!U107=coder2_NY_MT!O108,1,0))</f>
        <v>1</v>
      </c>
      <c r="N108" s="66">
        <f>IF(coder1_YH!V107="","",IF(coder1_YH!V107=coder2_NY_MT!P108,1,0))</f>
        <v>1</v>
      </c>
      <c r="O108" s="66">
        <f>IF(coder1_YH!W107="","",IF(coder1_YH!W107=coder2_NY_MT!Q108,1,0))</f>
        <v>1</v>
      </c>
      <c r="P108" s="66">
        <f>IF(coder1_YH!X107="","",IF(coder1_YH!X107=coder2_NY_MT!R108,1,0))</f>
        <v>1</v>
      </c>
      <c r="Q108" s="66">
        <f>IF(coder1_YH!Y107="","",IF(coder1_YH!Y107=coder2_NY_MT!S108,1,0))</f>
        <v>1</v>
      </c>
      <c r="R108" s="66">
        <f>IF(coder1_YH!Z107="","",IF(coder1_YH!Z107=coder2_NY_MT!T108,1,0))</f>
        <v>1</v>
      </c>
      <c r="S108" s="66">
        <f>IF(R108="","",IF(OR(coder2_NY_MT!U108="", coder1_YH!AA107 = ""),0,1))</f>
        <v>1</v>
      </c>
      <c r="T108" s="66">
        <f>IF(coder1_YH!AB107="","",IF(coder1_YH!AB107=coder2_NY_MT!V108,1,0))</f>
        <v>1</v>
      </c>
      <c r="U108" s="66">
        <f>IF(coder1_YH!AC107="","",IF(coder1_YH!AC107=coder2_NY_MT!W108,1,0))</f>
        <v>1</v>
      </c>
      <c r="V108" s="66">
        <f>IF(coder1_YH!AD107="","",IF(coder1_YH!AD107=coder2_NY_MT!X108,1,0))</f>
        <v>1</v>
      </c>
      <c r="W108" s="66">
        <f>IF(coder1_YH!AE107="","",IF(coder1_YH!AE107=coder2_NY_MT!Y108,1,0))</f>
        <v>1</v>
      </c>
      <c r="X108" s="66">
        <f>IF(coder1_YH!AF107="","",IF(coder1_YH!AF107=coder2_NY_MT!Z108,1,0))</f>
        <v>1</v>
      </c>
      <c r="Y108" s="66">
        <f>IF(coder1_YH!AG107="","",IF(coder1_YH!AG107=coder2_NY_MT!AA108,1,0))</f>
        <v>1</v>
      </c>
      <c r="Z108" s="66">
        <f>IF(coder1_YH!AH107="","",IF(coder1_YH!AH107=coder2_NY_MT!AB108,1,0))</f>
        <v>1</v>
      </c>
      <c r="AA108" s="66">
        <f>IF(coder1_YH!AI107="","",IF(coder1_YH!AI107=coder2_NY_MT!AC108,1,0))</f>
        <v>1</v>
      </c>
      <c r="AB108" s="66">
        <f>IF(OR(coder2_NY_MT!AD107="", coder1_YH!AJ107 = ""),0,1)</f>
        <v>1</v>
      </c>
      <c r="AC108" s="66">
        <f>IF(coder1_YH!AK107="","",IF(coder1_YH!AK107=coder2_NY_MT!AE108,1,0))</f>
        <v>1</v>
      </c>
      <c r="AD108" s="66">
        <f>IF(OR(coder2_NY_MT!AF107="", coder1_YH!AL107 = ""),0,1)</f>
        <v>0</v>
      </c>
      <c r="AF108" s="66">
        <f>IF(coder1_YH!AN107="","",IF(coder1_YH!AN107=coder2_NY_MT!AH108,1,0))</f>
        <v>1</v>
      </c>
      <c r="AG108" s="66">
        <f>IF(coder1_YH!AO107="","",IF(coder1_YH!AO107=coder2_NY_MT!AI108,1,0))</f>
        <v>1</v>
      </c>
      <c r="AH108" s="72">
        <v>1</v>
      </c>
      <c r="AI108" s="66">
        <f>IF(coder1_YH!AQ107="","",IF(coder1_YH!AQ107=coder2_NY_MT!AK108,1,0))</f>
        <v>1</v>
      </c>
      <c r="AJ108" s="66">
        <f>IF(coder1_YH!AR107="","",IF(coder1_YH!AR107=coder2_NY_MT!AL108,1,0))</f>
        <v>1</v>
      </c>
      <c r="AK108" s="72">
        <v>1</v>
      </c>
      <c r="AL108" s="66" t="str">
        <f>IF(coder1_YH!AZ107="","",IF(coder1_YH!AZ107=coder2_NY_MT!AT108,1,0))</f>
        <v/>
      </c>
      <c r="AM108" s="66" t="e">
        <f>IF(coder1_YH!BA107="","",IF(coder1_YH!BA107=coder2_NY_MT!#REF!,1,0))</f>
        <v>#REF!</v>
      </c>
      <c r="AN108" s="68"/>
    </row>
    <row r="109" spans="1:40" s="20" customFormat="1" ht="17" hidden="1" customHeight="1" x14ac:dyDescent="0.2">
      <c r="A109" s="20">
        <f>IF(coder1_YH!G108="","",IF(coder1_YH!G108=coder2_NY_MT!A109,1,0))</f>
        <v>1</v>
      </c>
      <c r="B109" s="20">
        <f>IF(coder1_YH!H108="","",IF(RIGHT(coder1_YH!H108,2)=RIGHT(coder2_NY_MT!B109,2),1,0))</f>
        <v>1</v>
      </c>
      <c r="C109" s="20">
        <f>IF(coder1_YH!I108="","",IF(coder1_YH!I108=coder2_NY_MT!C109,1,0))</f>
        <v>1</v>
      </c>
      <c r="E109" s="20">
        <f>IF(coder1_YH!K108="","",IF(coder1_YH!K108=coder2_NY_MT!E109,1,0))</f>
        <v>1</v>
      </c>
      <c r="F109" s="20">
        <f>IF(coder1_YH!L108="","",IF(coder1_YH!L108=coder2_NY_MT!F109,1,0))</f>
        <v>1</v>
      </c>
      <c r="G109" s="20">
        <f>IF(coder1_YH!M108="","",IF(coder1_YH!M108=coder2_NY_MT!G109,1,0))</f>
        <v>1</v>
      </c>
      <c r="H109" s="20">
        <f>IF(coder1_YH!P108="","",IF(RIGHT(coder1_YH!P108,3)=RIGHT(coder2_NY_MT!J109,3),1,0))</f>
        <v>0</v>
      </c>
      <c r="I109" s="20">
        <f>IF(H109="","",IF(OR(coder2_NY_MT!K109="", coder1_YH!Q108 = ""),0,1))</f>
        <v>1</v>
      </c>
      <c r="J109" s="20">
        <f>IF(coder1_YH!R108="","",IF(coder1_YH!R108=coder2_NY_MT!L109,1,0))</f>
        <v>1</v>
      </c>
      <c r="K109" s="20">
        <f>IF(coder1_YH!S108="","",IF(coder1_YH!S108=coder2_NY_MT!M109,1,0))</f>
        <v>1</v>
      </c>
      <c r="L109" s="20">
        <f>IF(coder1_YH!T108="","",IF(coder1_YH!T108=coder2_NY_MT!N109,1,0))</f>
        <v>1</v>
      </c>
      <c r="M109" s="20">
        <f>IF(coder1_YH!U108="","",IF(coder1_YH!U108=coder2_NY_MT!O109,1,0))</f>
        <v>1</v>
      </c>
      <c r="N109" s="20">
        <f>IF(coder1_YH!V108="","",IF(coder1_YH!V108=coder2_NY_MT!P109,1,0))</f>
        <v>1</v>
      </c>
      <c r="O109" s="20">
        <f>IF(coder1_YH!W108="","",IF(coder1_YH!W108=coder2_NY_MT!Q109,1,0))</f>
        <v>1</v>
      </c>
      <c r="P109" s="20">
        <f>IF(coder1_YH!X108="","",IF(coder1_YH!X108=coder2_NY_MT!R109,1,0))</f>
        <v>1</v>
      </c>
      <c r="Q109" s="20">
        <f>IF(coder1_YH!Y108="","",IF(coder1_YH!Y108=coder2_NY_MT!S109,1,0))</f>
        <v>1</v>
      </c>
      <c r="R109" s="20">
        <f>IF(coder1_YH!Z108="","",IF(coder1_YH!Z108=coder2_NY_MT!T109,1,0))</f>
        <v>1</v>
      </c>
      <c r="S109" s="20">
        <f>IF(R109="","",IF(OR(coder2_NY_MT!U109="", coder1_YH!AA108 = ""),0,1))</f>
        <v>1</v>
      </c>
      <c r="T109" s="20">
        <f>IF(coder1_YH!AB108="","",IF(coder1_YH!AB108=coder2_NY_MT!V109,1,0))</f>
        <v>1</v>
      </c>
      <c r="U109" s="20">
        <f>IF(coder1_YH!AC108="","",IF(coder1_YH!AC108=coder2_NY_MT!W109,1,0))</f>
        <v>1</v>
      </c>
      <c r="V109" s="20">
        <f>IF(coder1_YH!AD108="","",IF(coder1_YH!AD108=coder2_NY_MT!X109,1,0))</f>
        <v>1</v>
      </c>
      <c r="W109" s="20">
        <f>IF(coder1_YH!AE108="","",IF(coder1_YH!AE108=coder2_NY_MT!Y109,1,0))</f>
        <v>1</v>
      </c>
      <c r="X109" s="20">
        <f>IF(coder1_YH!AF108="","",IF(coder1_YH!AF108=coder2_NY_MT!Z109,1,0))</f>
        <v>1</v>
      </c>
      <c r="Y109" s="20">
        <f>IF(coder1_YH!AG108="","",IF(coder1_YH!AG108=coder2_NY_MT!AA109,1,0))</f>
        <v>1</v>
      </c>
      <c r="Z109" s="20">
        <f>IF(coder1_YH!AH108="","",IF(coder1_YH!AH108=coder2_NY_MT!AB109,1,0))</f>
        <v>1</v>
      </c>
      <c r="AA109" s="20">
        <f>IF(coder1_YH!AI108="","",IF(coder1_YH!AI108=coder2_NY_MT!AC109,1,0))</f>
        <v>1</v>
      </c>
      <c r="AB109" s="20">
        <f>IF(OR(coder2_NY_MT!AD108="", coder1_YH!AJ108 = ""),0,1)</f>
        <v>1</v>
      </c>
      <c r="AC109" s="20">
        <f>IF(coder1_YH!AK108="","",IF(coder1_YH!AK108=coder2_NY_MT!AE109,1,0))</f>
        <v>1</v>
      </c>
      <c r="AD109" s="20">
        <f>IF(OR(coder2_NY_MT!AF109="", coder1_YH!AL108 = ""),0,1)</f>
        <v>1</v>
      </c>
      <c r="AF109" s="20">
        <f>IF(coder1_YH!AN108="","",IF(coder1_YH!AN108=coder2_NY_MT!AH109,1,0))</f>
        <v>1</v>
      </c>
      <c r="AG109" s="20">
        <f>IF(coder1_YH!AO108="","",IF(coder1_YH!AO108=coder2_NY_MT!AI109,1,0))</f>
        <v>1</v>
      </c>
      <c r="AH109" s="20">
        <f>IF(coder1_YH!AP108="","",IF(coder1_YH!AP108=coder2_NY_MT!AJ109,1,0))</f>
        <v>1</v>
      </c>
      <c r="AI109" s="20">
        <f>IF(coder1_YH!AQ108="","",IF(coder1_YH!AQ108=coder2_NY_MT!AK109,1,0))</f>
        <v>1</v>
      </c>
      <c r="AJ109" s="20">
        <f>IF(coder1_YH!AR108="","",IF(coder1_YH!AR108=coder2_NY_MT!AL109,1,0))</f>
        <v>1</v>
      </c>
      <c r="AK109" s="20">
        <f>IF(coder1_YH!AS108="","",IF(coder1_YH!AS108=coder2_NY_MT!AM109,1,0))</f>
        <v>1</v>
      </c>
      <c r="AL109" s="20" t="str">
        <f>IF(coder1_YH!AZ108="","",IF(coder1_YH!AZ108=coder2_NY_MT!AT109,1,0))</f>
        <v/>
      </c>
      <c r="AM109" s="20" t="str">
        <f>IF(coder1_YH!BA108="","",IF(coder1_YH!BA108=coder2_NY_MT!AU109,1,0))</f>
        <v/>
      </c>
      <c r="AN109" s="2"/>
    </row>
    <row r="110" spans="1:40" s="20" customFormat="1" ht="17" hidden="1" customHeight="1" x14ac:dyDescent="0.2">
      <c r="A110" s="20" t="str">
        <f>IF(coder1_YH!G109="","",IF(coder1_YH!G109=coder2_NY_MT!A110,1,0))</f>
        <v/>
      </c>
      <c r="B110" s="20" t="str">
        <f>IF(coder1_YH!H109="","",IF(RIGHT(coder1_YH!H109,2)=RIGHT(coder2_NY_MT!B110,2),1,0))</f>
        <v/>
      </c>
      <c r="C110" s="20" t="str">
        <f>IF(coder1_YH!I109="","",IF(coder1_YH!I109=coder2_NY_MT!C110,1,0))</f>
        <v/>
      </c>
      <c r="E110" s="20" t="str">
        <f>IF(coder1_YH!K109="","",IF(coder1_YH!K109=coder2_NY_MT!E110,1,0))</f>
        <v/>
      </c>
      <c r="F110" s="20" t="str">
        <f>IF(coder1_YH!L109="","",IF(coder1_YH!L109=coder2_NY_MT!F110,1,0))</f>
        <v/>
      </c>
      <c r="G110" s="20" t="str">
        <f>IF(coder1_YH!M109="","",IF(coder1_YH!M109=coder2_NY_MT!G110,1,0))</f>
        <v/>
      </c>
      <c r="H110" s="20">
        <f>IF(coder1_YH!P109="","",IF(RIGHT(coder1_YH!P109,3)=RIGHT(coder2_NY_MT!J110,3),1,0))</f>
        <v>0</v>
      </c>
      <c r="I110" s="20">
        <f>IF(H110="","",IF(OR(coder2_NY_MT!K110="", coder1_YH!Q109 = ""),0,1))</f>
        <v>1</v>
      </c>
      <c r="J110" s="20">
        <f>IF(coder1_YH!R109="","",IF(coder1_YH!R109=coder2_NY_MT!L110,1,0))</f>
        <v>1</v>
      </c>
      <c r="K110" s="20">
        <f>IF(coder1_YH!S109="","",IF(coder1_YH!S109=coder2_NY_MT!M110,1,0))</f>
        <v>1</v>
      </c>
      <c r="L110" s="20">
        <f>IF(coder1_YH!T109="","",IF(coder1_YH!T109=coder2_NY_MT!N110,1,0))</f>
        <v>1</v>
      </c>
      <c r="M110" s="20">
        <f>IF(coder1_YH!U109="","",IF(coder1_YH!U109=coder2_NY_MT!O110,1,0))</f>
        <v>1</v>
      </c>
      <c r="N110" s="20">
        <f>IF(coder1_YH!V109="","",IF(coder1_YH!V109=coder2_NY_MT!P110,1,0))</f>
        <v>1</v>
      </c>
      <c r="O110" s="20">
        <f>IF(coder1_YH!W109="","",IF(coder1_YH!W109=coder2_NY_MT!Q110,1,0))</f>
        <v>1</v>
      </c>
      <c r="P110" s="20">
        <f>IF(coder1_YH!X109="","",IF(coder1_YH!X109=coder2_NY_MT!R110,1,0))</f>
        <v>1</v>
      </c>
      <c r="Q110" s="20">
        <f>IF(coder1_YH!Y109="","",IF(coder1_YH!Y109=coder2_NY_MT!S110,1,0))</f>
        <v>1</v>
      </c>
      <c r="R110" s="20">
        <f>IF(coder1_YH!Z109="","",IF(coder1_YH!Z109=coder2_NY_MT!T110,1,0))</f>
        <v>1</v>
      </c>
      <c r="S110" s="20">
        <f>IF(R110="","",IF(OR(coder2_NY_MT!U110="", coder1_YH!AA109 = ""),0,1))</f>
        <v>1</v>
      </c>
      <c r="T110" s="20">
        <f>IF(coder1_YH!AB109="","",IF(coder1_YH!AB109=coder2_NY_MT!V110,1,0))</f>
        <v>1</v>
      </c>
      <c r="U110" s="20">
        <f>IF(coder1_YH!AC109="","",IF(coder1_YH!AC109=coder2_NY_MT!W110,1,0))</f>
        <v>1</v>
      </c>
      <c r="V110" s="20">
        <f>IF(coder1_YH!AD109="","",IF(coder1_YH!AD109=coder2_NY_MT!X110,1,0))</f>
        <v>1</v>
      </c>
      <c r="W110" s="20">
        <f>IF(coder1_YH!AE109="","",IF(coder1_YH!AE109=coder2_NY_MT!Y110,1,0))</f>
        <v>1</v>
      </c>
      <c r="X110" s="20">
        <f>IF(coder1_YH!AF109="","",IF(coder1_YH!AF109=coder2_NY_MT!Z110,1,0))</f>
        <v>1</v>
      </c>
      <c r="Y110" s="20">
        <f>IF(coder1_YH!AG109="","",IF(coder1_YH!AG109=coder2_NY_MT!AA110,1,0))</f>
        <v>1</v>
      </c>
      <c r="Z110" s="20">
        <f>IF(coder1_YH!AH109="","",IF(coder1_YH!AH109=coder2_NY_MT!AB110,1,0))</f>
        <v>1</v>
      </c>
      <c r="AA110" s="20">
        <f>IF(coder1_YH!AI109="","",IF(coder1_YH!AI109=coder2_NY_MT!AC110,1,0))</f>
        <v>1</v>
      </c>
      <c r="AB110" s="20">
        <f>IF(OR(coder2_NY_MT!AD109="", coder1_YH!AJ109 = ""),0,1)</f>
        <v>1</v>
      </c>
      <c r="AC110" s="20">
        <f>IF(coder1_YH!AK109="","",IF(coder1_YH!AK109=coder2_NY_MT!AE110,1,0))</f>
        <v>1</v>
      </c>
      <c r="AD110" s="20">
        <f>IF(OR(coder2_NY_MT!AF110="", coder1_YH!AL109 = ""),0,1)</f>
        <v>1</v>
      </c>
      <c r="AF110" s="20">
        <f>IF(coder1_YH!AN109="","",IF(coder1_YH!AN109=coder2_NY_MT!AH110,1,0))</f>
        <v>1</v>
      </c>
      <c r="AG110" s="20">
        <f>IF(coder1_YH!AO109="","",IF(coder1_YH!AO109=coder2_NY_MT!AI110,1,0))</f>
        <v>1</v>
      </c>
      <c r="AH110" s="20">
        <f>IF(coder1_YH!AP109="","",IF(coder1_YH!AP109=coder2_NY_MT!AJ110,1,0))</f>
        <v>1</v>
      </c>
      <c r="AI110" s="20">
        <f>IF(coder1_YH!AQ109="","",IF(coder1_YH!AQ109=coder2_NY_MT!AK110,1,0))</f>
        <v>1</v>
      </c>
      <c r="AJ110" s="20">
        <f>IF(coder1_YH!AR109="","",IF(coder1_YH!AR109=coder2_NY_MT!AL110,1,0))</f>
        <v>1</v>
      </c>
      <c r="AK110" s="20">
        <f>IF(coder1_YH!AS109="","",IF(coder1_YH!AS109=coder2_NY_MT!AM110,1,0))</f>
        <v>1</v>
      </c>
      <c r="AL110" s="20" t="str">
        <f>IF(coder1_YH!AZ109="","",IF(coder1_YH!AZ109=coder2_NY_MT!AT110,1,0))</f>
        <v/>
      </c>
      <c r="AM110" s="20" t="str">
        <f>IF(coder1_YH!BA109="","",IF(coder1_YH!BA109=coder2_NY_MT!AU110,1,0))</f>
        <v/>
      </c>
      <c r="AN110" s="2"/>
    </row>
    <row r="111" spans="1:40" s="20" customFormat="1" ht="17" hidden="1" customHeight="1" x14ac:dyDescent="0.2">
      <c r="A111" s="20">
        <f>IF(coder1_YH!G110="","",IF(coder1_YH!G110=coder2_NY_MT!A111,1,0))</f>
        <v>0</v>
      </c>
      <c r="B111" s="20">
        <f>IF(coder1_YH!H110="","",IF(RIGHT(coder1_YH!H110,2)=RIGHT(coder2_NY_MT!B111,2),1,0))</f>
        <v>0</v>
      </c>
      <c r="C111" s="20">
        <f>IF(coder1_YH!I110="","",IF(coder1_YH!I110=coder2_NY_MT!C111,1,0))</f>
        <v>1</v>
      </c>
      <c r="E111" s="20">
        <f>IF(coder1_YH!K110="","",IF(coder1_YH!K110=coder2_NY_MT!E111,1,0))</f>
        <v>1</v>
      </c>
      <c r="F111" s="20">
        <f>IF(coder1_YH!L110="","",IF(coder1_YH!L110=coder2_NY_MT!F111,1,0))</f>
        <v>1</v>
      </c>
      <c r="G111" s="20">
        <f>IF(coder1_YH!M110="","",IF(coder1_YH!M110=coder2_NY_MT!G111,1,0))</f>
        <v>1</v>
      </c>
      <c r="H111" s="20">
        <f>IF(coder1_YH!P110="","",IF(RIGHT(coder1_YH!P110,3)=RIGHT(coder2_NY_MT!J111,3),1,0))</f>
        <v>0</v>
      </c>
      <c r="I111" s="20">
        <f>IF(H111="","",IF(OR(coder2_NY_MT!K111="", coder1_YH!Q110 = ""),0,1))</f>
        <v>1</v>
      </c>
      <c r="J111" s="20">
        <f>IF(coder1_YH!R110="","",IF(coder1_YH!R110=coder2_NY_MT!L111,1,0))</f>
        <v>1</v>
      </c>
      <c r="K111" s="20">
        <f>IF(coder1_YH!S110="","",IF(coder1_YH!S110=coder2_NY_MT!M111,1,0))</f>
        <v>1</v>
      </c>
      <c r="L111" s="20">
        <f>IF(coder1_YH!T110="","",IF(coder1_YH!T110=coder2_NY_MT!N111,1,0))</f>
        <v>1</v>
      </c>
      <c r="M111" s="20">
        <f>IF(coder1_YH!U110="","",IF(coder1_YH!U110=coder2_NY_MT!O111,1,0))</f>
        <v>1</v>
      </c>
      <c r="N111" s="20">
        <f>IF(coder1_YH!V110="","",IF(coder1_YH!V110=coder2_NY_MT!P111,1,0))</f>
        <v>1</v>
      </c>
      <c r="O111" s="20">
        <f>IF(coder1_YH!W110="","",IF(coder1_YH!W110=coder2_NY_MT!Q111,1,0))</f>
        <v>1</v>
      </c>
      <c r="P111" s="20">
        <f>IF(coder1_YH!X110="","",IF(coder1_YH!X110=coder2_NY_MT!R111,1,0))</f>
        <v>1</v>
      </c>
      <c r="Q111" s="20">
        <f>IF(coder1_YH!Y110="","",IF(coder1_YH!Y110=coder2_NY_MT!S111,1,0))</f>
        <v>1</v>
      </c>
      <c r="R111" s="20">
        <f>IF(coder1_YH!Z110="","",IF(coder1_YH!Z110=coder2_NY_MT!T111,1,0))</f>
        <v>1</v>
      </c>
      <c r="S111" s="20">
        <f>IF(R111="","",IF(OR(coder2_NY_MT!U111="", coder1_YH!AA110 = ""),0,1))</f>
        <v>1</v>
      </c>
      <c r="T111" s="20">
        <f>IF(coder1_YH!AB110="","",IF(coder1_YH!AB110=coder2_NY_MT!V111,1,0))</f>
        <v>1</v>
      </c>
      <c r="U111" s="20">
        <f>IF(coder1_YH!AC110="","",IF(coder1_YH!AC110=coder2_NY_MT!W111,1,0))</f>
        <v>1</v>
      </c>
      <c r="V111" s="20">
        <f>IF(coder1_YH!AD110="","",IF(coder1_YH!AD110=coder2_NY_MT!X111,1,0))</f>
        <v>1</v>
      </c>
      <c r="W111" s="20">
        <f>IF(coder1_YH!AE110="","",IF(coder1_YH!AE110=coder2_NY_MT!Y111,1,0))</f>
        <v>1</v>
      </c>
      <c r="X111" s="20">
        <f>IF(coder1_YH!AF110="","",IF(coder1_YH!AF110=coder2_NY_MT!Z111,1,0))</f>
        <v>1</v>
      </c>
      <c r="Y111" s="20">
        <f>IF(coder1_YH!AG110="","",IF(coder1_YH!AG110=coder2_NY_MT!AA111,1,0))</f>
        <v>1</v>
      </c>
      <c r="Z111" s="20">
        <f>IF(coder1_YH!AH110="","",IF(coder1_YH!AH110=coder2_NY_MT!AB111,1,0))</f>
        <v>1</v>
      </c>
      <c r="AA111" s="20">
        <f>IF(coder1_YH!AI110="","",IF(coder1_YH!AI110=coder2_NY_MT!AC111,1,0))</f>
        <v>1</v>
      </c>
      <c r="AB111" s="20">
        <f>IF(OR(coder2_NY_MT!AD110="", coder1_YH!AJ110 = ""),0,1)</f>
        <v>1</v>
      </c>
      <c r="AC111" s="20">
        <f>IF(coder1_YH!AK110="","",IF(coder1_YH!AK110=coder2_NY_MT!AE111,1,0))</f>
        <v>1</v>
      </c>
      <c r="AD111" s="20">
        <f>IF(OR(coder2_NY_MT!AF111="", coder1_YH!AL110 = ""),0,1)</f>
        <v>1</v>
      </c>
      <c r="AF111" s="20">
        <f>IF(coder1_YH!AN110="","",IF(coder1_YH!AN110=coder2_NY_MT!AH111,1,0))</f>
        <v>1</v>
      </c>
      <c r="AG111" s="20">
        <f>IF(coder1_YH!AO110="","",IF(coder1_YH!AO110=coder2_NY_MT!AI111,1,0))</f>
        <v>1</v>
      </c>
      <c r="AH111" s="20">
        <f>IF(coder1_YH!AP110="","",IF(coder1_YH!AP110=coder2_NY_MT!AJ111,1,0))</f>
        <v>1</v>
      </c>
      <c r="AI111" s="20">
        <f>IF(coder1_YH!AQ110="","",IF(coder1_YH!AQ110=coder2_NY_MT!AK111,1,0))</f>
        <v>1</v>
      </c>
      <c r="AJ111" s="20">
        <f>IF(coder1_YH!AR110="","",IF(coder1_YH!AR110=coder2_NY_MT!AL111,1,0))</f>
        <v>1</v>
      </c>
      <c r="AK111" s="20">
        <f>IF(coder1_YH!AS110="","",IF(coder1_YH!AS110=coder2_NY_MT!AM111,1,0))</f>
        <v>1</v>
      </c>
      <c r="AL111" s="20" t="str">
        <f>IF(coder1_YH!AZ110="","",IF(coder1_YH!AZ110=coder2_NY_MT!AT111,1,0))</f>
        <v/>
      </c>
      <c r="AM111" s="20" t="str">
        <f>IF(coder1_YH!BA110="","",IF(coder1_YH!BA110=coder2_NY_MT!AU111,1,0))</f>
        <v/>
      </c>
      <c r="AN111" s="2"/>
    </row>
    <row r="112" spans="1:40" s="20" customFormat="1" ht="17" hidden="1" customHeight="1" x14ac:dyDescent="0.2">
      <c r="A112" s="20" t="str">
        <f>IF(coder1_YH!G111="","",IF(coder1_YH!G111=coder2_NY_MT!A112,1,0))</f>
        <v/>
      </c>
      <c r="B112" s="20" t="str">
        <f>IF(coder1_YH!H111="","",IF(RIGHT(coder1_YH!H111,2)=RIGHT(coder2_NY_MT!B112,2),1,0))</f>
        <v/>
      </c>
      <c r="C112" s="20" t="str">
        <f>IF(coder1_YH!I111="","",IF(coder1_YH!I111=coder2_NY_MT!C112,1,0))</f>
        <v/>
      </c>
      <c r="E112" s="20" t="str">
        <f>IF(coder1_YH!K111="","",IF(coder1_YH!K111=coder2_NY_MT!E112,1,0))</f>
        <v/>
      </c>
      <c r="F112" s="20" t="str">
        <f>IF(coder1_YH!L111="","",IF(coder1_YH!L111=coder2_NY_MT!F112,1,0))</f>
        <v/>
      </c>
      <c r="G112" s="20" t="str">
        <f>IF(coder1_YH!M111="","",IF(coder1_YH!M111=coder2_NY_MT!G112,1,0))</f>
        <v/>
      </c>
      <c r="H112" s="20" t="str">
        <f>IF(coder1_YH!P111="","",IF(RIGHT(coder1_YH!P111,3)=RIGHT(coder2_NY_MT!J112,3),1,0))</f>
        <v/>
      </c>
      <c r="I112" s="20" t="str">
        <f>IF(H112="","",IF(OR(coder2_NY_MT!K112="", coder1_YH!Q111 = ""),0,1))</f>
        <v/>
      </c>
      <c r="J112" s="20" t="str">
        <f>IF(coder1_YH!R111="","",IF(coder1_YH!R111=coder2_NY_MT!L112,1,0))</f>
        <v/>
      </c>
      <c r="K112" s="20" t="str">
        <f>IF(coder1_YH!S111="","",IF(coder1_YH!S111=coder2_NY_MT!M112,1,0))</f>
        <v/>
      </c>
      <c r="L112" s="20" t="str">
        <f>IF(coder1_YH!T111="","",IF(coder1_YH!T111=coder2_NY_MT!N112,1,0))</f>
        <v/>
      </c>
      <c r="M112" s="20" t="str">
        <f>IF(coder1_YH!U111="","",IF(coder1_YH!U111=coder2_NY_MT!O112,1,0))</f>
        <v/>
      </c>
      <c r="N112" s="20" t="str">
        <f>IF(coder1_YH!V111="","",IF(coder1_YH!V111=coder2_NY_MT!P112,1,0))</f>
        <v/>
      </c>
      <c r="O112" s="20" t="str">
        <f>IF(coder1_YH!W111="","",IF(coder1_YH!W111=coder2_NY_MT!Q112,1,0))</f>
        <v/>
      </c>
      <c r="P112" s="20" t="str">
        <f>IF(coder1_YH!X111="","",IF(coder1_YH!X111=coder2_NY_MT!R112,1,0))</f>
        <v/>
      </c>
      <c r="Q112" s="20" t="str">
        <f>IF(coder1_YH!Y111="","",IF(coder1_YH!Y111=coder2_NY_MT!S112,1,0))</f>
        <v/>
      </c>
      <c r="R112" s="20" t="str">
        <f>IF(coder1_YH!Z111="","",IF(coder1_YH!Z111=coder2_NY_MT!T112,1,0))</f>
        <v/>
      </c>
      <c r="S112" s="20" t="str">
        <f>IF(R112="","",IF(OR(coder2_NY_MT!U112="", coder1_YH!AA111 = ""),0,1))</f>
        <v/>
      </c>
      <c r="T112" s="20" t="str">
        <f>IF(coder1_YH!AB111="","",IF(coder1_YH!AB111=coder2_NY_MT!V112,1,0))</f>
        <v/>
      </c>
      <c r="U112" s="20" t="str">
        <f>IF(coder1_YH!AC111="","",IF(coder1_YH!AC111=coder2_NY_MT!W112,1,0))</f>
        <v/>
      </c>
      <c r="V112" s="20" t="str">
        <f>IF(coder1_YH!AD111="","",IF(coder1_YH!AD111=coder2_NY_MT!X112,1,0))</f>
        <v/>
      </c>
      <c r="W112" s="20" t="str">
        <f>IF(coder1_YH!AE111="","",IF(coder1_YH!AE111=coder2_NY_MT!Y112,1,0))</f>
        <v/>
      </c>
      <c r="X112" s="20" t="str">
        <f>IF(coder1_YH!AF111="","",IF(coder1_YH!AF111=coder2_NY_MT!Z112,1,0))</f>
        <v/>
      </c>
      <c r="Y112" s="20" t="str">
        <f>IF(coder1_YH!AG111="","",IF(coder1_YH!AG111=coder2_NY_MT!AA112,1,0))</f>
        <v/>
      </c>
      <c r="Z112" s="20" t="str">
        <f>IF(coder1_YH!AH111="","",IF(coder1_YH!AH111=coder2_NY_MT!AB112,1,0))</f>
        <v/>
      </c>
      <c r="AA112" s="20" t="str">
        <f>IF(coder1_YH!AI111="","",IF(coder1_YH!AI111=coder2_NY_MT!AC112,1,0))</f>
        <v/>
      </c>
      <c r="AB112" s="20">
        <f>IF(OR(coder2_NY_MT!AD111="", coder1_YH!AJ111 = ""),0,1)</f>
        <v>1</v>
      </c>
      <c r="AC112" s="20">
        <f>IF(coder1_YH!AK111="","",IF(coder1_YH!AK111=coder2_NY_MT!AE112,1,0))</f>
        <v>1</v>
      </c>
      <c r="AD112" s="20">
        <f>IF(OR(coder2_NY_MT!AF112="", coder1_YH!AL111 = ""),0,1)</f>
        <v>1</v>
      </c>
      <c r="AF112" s="20">
        <f>IF(coder1_YH!AN111="","",IF(coder1_YH!AN111=coder2_NY_MT!AH112,1,0))</f>
        <v>1</v>
      </c>
      <c r="AG112" s="20">
        <f>IF(coder1_YH!AO111="","",IF(coder1_YH!AO111=coder2_NY_MT!AI112,1,0))</f>
        <v>1</v>
      </c>
      <c r="AH112" s="20">
        <f>IF(coder1_YH!AP111="","",IF(coder1_YH!AP111=coder2_NY_MT!AJ112,1,0))</f>
        <v>1</v>
      </c>
      <c r="AI112" s="20">
        <f>IF(coder1_YH!AQ111="","",IF(coder1_YH!AQ111=coder2_NY_MT!AK112,1,0))</f>
        <v>1</v>
      </c>
      <c r="AJ112" s="20">
        <f>IF(coder1_YH!AR111="","",IF(coder1_YH!AR111=coder2_NY_MT!AL112,1,0))</f>
        <v>1</v>
      </c>
      <c r="AK112" s="20">
        <f>IF(coder1_YH!AS111="","",IF(coder1_YH!AS111=coder2_NY_MT!AM112,1,0))</f>
        <v>1</v>
      </c>
      <c r="AL112" s="20" t="str">
        <f>IF(coder1_YH!AZ111="","",IF(coder1_YH!AZ111=coder2_NY_MT!AT112,1,0))</f>
        <v/>
      </c>
      <c r="AM112" s="20" t="str">
        <f>IF(coder1_YH!BA111="","",IF(coder1_YH!BA111=coder2_NY_MT!AU112,1,0))</f>
        <v/>
      </c>
      <c r="AN112" s="2"/>
    </row>
    <row r="113" spans="1:40" s="20" customFormat="1" ht="17" hidden="1" customHeight="1" x14ac:dyDescent="0.2">
      <c r="A113" s="20" t="str">
        <f>IF(coder1_YH!G112="","",IF(coder1_YH!G112=coder2_NY_MT!A113,1,0))</f>
        <v/>
      </c>
      <c r="B113" s="20" t="str">
        <f>IF(coder1_YH!H112="","",IF(RIGHT(coder1_YH!H112,2)=RIGHT(coder2_NY_MT!B113,2),1,0))</f>
        <v/>
      </c>
      <c r="C113" s="20" t="str">
        <f>IF(coder1_YH!I112="","",IF(coder1_YH!I112=coder2_NY_MT!C113,1,0))</f>
        <v/>
      </c>
      <c r="E113" s="20" t="str">
        <f>IF(coder1_YH!K112="","",IF(coder1_YH!K112=coder2_NY_MT!E113,1,0))</f>
        <v/>
      </c>
      <c r="F113" s="20" t="str">
        <f>IF(coder1_YH!L112="","",IF(coder1_YH!L112=coder2_NY_MT!F113,1,0))</f>
        <v/>
      </c>
      <c r="G113" s="20" t="str">
        <f>IF(coder1_YH!M112="","",IF(coder1_YH!M112=coder2_NY_MT!G113,1,0))</f>
        <v/>
      </c>
      <c r="H113" s="20" t="str">
        <f>IF(coder1_YH!P112="","",IF(RIGHT(coder1_YH!P112,3)=RIGHT(coder2_NY_MT!J113,3),1,0))</f>
        <v/>
      </c>
      <c r="I113" s="20" t="str">
        <f>IF(H113="","",IF(OR(coder2_NY_MT!K113="", coder1_YH!Q112 = ""),0,1))</f>
        <v/>
      </c>
      <c r="J113" s="20" t="str">
        <f>IF(coder1_YH!R112="","",IF(coder1_YH!R112=coder2_NY_MT!L113,1,0))</f>
        <v/>
      </c>
      <c r="K113" s="20" t="str">
        <f>IF(coder1_YH!S112="","",IF(coder1_YH!S112=coder2_NY_MT!M113,1,0))</f>
        <v/>
      </c>
      <c r="L113" s="20" t="str">
        <f>IF(coder1_YH!T112="","",IF(coder1_YH!T112=coder2_NY_MT!N113,1,0))</f>
        <v/>
      </c>
      <c r="M113" s="20" t="str">
        <f>IF(coder1_YH!U112="","",IF(coder1_YH!U112=coder2_NY_MT!O113,1,0))</f>
        <v/>
      </c>
      <c r="N113" s="20" t="str">
        <f>IF(coder1_YH!V112="","",IF(coder1_YH!V112=coder2_NY_MT!P113,1,0))</f>
        <v/>
      </c>
      <c r="O113" s="20" t="str">
        <f>IF(coder1_YH!W112="","",IF(coder1_YH!W112=coder2_NY_MT!Q113,1,0))</f>
        <v/>
      </c>
      <c r="P113" s="20" t="str">
        <f>IF(coder1_YH!X112="","",IF(coder1_YH!X112=coder2_NY_MT!R113,1,0))</f>
        <v/>
      </c>
      <c r="Q113" s="20" t="str">
        <f>IF(coder1_YH!Y112="","",IF(coder1_YH!Y112=coder2_NY_MT!S113,1,0))</f>
        <v/>
      </c>
      <c r="R113" s="20" t="str">
        <f>IF(coder1_YH!Z112="","",IF(coder1_YH!Z112=coder2_NY_MT!T113,1,0))</f>
        <v/>
      </c>
      <c r="S113" s="20" t="str">
        <f>IF(R113="","",IF(OR(coder2_NY_MT!U113="", coder1_YH!AA112 = ""),0,1))</f>
        <v/>
      </c>
      <c r="T113" s="20" t="str">
        <f>IF(coder1_YH!AB112="","",IF(coder1_YH!AB112=coder2_NY_MT!V113,1,0))</f>
        <v/>
      </c>
      <c r="U113" s="20" t="str">
        <f>IF(coder1_YH!AC112="","",IF(coder1_YH!AC112=coder2_NY_MT!W113,1,0))</f>
        <v/>
      </c>
      <c r="V113" s="20" t="str">
        <f>IF(coder1_YH!AD112="","",IF(coder1_YH!AD112=coder2_NY_MT!X113,1,0))</f>
        <v/>
      </c>
      <c r="W113" s="20" t="str">
        <f>IF(coder1_YH!AE112="","",IF(coder1_YH!AE112=coder2_NY_MT!Y113,1,0))</f>
        <v/>
      </c>
      <c r="X113" s="20" t="str">
        <f>IF(coder1_YH!AF112="","",IF(coder1_YH!AF112=coder2_NY_MT!Z113,1,0))</f>
        <v/>
      </c>
      <c r="Y113" s="20" t="str">
        <f>IF(coder1_YH!AG112="","",IF(coder1_YH!AG112=coder2_NY_MT!AA113,1,0))</f>
        <v/>
      </c>
      <c r="Z113" s="20" t="str">
        <f>IF(coder1_YH!AH112="","",IF(coder1_YH!AH112=coder2_NY_MT!AB113,1,0))</f>
        <v/>
      </c>
      <c r="AA113" s="20" t="str">
        <f>IF(coder1_YH!AI112="","",IF(coder1_YH!AI112=coder2_NY_MT!AC113,1,0))</f>
        <v/>
      </c>
      <c r="AB113" s="20">
        <f>IF(OR(coder2_NY_MT!AD112="", coder1_YH!AJ112 = ""),0,1)</f>
        <v>1</v>
      </c>
      <c r="AC113" s="20">
        <f>IF(coder1_YH!AK112="","",IF(coder1_YH!AK112=coder2_NY_MT!AE113,1,0))</f>
        <v>1</v>
      </c>
      <c r="AD113" s="20">
        <f>IF(OR(coder2_NY_MT!AF113="", coder1_YH!AL112 = ""),0,1)</f>
        <v>1</v>
      </c>
      <c r="AF113" s="20">
        <f>IF(coder1_YH!AN112="","",IF(coder1_YH!AN112=coder2_NY_MT!AH113,1,0))</f>
        <v>1</v>
      </c>
      <c r="AG113" s="20">
        <f>IF(coder1_YH!AO112="","",IF(coder1_YH!AO112=coder2_NY_MT!AI113,1,0))</f>
        <v>1</v>
      </c>
      <c r="AH113" s="20">
        <f>IF(coder1_YH!AP112="","",IF(coder1_YH!AP112=coder2_NY_MT!AJ113,1,0))</f>
        <v>1</v>
      </c>
      <c r="AI113" s="20">
        <f>IF(coder1_YH!AQ112="","",IF(coder1_YH!AQ112=coder2_NY_MT!AK113,1,0))</f>
        <v>1</v>
      </c>
      <c r="AJ113" s="20">
        <f>IF(coder1_YH!AR112="","",IF(coder1_YH!AR112=coder2_NY_MT!AL113,1,0))</f>
        <v>1</v>
      </c>
      <c r="AK113" s="20">
        <f>IF(coder1_YH!AS112="","",IF(coder1_YH!AS112=coder2_NY_MT!AM113,1,0))</f>
        <v>1</v>
      </c>
      <c r="AL113" s="20" t="str">
        <f>IF(coder1_YH!AZ112="","",IF(coder1_YH!AZ112=coder2_NY_MT!AT113,1,0))</f>
        <v/>
      </c>
      <c r="AM113" s="20" t="str">
        <f>IF(coder1_YH!BA112="","",IF(coder1_YH!BA112=coder2_NY_MT!AU113,1,0))</f>
        <v/>
      </c>
      <c r="AN113" s="2"/>
    </row>
    <row r="114" spans="1:40" s="20" customFormat="1" ht="17" hidden="1" customHeight="1" x14ac:dyDescent="0.2">
      <c r="A114" s="20" t="str">
        <f>IF(coder1_YH!G113="","",IF(coder1_YH!G113=coder2_NY_MT!A114,1,0))</f>
        <v/>
      </c>
      <c r="B114" s="20" t="str">
        <f>IF(coder1_YH!H113="","",IF(RIGHT(coder1_YH!H113,2)=RIGHT(coder2_NY_MT!B114,2),1,0))</f>
        <v/>
      </c>
      <c r="C114" s="20" t="str">
        <f>IF(coder1_YH!I113="","",IF(coder1_YH!I113=coder2_NY_MT!C114,1,0))</f>
        <v/>
      </c>
      <c r="E114" s="20" t="str">
        <f>IF(coder1_YH!K113="","",IF(coder1_YH!K113=coder2_NY_MT!E114,1,0))</f>
        <v/>
      </c>
      <c r="F114" s="20" t="str">
        <f>IF(coder1_YH!L113="","",IF(coder1_YH!L113=coder2_NY_MT!F114,1,0))</f>
        <v/>
      </c>
      <c r="G114" s="20" t="str">
        <f>IF(coder1_YH!M113="","",IF(coder1_YH!M113=coder2_NY_MT!G114,1,0))</f>
        <v/>
      </c>
      <c r="H114" s="20">
        <f>IF(coder1_YH!P113="","",IF(RIGHT(coder1_YH!P113,3)=RIGHT(coder2_NY_MT!J114,3),1,0))</f>
        <v>0</v>
      </c>
      <c r="I114" s="20">
        <f>IF(H114="","",IF(OR(coder2_NY_MT!K114="", coder1_YH!Q113 = ""),0,1))</f>
        <v>1</v>
      </c>
      <c r="J114" s="20">
        <f>IF(coder1_YH!R113="","",IF(coder1_YH!R113=coder2_NY_MT!L114,1,0))</f>
        <v>1</v>
      </c>
      <c r="K114" s="20">
        <f>IF(coder1_YH!S113="","",IF(coder1_YH!S113=coder2_NY_MT!M114,1,0))</f>
        <v>1</v>
      </c>
      <c r="L114" s="20">
        <f>IF(coder1_YH!T113="","",IF(coder1_YH!T113=coder2_NY_MT!N114,1,0))</f>
        <v>1</v>
      </c>
      <c r="M114" s="20">
        <f>IF(coder1_YH!U113="","",IF(coder1_YH!U113=coder2_NY_MT!O114,1,0))</f>
        <v>1</v>
      </c>
      <c r="N114" s="20">
        <f>IF(coder1_YH!V113="","",IF(coder1_YH!V113=coder2_NY_MT!P114,1,0))</f>
        <v>1</v>
      </c>
      <c r="O114" s="20">
        <f>IF(coder1_YH!W113="","",IF(coder1_YH!W113=coder2_NY_MT!Q114,1,0))</f>
        <v>1</v>
      </c>
      <c r="P114" s="20">
        <f>IF(coder1_YH!X113="","",IF(coder1_YH!X113=coder2_NY_MT!R114,1,0))</f>
        <v>1</v>
      </c>
      <c r="Q114" s="20">
        <f>IF(coder1_YH!Y113="","",IF(coder1_YH!Y113=coder2_NY_MT!S114,1,0))</f>
        <v>1</v>
      </c>
      <c r="R114" s="20">
        <f>IF(coder1_YH!Z113="","",IF(coder1_YH!Z113=coder2_NY_MT!T114,1,0))</f>
        <v>1</v>
      </c>
      <c r="S114" s="20">
        <f>IF(R114="","",IF(OR(coder2_NY_MT!U114="", coder1_YH!AA113 = ""),0,1))</f>
        <v>1</v>
      </c>
      <c r="T114" s="20">
        <f>IF(coder1_YH!AB113="","",IF(coder1_YH!AB113=coder2_NY_MT!V114,1,0))</f>
        <v>1</v>
      </c>
      <c r="U114" s="20">
        <f>IF(coder1_YH!AC113="","",IF(coder1_YH!AC113=coder2_NY_MT!W114,1,0))</f>
        <v>1</v>
      </c>
      <c r="V114" s="20">
        <f>IF(coder1_YH!AD113="","",IF(coder1_YH!AD113=coder2_NY_MT!X114,1,0))</f>
        <v>1</v>
      </c>
      <c r="W114" s="20">
        <f>IF(coder1_YH!AE113="","",IF(coder1_YH!AE113=coder2_NY_MT!Y114,1,0))</f>
        <v>1</v>
      </c>
      <c r="X114" s="20">
        <f>IF(coder1_YH!AF113="","",IF(coder1_YH!AF113=coder2_NY_MT!Z114,1,0))</f>
        <v>1</v>
      </c>
      <c r="Y114" s="20">
        <f>IF(coder1_YH!AG113="","",IF(coder1_YH!AG113=coder2_NY_MT!AA114,1,0))</f>
        <v>1</v>
      </c>
      <c r="Z114" s="20">
        <f>IF(coder1_YH!AH113="","",IF(coder1_YH!AH113=coder2_NY_MT!AB114,1,0))</f>
        <v>1</v>
      </c>
      <c r="AA114" s="20">
        <f>IF(coder1_YH!AI113="","",IF(coder1_YH!AI113=coder2_NY_MT!AC114,1,0))</f>
        <v>1</v>
      </c>
      <c r="AB114" s="20">
        <f>IF(OR(coder2_NY_MT!AD113="", coder1_YH!AJ113 = ""),0,1)</f>
        <v>1</v>
      </c>
      <c r="AC114" s="20">
        <f>IF(coder1_YH!AK113="","",IF(coder1_YH!AK113=coder2_NY_MT!AE114,1,0))</f>
        <v>1</v>
      </c>
      <c r="AD114" s="20">
        <f>IF(OR(coder2_NY_MT!AF114="", coder1_YH!AL113 = ""),0,1)</f>
        <v>1</v>
      </c>
      <c r="AF114" s="20">
        <f>IF(coder1_YH!AN113="","",IF(coder1_YH!AN113=coder2_NY_MT!AH114,1,0))</f>
        <v>1</v>
      </c>
      <c r="AG114" s="20">
        <f>IF(coder1_YH!AO113="","",IF(coder1_YH!AO113=coder2_NY_MT!AI114,1,0))</f>
        <v>1</v>
      </c>
      <c r="AH114" s="20">
        <f>IF(coder1_YH!AP113="","",IF(coder1_YH!AP113=coder2_NY_MT!AJ114,1,0))</f>
        <v>1</v>
      </c>
      <c r="AI114" s="20">
        <f>IF(coder1_YH!AQ113="","",IF(coder1_YH!AQ113=coder2_NY_MT!AK114,1,0))</f>
        <v>1</v>
      </c>
      <c r="AJ114" s="20">
        <f>IF(coder1_YH!AR113="","",IF(coder1_YH!AR113=coder2_NY_MT!AL114,1,0))</f>
        <v>1</v>
      </c>
      <c r="AK114" s="20">
        <f>IF(coder1_YH!AS113="","",IF(coder1_YH!AS113=coder2_NY_MT!AM114,1,0))</f>
        <v>1</v>
      </c>
      <c r="AL114" s="20" t="str">
        <f>IF(coder1_YH!AZ113="","",IF(coder1_YH!AZ113=coder2_NY_MT!AT114,1,0))</f>
        <v/>
      </c>
      <c r="AM114" s="20" t="str">
        <f>IF(coder1_YH!BA113="","",IF(coder1_YH!BA113=coder2_NY_MT!AU114,1,0))</f>
        <v/>
      </c>
      <c r="AN114" s="2"/>
    </row>
    <row r="115" spans="1:40" s="20" customFormat="1" ht="17" hidden="1" customHeight="1" x14ac:dyDescent="0.2">
      <c r="A115" s="20" t="str">
        <f>IF(coder1_YH!G114="","",IF(coder1_YH!G114=coder2_NY_MT!A115,1,0))</f>
        <v/>
      </c>
      <c r="B115" s="20" t="str">
        <f>IF(coder1_YH!H114="","",IF(RIGHT(coder1_YH!H114,2)=RIGHT(coder2_NY_MT!B115,2),1,0))</f>
        <v/>
      </c>
      <c r="C115" s="20" t="str">
        <f>IF(coder1_YH!I114="","",IF(coder1_YH!I114=coder2_NY_MT!C115,1,0))</f>
        <v/>
      </c>
      <c r="E115" s="20" t="str">
        <f>IF(coder1_YH!K114="","",IF(coder1_YH!K114=coder2_NY_MT!E115,1,0))</f>
        <v/>
      </c>
      <c r="F115" s="20" t="str">
        <f>IF(coder1_YH!L114="","",IF(coder1_YH!L114=coder2_NY_MT!F115,1,0))</f>
        <v/>
      </c>
      <c r="G115" s="20" t="str">
        <f>IF(coder1_YH!M114="","",IF(coder1_YH!M114=coder2_NY_MT!G115,1,0))</f>
        <v/>
      </c>
      <c r="H115" s="20" t="str">
        <f>IF(coder1_YH!P114="","",IF(RIGHT(coder1_YH!P114,3)=RIGHT(coder2_NY_MT!J115,3),1,0))</f>
        <v/>
      </c>
      <c r="I115" s="20" t="str">
        <f>IF(H115="","",IF(OR(coder2_NY_MT!K115="", coder1_YH!Q114 = ""),0,1))</f>
        <v/>
      </c>
      <c r="J115" s="20" t="str">
        <f>IF(coder1_YH!R114="","",IF(coder1_YH!R114=coder2_NY_MT!L115,1,0))</f>
        <v/>
      </c>
      <c r="K115" s="20" t="str">
        <f>IF(coder1_YH!S114="","",IF(coder1_YH!S114=coder2_NY_MT!M115,1,0))</f>
        <v/>
      </c>
      <c r="L115" s="20" t="str">
        <f>IF(coder1_YH!T114="","",IF(coder1_YH!T114=coder2_NY_MT!N115,1,0))</f>
        <v/>
      </c>
      <c r="M115" s="20" t="str">
        <f>IF(coder1_YH!U114="","",IF(coder1_YH!U114=coder2_NY_MT!O115,1,0))</f>
        <v/>
      </c>
      <c r="N115" s="20" t="str">
        <f>IF(coder1_YH!V114="","",IF(coder1_YH!V114=coder2_NY_MT!P115,1,0))</f>
        <v/>
      </c>
      <c r="O115" s="20" t="str">
        <f>IF(coder1_YH!W114="","",IF(coder1_YH!W114=coder2_NY_MT!Q115,1,0))</f>
        <v/>
      </c>
      <c r="P115" s="20" t="str">
        <f>IF(coder1_YH!X114="","",IF(coder1_YH!X114=coder2_NY_MT!R115,1,0))</f>
        <v/>
      </c>
      <c r="Q115" s="20" t="str">
        <f>IF(coder1_YH!Y114="","",IF(coder1_YH!Y114=coder2_NY_MT!S115,1,0))</f>
        <v/>
      </c>
      <c r="R115" s="20" t="str">
        <f>IF(coder1_YH!Z114="","",IF(coder1_YH!Z114=coder2_NY_MT!T115,1,0))</f>
        <v/>
      </c>
      <c r="S115" s="20" t="str">
        <f>IF(R115="","",IF(OR(coder2_NY_MT!U115="", coder1_YH!AA114 = ""),0,1))</f>
        <v/>
      </c>
      <c r="T115" s="20" t="str">
        <f>IF(coder1_YH!AB114="","",IF(coder1_YH!AB114=coder2_NY_MT!V115,1,0))</f>
        <v/>
      </c>
      <c r="U115" s="20" t="str">
        <f>IF(coder1_YH!AC114="","",IF(coder1_YH!AC114=coder2_NY_MT!W115,1,0))</f>
        <v/>
      </c>
      <c r="V115" s="20" t="str">
        <f>IF(coder1_YH!AD114="","",IF(coder1_YH!AD114=coder2_NY_MT!X115,1,0))</f>
        <v/>
      </c>
      <c r="W115" s="20" t="str">
        <f>IF(coder1_YH!AE114="","",IF(coder1_YH!AE114=coder2_NY_MT!Y115,1,0))</f>
        <v/>
      </c>
      <c r="X115" s="20" t="str">
        <f>IF(coder1_YH!AF114="","",IF(coder1_YH!AF114=coder2_NY_MT!Z115,1,0))</f>
        <v/>
      </c>
      <c r="Y115" s="20" t="str">
        <f>IF(coder1_YH!AG114="","",IF(coder1_YH!AG114=coder2_NY_MT!AA115,1,0))</f>
        <v/>
      </c>
      <c r="Z115" s="20" t="str">
        <f>IF(coder1_YH!AH114="","",IF(coder1_YH!AH114=coder2_NY_MT!AB115,1,0))</f>
        <v/>
      </c>
      <c r="AA115" s="20" t="str">
        <f>IF(coder1_YH!AI114="","",IF(coder1_YH!AI114=coder2_NY_MT!AC115,1,0))</f>
        <v/>
      </c>
      <c r="AB115" s="20">
        <f>IF(OR(coder2_NY_MT!AD114="", coder1_YH!AJ114 = ""),0,1)</f>
        <v>1</v>
      </c>
      <c r="AC115" s="20">
        <f>IF(coder1_YH!AK114="","",IF(coder1_YH!AK114=coder2_NY_MT!AE115,1,0))</f>
        <v>1</v>
      </c>
      <c r="AD115" s="20">
        <f>IF(OR(coder2_NY_MT!AF115="", coder1_YH!AL114 = ""),0,1)</f>
        <v>1</v>
      </c>
      <c r="AF115" s="20">
        <f>IF(coder1_YH!AN114="","",IF(coder1_YH!AN114=coder2_NY_MT!AH115,1,0))</f>
        <v>1</v>
      </c>
      <c r="AG115" s="20">
        <f>IF(coder1_YH!AO114="","",IF(coder1_YH!AO114=coder2_NY_MT!AI115,1,0))</f>
        <v>1</v>
      </c>
      <c r="AH115" s="20">
        <f>IF(coder1_YH!AP114="","",IF(coder1_YH!AP114=coder2_NY_MT!AJ115,1,0))</f>
        <v>1</v>
      </c>
      <c r="AI115" s="20">
        <f>IF(coder1_YH!AQ114="","",IF(coder1_YH!AQ114=coder2_NY_MT!AK115,1,0))</f>
        <v>1</v>
      </c>
      <c r="AJ115" s="20">
        <f>IF(coder1_YH!AR114="","",IF(coder1_YH!AR114=coder2_NY_MT!AL115,1,0))</f>
        <v>1</v>
      </c>
      <c r="AK115" s="20">
        <f>IF(coder1_YH!AS114="","",IF(coder1_YH!AS114=coder2_NY_MT!AM115,1,0))</f>
        <v>1</v>
      </c>
      <c r="AL115" s="20" t="str">
        <f>IF(coder1_YH!AZ114="","",IF(coder1_YH!AZ114=coder2_NY_MT!AT115,1,0))</f>
        <v/>
      </c>
      <c r="AM115" s="20" t="str">
        <f>IF(coder1_YH!BA114="","",IF(coder1_YH!BA114=coder2_NY_MT!AU115,1,0))</f>
        <v/>
      </c>
      <c r="AN115" s="2"/>
    </row>
    <row r="116" spans="1:40" s="20" customFormat="1" ht="17" hidden="1" customHeight="1" x14ac:dyDescent="0.2">
      <c r="A116" s="20" t="str">
        <f>IF(coder1_YH!G115="","",IF(coder1_YH!G115=coder2_NY_MT!A116,1,0))</f>
        <v/>
      </c>
      <c r="B116" s="20" t="str">
        <f>IF(coder1_YH!H115="","",IF(RIGHT(coder1_YH!H115,2)=RIGHT(coder2_NY_MT!B116,2),1,0))</f>
        <v/>
      </c>
      <c r="C116" s="20" t="str">
        <f>IF(coder1_YH!I115="","",IF(coder1_YH!I115=coder2_NY_MT!C116,1,0))</f>
        <v/>
      </c>
      <c r="E116" s="20" t="str">
        <f>IF(coder1_YH!K115="","",IF(coder1_YH!K115=coder2_NY_MT!E116,1,0))</f>
        <v/>
      </c>
      <c r="F116" s="20" t="str">
        <f>IF(coder1_YH!L115="","",IF(coder1_YH!L115=coder2_NY_MT!F116,1,0))</f>
        <v/>
      </c>
      <c r="G116" s="20" t="str">
        <f>IF(coder1_YH!M115="","",IF(coder1_YH!M115=coder2_NY_MT!G116,1,0))</f>
        <v/>
      </c>
      <c r="H116" s="20" t="str">
        <f>IF(coder1_YH!P115="","",IF(RIGHT(coder1_YH!P115,3)=RIGHT(coder2_NY_MT!J116,3),1,0))</f>
        <v/>
      </c>
      <c r="I116" s="20" t="str">
        <f>IF(H116="","",IF(OR(coder2_NY_MT!K116="", coder1_YH!Q115 = ""),0,1))</f>
        <v/>
      </c>
      <c r="J116" s="20" t="str">
        <f>IF(coder1_YH!R115="","",IF(coder1_YH!R115=coder2_NY_MT!L116,1,0))</f>
        <v/>
      </c>
      <c r="K116" s="20" t="str">
        <f>IF(coder1_YH!S115="","",IF(coder1_YH!S115=coder2_NY_MT!M116,1,0))</f>
        <v/>
      </c>
      <c r="L116" s="20" t="str">
        <f>IF(coder1_YH!T115="","",IF(coder1_YH!T115=coder2_NY_MT!N116,1,0))</f>
        <v/>
      </c>
      <c r="M116" s="20" t="str">
        <f>IF(coder1_YH!U115="","",IF(coder1_YH!U115=coder2_NY_MT!O116,1,0))</f>
        <v/>
      </c>
      <c r="N116" s="20" t="str">
        <f>IF(coder1_YH!V115="","",IF(coder1_YH!V115=coder2_NY_MT!P116,1,0))</f>
        <v/>
      </c>
      <c r="O116" s="20" t="str">
        <f>IF(coder1_YH!W115="","",IF(coder1_YH!W115=coder2_NY_MT!Q116,1,0))</f>
        <v/>
      </c>
      <c r="P116" s="20" t="str">
        <f>IF(coder1_YH!X115="","",IF(coder1_YH!X115=coder2_NY_MT!R116,1,0))</f>
        <v/>
      </c>
      <c r="Q116" s="20" t="str">
        <f>IF(coder1_YH!Y115="","",IF(coder1_YH!Y115=coder2_NY_MT!S116,1,0))</f>
        <v/>
      </c>
      <c r="R116" s="20" t="str">
        <f>IF(coder1_YH!Z115="","",IF(coder1_YH!Z115=coder2_NY_MT!T116,1,0))</f>
        <v/>
      </c>
      <c r="S116" s="20" t="str">
        <f>IF(R116="","",IF(OR(coder2_NY_MT!U116="", coder1_YH!AA115 = ""),0,1))</f>
        <v/>
      </c>
      <c r="T116" s="20" t="str">
        <f>IF(coder1_YH!AB115="","",IF(coder1_YH!AB115=coder2_NY_MT!V116,1,0))</f>
        <v/>
      </c>
      <c r="U116" s="20" t="str">
        <f>IF(coder1_YH!AC115="","",IF(coder1_YH!AC115=coder2_NY_MT!W116,1,0))</f>
        <v/>
      </c>
      <c r="V116" s="20" t="str">
        <f>IF(coder1_YH!AD115="","",IF(coder1_YH!AD115=coder2_NY_MT!X116,1,0))</f>
        <v/>
      </c>
      <c r="W116" s="20" t="str">
        <f>IF(coder1_YH!AE115="","",IF(coder1_YH!AE115=coder2_NY_MT!Y116,1,0))</f>
        <v/>
      </c>
      <c r="X116" s="20" t="str">
        <f>IF(coder1_YH!AF115="","",IF(coder1_YH!AF115=coder2_NY_MT!Z116,1,0))</f>
        <v/>
      </c>
      <c r="Y116" s="20" t="str">
        <f>IF(coder1_YH!AG115="","",IF(coder1_YH!AG115=coder2_NY_MT!AA116,1,0))</f>
        <v/>
      </c>
      <c r="Z116" s="20" t="str">
        <f>IF(coder1_YH!AH115="","",IF(coder1_YH!AH115=coder2_NY_MT!AB116,1,0))</f>
        <v/>
      </c>
      <c r="AA116" s="20" t="str">
        <f>IF(coder1_YH!AI115="","",IF(coder1_YH!AI115=coder2_NY_MT!AC116,1,0))</f>
        <v/>
      </c>
      <c r="AB116" s="20">
        <f>IF(OR(coder2_NY_MT!AD115="", coder1_YH!AJ115 = ""),0,1)</f>
        <v>1</v>
      </c>
      <c r="AC116" s="20">
        <f>IF(coder1_YH!AK115="","",IF(coder1_YH!AK115=coder2_NY_MT!AE116,1,0))</f>
        <v>1</v>
      </c>
      <c r="AD116" s="20">
        <f>IF(OR(coder2_NY_MT!AF116="", coder1_YH!AL115 = ""),0,1)</f>
        <v>1</v>
      </c>
      <c r="AF116" s="20">
        <f>IF(coder1_YH!AN115="","",IF(coder1_YH!AN115=coder2_NY_MT!AH116,1,0))</f>
        <v>1</v>
      </c>
      <c r="AG116" s="20">
        <f>IF(coder1_YH!AO115="","",IF(coder1_YH!AO115=coder2_NY_MT!AI116,1,0))</f>
        <v>1</v>
      </c>
      <c r="AH116" s="20">
        <f>IF(coder1_YH!AP115="","",IF(coder1_YH!AP115=coder2_NY_MT!AJ116,1,0))</f>
        <v>1</v>
      </c>
      <c r="AI116" s="20">
        <f>IF(coder1_YH!AQ115="","",IF(coder1_YH!AQ115=coder2_NY_MT!AK116,1,0))</f>
        <v>1</v>
      </c>
      <c r="AJ116" s="20">
        <f>IF(coder1_YH!AR115="","",IF(coder1_YH!AR115=coder2_NY_MT!AL116,1,0))</f>
        <v>1</v>
      </c>
      <c r="AK116" s="20">
        <f>IF(coder1_YH!AS115="","",IF(coder1_YH!AS115=coder2_NY_MT!AM116,1,0))</f>
        <v>1</v>
      </c>
      <c r="AL116" s="20" t="str">
        <f>IF(coder1_YH!AZ115="","",IF(coder1_YH!AZ115=coder2_NY_MT!AT116,1,0))</f>
        <v/>
      </c>
      <c r="AM116" s="20" t="str">
        <f>IF(coder1_YH!BA115="","",IF(coder1_YH!BA115=coder2_NY_MT!AU116,1,0))</f>
        <v/>
      </c>
      <c r="AN116" s="2"/>
    </row>
    <row r="117" spans="1:40" s="20" customFormat="1" ht="17" hidden="1" customHeight="1" x14ac:dyDescent="0.2">
      <c r="A117" s="20">
        <f>IF(coder1_YH!G116="","",IF(coder1_YH!G116=coder2_NY_MT!A117,1,0))</f>
        <v>0</v>
      </c>
      <c r="B117" s="20">
        <f>IF(coder1_YH!H116="","",IF(RIGHT(coder1_YH!H116,2)=RIGHT(coder2_NY_MT!B117,2),1,0))</f>
        <v>0</v>
      </c>
      <c r="C117" s="20">
        <f>IF(coder1_YH!I116="","",IF(coder1_YH!I116=coder2_NY_MT!C117,1,0))</f>
        <v>0</v>
      </c>
      <c r="E117" s="20">
        <f>IF(coder1_YH!K116="","",IF(coder1_YH!K116=coder2_NY_MT!E117,1,0))</f>
        <v>0</v>
      </c>
      <c r="F117" s="20">
        <f>IF(coder1_YH!L116="","",IF(coder1_YH!L116=coder2_NY_MT!F117,1,0))</f>
        <v>0</v>
      </c>
      <c r="G117" s="20">
        <f>IF(coder1_YH!M116="","",IF(coder1_YH!M116=coder2_NY_MT!G117,1,0))</f>
        <v>0</v>
      </c>
      <c r="H117" s="20">
        <f>IF(coder1_YH!P116="","",IF(RIGHT(coder1_YH!P116,3)=RIGHT(coder2_NY_MT!J117,3),1,0))</f>
        <v>0</v>
      </c>
      <c r="I117" s="20">
        <f>IF(H117="","",IF(OR(coder2_NY_MT!K117="", coder1_YH!Q116 = ""),0,1))</f>
        <v>1</v>
      </c>
      <c r="J117" s="20">
        <f>IF(coder1_YH!R116="","",IF(coder1_YH!R116=coder2_NY_MT!L117,1,0))</f>
        <v>1</v>
      </c>
      <c r="K117" s="20">
        <f>IF(coder1_YH!S116="","",IF(coder1_YH!S116=coder2_NY_MT!M117,1,0))</f>
        <v>1</v>
      </c>
      <c r="L117" s="20">
        <f>IF(coder1_YH!T116="","",IF(coder1_YH!T116=coder2_NY_MT!N117,1,0))</f>
        <v>1</v>
      </c>
      <c r="M117" s="20">
        <f>IF(coder1_YH!U116="","",IF(coder1_YH!U116=coder2_NY_MT!O117,1,0))</f>
        <v>1</v>
      </c>
      <c r="N117" s="20">
        <f>IF(coder1_YH!V116="","",IF(coder1_YH!V116=coder2_NY_MT!P117,1,0))</f>
        <v>1</v>
      </c>
      <c r="O117" s="20">
        <f>IF(coder1_YH!W116="","",IF(coder1_YH!W116=coder2_NY_MT!Q117,1,0))</f>
        <v>1</v>
      </c>
      <c r="P117" s="20">
        <f>IF(coder1_YH!X116="","",IF(coder1_YH!X116=coder2_NY_MT!R117,1,0))</f>
        <v>1</v>
      </c>
      <c r="Q117" s="20">
        <f>IF(coder1_YH!Y116="","",IF(coder1_YH!Y116=coder2_NY_MT!S117,1,0))</f>
        <v>1</v>
      </c>
      <c r="R117" s="20">
        <f>IF(coder1_YH!Z116="","",IF(coder1_YH!Z116=coder2_NY_MT!T117,1,0))</f>
        <v>1</v>
      </c>
      <c r="S117" s="20">
        <f>IF(R117="","",IF(OR(coder2_NY_MT!U117="", coder1_YH!AA116 = ""),0,1))</f>
        <v>1</v>
      </c>
      <c r="T117" s="20">
        <f>IF(coder1_YH!AB116="","",IF(coder1_YH!AB116=coder2_NY_MT!V117,1,0))</f>
        <v>1</v>
      </c>
      <c r="U117" s="20">
        <f>IF(coder1_YH!AC116="","",IF(coder1_YH!AC116=coder2_NY_MT!W117,1,0))</f>
        <v>1</v>
      </c>
      <c r="V117" s="20">
        <f>IF(coder1_YH!AD116="","",IF(coder1_YH!AD116=coder2_NY_MT!X117,1,0))</f>
        <v>1</v>
      </c>
      <c r="W117" s="20">
        <f>IF(coder1_YH!AE116="","",IF(coder1_YH!AE116=coder2_NY_MT!Y117,1,0))</f>
        <v>1</v>
      </c>
      <c r="X117" s="20">
        <f>IF(coder1_YH!AF116="","",IF(coder1_YH!AF116=coder2_NY_MT!Z117,1,0))</f>
        <v>1</v>
      </c>
      <c r="Y117" s="20">
        <f>IF(coder1_YH!AG116="","",IF(coder1_YH!AG116=coder2_NY_MT!AA117,1,0))</f>
        <v>1</v>
      </c>
      <c r="Z117" s="20">
        <f>IF(coder1_YH!AH116="","",IF(coder1_YH!AH116=coder2_NY_MT!AB117,1,0))</f>
        <v>1</v>
      </c>
      <c r="AA117" s="20">
        <f>IF(coder1_YH!AI116="","",IF(coder1_YH!AI116=coder2_NY_MT!AC117,1,0))</f>
        <v>1</v>
      </c>
      <c r="AB117" s="20">
        <f>IF(OR(coder2_NY_MT!AD116="", coder1_YH!AJ116 = ""),0,1)</f>
        <v>1</v>
      </c>
      <c r="AC117" s="20">
        <f>IF(coder1_YH!AK116="","",IF(coder1_YH!AK116=coder2_NY_MT!AE117,1,0))</f>
        <v>1</v>
      </c>
      <c r="AD117" s="20">
        <f>IF(OR(coder2_NY_MT!AF117="", coder1_YH!AL116 = ""),0,1)</f>
        <v>1</v>
      </c>
      <c r="AF117" s="20">
        <f>IF(coder1_YH!AN116="","",IF(coder1_YH!AN116=coder2_NY_MT!AH117,1,0))</f>
        <v>1</v>
      </c>
      <c r="AG117" s="20">
        <f>IF(coder1_YH!AO116="","",IF(coder1_YH!AO116=coder2_NY_MT!AI117,1,0))</f>
        <v>1</v>
      </c>
      <c r="AH117" s="20">
        <f>IF(coder1_YH!AP116="","",IF(coder1_YH!AP116=coder2_NY_MT!AJ117,1,0))</f>
        <v>1</v>
      </c>
      <c r="AI117" s="20">
        <f>IF(coder1_YH!AQ116="","",IF(coder1_YH!AQ116=coder2_NY_MT!AK117,1,0))</f>
        <v>1</v>
      </c>
      <c r="AJ117" s="20">
        <f>IF(coder1_YH!AR116="","",IF(coder1_YH!AR116=coder2_NY_MT!AL117,1,0))</f>
        <v>1</v>
      </c>
      <c r="AK117" s="20">
        <f>IF(coder1_YH!AS116="","",IF(coder1_YH!AS116=coder2_NY_MT!AM117,1,0))</f>
        <v>1</v>
      </c>
      <c r="AL117" s="20" t="str">
        <f>IF(coder1_YH!AZ116="","",IF(coder1_YH!AZ116=coder2_NY_MT!AT117,1,0))</f>
        <v/>
      </c>
      <c r="AM117" s="20" t="str">
        <f>IF(coder1_YH!BA116="","",IF(coder1_YH!BA116=coder2_NY_MT!AU117,1,0))</f>
        <v/>
      </c>
      <c r="AN117" s="2"/>
    </row>
    <row r="118" spans="1:40" s="20" customFormat="1" ht="17" hidden="1" customHeight="1" x14ac:dyDescent="0.2">
      <c r="A118" s="20" t="str">
        <f>IF(coder1_YH!G117="","",IF(coder1_YH!G117=coder2_NY_MT!A118,1,0))</f>
        <v/>
      </c>
      <c r="B118" s="20" t="str">
        <f>IF(coder1_YH!H117="","",IF(RIGHT(coder1_YH!H117,2)=RIGHT(coder2_NY_MT!B118,2),1,0))</f>
        <v/>
      </c>
      <c r="C118" s="20" t="str">
        <f>IF(coder1_YH!I117="","",IF(coder1_YH!I117=coder2_NY_MT!C118,1,0))</f>
        <v/>
      </c>
      <c r="E118" s="20" t="str">
        <f>IF(coder1_YH!K117="","",IF(coder1_YH!K117=coder2_NY_MT!E118,1,0))</f>
        <v/>
      </c>
      <c r="F118" s="20" t="str">
        <f>IF(coder1_YH!L117="","",IF(coder1_YH!L117=coder2_NY_MT!F118,1,0))</f>
        <v/>
      </c>
      <c r="G118" s="20" t="str">
        <f>IF(coder1_YH!M117="","",IF(coder1_YH!M117=coder2_NY_MT!G118,1,0))</f>
        <v/>
      </c>
      <c r="H118" s="20" t="str">
        <f>IF(coder1_YH!P117="","",IF(RIGHT(coder1_YH!P117,3)=RIGHT(coder2_NY_MT!J118,3),1,0))</f>
        <v/>
      </c>
      <c r="I118" s="20" t="str">
        <f>IF(H118="","",IF(OR(coder2_NY_MT!K118="", coder1_YH!Q117 = ""),0,1))</f>
        <v/>
      </c>
      <c r="J118" s="20" t="str">
        <f>IF(coder1_YH!R117="","",IF(coder1_YH!R117=coder2_NY_MT!L118,1,0))</f>
        <v/>
      </c>
      <c r="K118" s="20" t="str">
        <f>IF(coder1_YH!S117="","",IF(coder1_YH!S117=coder2_NY_MT!M118,1,0))</f>
        <v/>
      </c>
      <c r="L118" s="20" t="str">
        <f>IF(coder1_YH!T117="","",IF(coder1_YH!T117=coder2_NY_MT!N118,1,0))</f>
        <v/>
      </c>
      <c r="M118" s="20" t="str">
        <f>IF(coder1_YH!U117="","",IF(coder1_YH!U117=coder2_NY_MT!O118,1,0))</f>
        <v/>
      </c>
      <c r="N118" s="20" t="str">
        <f>IF(coder1_YH!V117="","",IF(coder1_YH!V117=coder2_NY_MT!P118,1,0))</f>
        <v/>
      </c>
      <c r="O118" s="20" t="str">
        <f>IF(coder1_YH!W117="","",IF(coder1_YH!W117=coder2_NY_MT!Q118,1,0))</f>
        <v/>
      </c>
      <c r="P118" s="20" t="str">
        <f>IF(coder1_YH!X117="","",IF(coder1_YH!X117=coder2_NY_MT!R118,1,0))</f>
        <v/>
      </c>
      <c r="Q118" s="20" t="str">
        <f>IF(coder1_YH!Y117="","",IF(coder1_YH!Y117=coder2_NY_MT!S118,1,0))</f>
        <v/>
      </c>
      <c r="R118" s="20" t="str">
        <f>IF(coder1_YH!Z117="","",IF(coder1_YH!Z117=coder2_NY_MT!T118,1,0))</f>
        <v/>
      </c>
      <c r="S118" s="20" t="str">
        <f>IF(R118="","",IF(OR(coder2_NY_MT!U118="", coder1_YH!AA117 = ""),0,1))</f>
        <v/>
      </c>
      <c r="T118" s="20" t="str">
        <f>IF(coder1_YH!AB117="","",IF(coder1_YH!AB117=coder2_NY_MT!V118,1,0))</f>
        <v/>
      </c>
      <c r="U118" s="20" t="str">
        <f>IF(coder1_YH!AC117="","",IF(coder1_YH!AC117=coder2_NY_MT!W118,1,0))</f>
        <v/>
      </c>
      <c r="V118" s="20" t="str">
        <f>IF(coder1_YH!AD117="","",IF(coder1_YH!AD117=coder2_NY_MT!X118,1,0))</f>
        <v/>
      </c>
      <c r="W118" s="20" t="str">
        <f>IF(coder1_YH!AE117="","",IF(coder1_YH!AE117=coder2_NY_MT!Y118,1,0))</f>
        <v/>
      </c>
      <c r="X118" s="20" t="str">
        <f>IF(coder1_YH!AF117="","",IF(coder1_YH!AF117=coder2_NY_MT!Z118,1,0))</f>
        <v/>
      </c>
      <c r="Y118" s="20" t="str">
        <f>IF(coder1_YH!AG117="","",IF(coder1_YH!AG117=coder2_NY_MT!AA118,1,0))</f>
        <v/>
      </c>
      <c r="Z118" s="20" t="str">
        <f>IF(coder1_YH!AH117="","",IF(coder1_YH!AH117=coder2_NY_MT!AB118,1,0))</f>
        <v/>
      </c>
      <c r="AA118" s="20" t="str">
        <f>IF(coder1_YH!AI117="","",IF(coder1_YH!AI117=coder2_NY_MT!AC118,1,0))</f>
        <v/>
      </c>
      <c r="AB118" s="20">
        <f>IF(OR(coder2_NY_MT!AD117="", coder1_YH!AJ117 = ""),0,1)</f>
        <v>1</v>
      </c>
      <c r="AC118" s="20">
        <f>IF(coder1_YH!AK117="","",IF(coder1_YH!AK117=coder2_NY_MT!AE118,1,0))</f>
        <v>1</v>
      </c>
      <c r="AD118" s="20">
        <f>IF(OR(coder2_NY_MT!AF118="", coder1_YH!AL117 = ""),0,1)</f>
        <v>1</v>
      </c>
      <c r="AF118" s="20">
        <f>IF(coder1_YH!AN117="","",IF(coder1_YH!AN117=coder2_NY_MT!AH118,1,0))</f>
        <v>1</v>
      </c>
      <c r="AG118" s="20">
        <f>IF(coder1_YH!AO117="","",IF(coder1_YH!AO117=coder2_NY_MT!AI118,1,0))</f>
        <v>1</v>
      </c>
      <c r="AH118" s="20">
        <f>IF(coder1_YH!AP117="","",IF(coder1_YH!AP117=coder2_NY_MT!AJ118,1,0))</f>
        <v>1</v>
      </c>
      <c r="AI118" s="20">
        <f>IF(coder1_YH!AQ117="","",IF(coder1_YH!AQ117=coder2_NY_MT!AK118,1,0))</f>
        <v>1</v>
      </c>
      <c r="AJ118" s="20">
        <f>IF(coder1_YH!AR117="","",IF(coder1_YH!AR117=coder2_NY_MT!AL118,1,0))</f>
        <v>1</v>
      </c>
      <c r="AK118" s="20">
        <f>IF(coder1_YH!AS117="","",IF(coder1_YH!AS117=coder2_NY_MT!AM118,1,0))</f>
        <v>1</v>
      </c>
      <c r="AL118" s="20" t="str">
        <f>IF(coder1_YH!AZ117="","",IF(coder1_YH!AZ117=coder2_NY_MT!AT118,1,0))</f>
        <v/>
      </c>
      <c r="AM118" s="20" t="str">
        <f>IF(coder1_YH!BA117="","",IF(coder1_YH!BA117=coder2_NY_MT!AU118,1,0))</f>
        <v/>
      </c>
      <c r="AN118" s="2"/>
    </row>
    <row r="119" spans="1:40" s="20" customFormat="1" ht="17" hidden="1" customHeight="1" x14ac:dyDescent="0.2">
      <c r="A119" s="20" t="str">
        <f>IF(coder1_YH!G118="","",IF(coder1_YH!G118=coder2_NY_MT!A119,1,0))</f>
        <v/>
      </c>
      <c r="B119" s="20" t="str">
        <f>IF(coder1_YH!H118="","",IF(RIGHT(coder1_YH!H118,2)=RIGHT(coder2_NY_MT!B119,2),1,0))</f>
        <v/>
      </c>
      <c r="C119" s="20" t="str">
        <f>IF(coder1_YH!I118="","",IF(coder1_YH!I118=coder2_NY_MT!C119,1,0))</f>
        <v/>
      </c>
      <c r="E119" s="20" t="str">
        <f>IF(coder1_YH!K118="","",IF(coder1_YH!K118=coder2_NY_MT!E119,1,0))</f>
        <v/>
      </c>
      <c r="F119" s="20" t="str">
        <f>IF(coder1_YH!L118="","",IF(coder1_YH!L118=coder2_NY_MT!F119,1,0))</f>
        <v/>
      </c>
      <c r="G119" s="20" t="str">
        <f>IF(coder1_YH!M118="","",IF(coder1_YH!M118=coder2_NY_MT!G119,1,0))</f>
        <v/>
      </c>
      <c r="H119" s="20" t="str">
        <f>IF(coder1_YH!P118="","",IF(RIGHT(coder1_YH!P118,3)=RIGHT(coder2_NY_MT!J119,3),1,0))</f>
        <v/>
      </c>
      <c r="I119" s="20" t="str">
        <f>IF(H119="","",IF(OR(coder2_NY_MT!K119="", coder1_YH!Q118 = ""),0,1))</f>
        <v/>
      </c>
      <c r="J119" s="20" t="str">
        <f>IF(coder1_YH!R118="","",IF(coder1_YH!R118=coder2_NY_MT!L119,1,0))</f>
        <v/>
      </c>
      <c r="K119" s="20" t="str">
        <f>IF(coder1_YH!S118="","",IF(coder1_YH!S118=coder2_NY_MT!M119,1,0))</f>
        <v/>
      </c>
      <c r="L119" s="20" t="str">
        <f>IF(coder1_YH!T118="","",IF(coder1_YH!T118=coder2_NY_MT!N119,1,0))</f>
        <v/>
      </c>
      <c r="M119" s="20" t="str">
        <f>IF(coder1_YH!U118="","",IF(coder1_YH!U118=coder2_NY_MT!O119,1,0))</f>
        <v/>
      </c>
      <c r="N119" s="20" t="str">
        <f>IF(coder1_YH!V118="","",IF(coder1_YH!V118=coder2_NY_MT!P119,1,0))</f>
        <v/>
      </c>
      <c r="O119" s="20" t="str">
        <f>IF(coder1_YH!W118="","",IF(coder1_YH!W118=coder2_NY_MT!Q119,1,0))</f>
        <v/>
      </c>
      <c r="P119" s="20" t="str">
        <f>IF(coder1_YH!X118="","",IF(coder1_YH!X118=coder2_NY_MT!R119,1,0))</f>
        <v/>
      </c>
      <c r="Q119" s="20" t="str">
        <f>IF(coder1_YH!Y118="","",IF(coder1_YH!Y118=coder2_NY_MT!S119,1,0))</f>
        <v/>
      </c>
      <c r="R119" s="20" t="str">
        <f>IF(coder1_YH!Z118="","",IF(coder1_YH!Z118=coder2_NY_MT!T119,1,0))</f>
        <v/>
      </c>
      <c r="S119" s="20" t="str">
        <f>IF(R119="","",IF(OR(coder2_NY_MT!U119="", coder1_YH!AA118 = ""),0,1))</f>
        <v/>
      </c>
      <c r="T119" s="20" t="str">
        <f>IF(coder1_YH!AB118="","",IF(coder1_YH!AB118=coder2_NY_MT!V119,1,0))</f>
        <v/>
      </c>
      <c r="U119" s="20" t="str">
        <f>IF(coder1_YH!AC118="","",IF(coder1_YH!AC118=coder2_NY_MT!W119,1,0))</f>
        <v/>
      </c>
      <c r="V119" s="20" t="str">
        <f>IF(coder1_YH!AD118="","",IF(coder1_YH!AD118=coder2_NY_MT!X119,1,0))</f>
        <v/>
      </c>
      <c r="W119" s="20" t="str">
        <f>IF(coder1_YH!AE118="","",IF(coder1_YH!AE118=coder2_NY_MT!Y119,1,0))</f>
        <v/>
      </c>
      <c r="X119" s="20" t="str">
        <f>IF(coder1_YH!AF118="","",IF(coder1_YH!AF118=coder2_NY_MT!Z119,1,0))</f>
        <v/>
      </c>
      <c r="Y119" s="20" t="str">
        <f>IF(coder1_YH!AG118="","",IF(coder1_YH!AG118=coder2_NY_MT!AA119,1,0))</f>
        <v/>
      </c>
      <c r="Z119" s="20" t="str">
        <f>IF(coder1_YH!AH118="","",IF(coder1_YH!AH118=coder2_NY_MT!AB119,1,0))</f>
        <v/>
      </c>
      <c r="AA119" s="20" t="str">
        <f>IF(coder1_YH!AI118="","",IF(coder1_YH!AI118=coder2_NY_MT!AC119,1,0))</f>
        <v/>
      </c>
      <c r="AB119" s="20">
        <f>IF(OR(coder2_NY_MT!AD118="", coder1_YH!AJ118 = ""),0,1)</f>
        <v>1</v>
      </c>
      <c r="AC119" s="20">
        <f>IF(coder1_YH!AK118="","",IF(coder1_YH!AK118=coder2_NY_MT!AE119,1,0))</f>
        <v>1</v>
      </c>
      <c r="AD119" s="20">
        <f>IF(OR(coder2_NY_MT!AF119="", coder1_YH!AL118 = ""),0,1)</f>
        <v>1</v>
      </c>
      <c r="AF119" s="20">
        <f>IF(coder1_YH!AN118="","",IF(coder1_YH!AN118=coder2_NY_MT!AH119,1,0))</f>
        <v>1</v>
      </c>
      <c r="AG119" s="20">
        <f>IF(coder1_YH!AO118="","",IF(coder1_YH!AO118=coder2_NY_MT!AI119,1,0))</f>
        <v>1</v>
      </c>
      <c r="AH119" s="20">
        <f>IF(coder1_YH!AP118="","",IF(coder1_YH!AP118=coder2_NY_MT!AJ119,1,0))</f>
        <v>1</v>
      </c>
      <c r="AI119" s="20">
        <f>IF(coder1_YH!AQ118="","",IF(coder1_YH!AQ118=coder2_NY_MT!AK119,1,0))</f>
        <v>1</v>
      </c>
      <c r="AJ119" s="20">
        <f>IF(coder1_YH!AR118="","",IF(coder1_YH!AR118=coder2_NY_MT!AL119,1,0))</f>
        <v>1</v>
      </c>
      <c r="AK119" s="20">
        <f>IF(coder1_YH!AS118="","",IF(coder1_YH!AS118=coder2_NY_MT!AM119,1,0))</f>
        <v>1</v>
      </c>
      <c r="AL119" s="20" t="str">
        <f>IF(coder1_YH!AZ118="","",IF(coder1_YH!AZ118=coder2_NY_MT!AT119,1,0))</f>
        <v/>
      </c>
      <c r="AM119" s="20" t="str">
        <f>IF(coder1_YH!BA118="","",IF(coder1_YH!BA118=coder2_NY_MT!AU119,1,0))</f>
        <v/>
      </c>
      <c r="AN119" s="2"/>
    </row>
    <row r="120" spans="1:40" s="20" customFormat="1" ht="17" hidden="1" customHeight="1" x14ac:dyDescent="0.2">
      <c r="A120" s="20" t="str">
        <f>IF(coder1_YH!G119="","",IF(coder1_YH!G119=coder2_NY_MT!A120,1,0))</f>
        <v/>
      </c>
      <c r="B120" s="20" t="str">
        <f>IF(coder1_YH!H119="","",IF(RIGHT(coder1_YH!H119,2)=RIGHT(coder2_NY_MT!B120,2),1,0))</f>
        <v/>
      </c>
      <c r="C120" s="20" t="str">
        <f>IF(coder1_YH!I119="","",IF(coder1_YH!I119=coder2_NY_MT!C120,1,0))</f>
        <v/>
      </c>
      <c r="E120" s="20" t="str">
        <f>IF(coder1_YH!K119="","",IF(coder1_YH!K119=coder2_NY_MT!E120,1,0))</f>
        <v/>
      </c>
      <c r="F120" s="20" t="str">
        <f>IF(coder1_YH!L119="","",IF(coder1_YH!L119=coder2_NY_MT!F120,1,0))</f>
        <v/>
      </c>
      <c r="G120" s="20" t="str">
        <f>IF(coder1_YH!M119="","",IF(coder1_YH!M119=coder2_NY_MT!G120,1,0))</f>
        <v/>
      </c>
      <c r="H120" s="20">
        <f>IF(coder1_YH!P119="","",IF(RIGHT(coder1_YH!P119,3)=RIGHT(coder2_NY_MT!J120,3),1,0))</f>
        <v>0</v>
      </c>
      <c r="I120" s="20">
        <f>IF(H120="","",IF(OR(coder2_NY_MT!K120="", coder1_YH!Q119 = ""),0,1))</f>
        <v>1</v>
      </c>
      <c r="J120" s="20">
        <f>IF(coder1_YH!R119="","",IF(coder1_YH!R119=coder2_NY_MT!L120,1,0))</f>
        <v>1</v>
      </c>
      <c r="K120" s="20">
        <f>IF(coder1_YH!S119="","",IF(coder1_YH!S119=coder2_NY_MT!M120,1,0))</f>
        <v>1</v>
      </c>
      <c r="L120" s="20">
        <f>IF(coder1_YH!T119="","",IF(coder1_YH!T119=coder2_NY_MT!N120,1,0))</f>
        <v>1</v>
      </c>
      <c r="M120" s="20">
        <f>IF(coder1_YH!U119="","",IF(coder1_YH!U119=coder2_NY_MT!O120,1,0))</f>
        <v>1</v>
      </c>
      <c r="N120" s="20">
        <f>IF(coder1_YH!V119="","",IF(coder1_YH!V119=coder2_NY_MT!P120,1,0))</f>
        <v>1</v>
      </c>
      <c r="O120" s="20">
        <f>IF(coder1_YH!W119="","",IF(coder1_YH!W119=coder2_NY_MT!Q120,1,0))</f>
        <v>1</v>
      </c>
      <c r="P120" s="20">
        <f>IF(coder1_YH!X119="","",IF(coder1_YH!X119=coder2_NY_MT!R120,1,0))</f>
        <v>1</v>
      </c>
      <c r="Q120" s="20">
        <f>IF(coder1_YH!Y119="","",IF(coder1_YH!Y119=coder2_NY_MT!S120,1,0))</f>
        <v>1</v>
      </c>
      <c r="R120" s="20">
        <f>IF(coder1_YH!Z119="","",IF(coder1_YH!Z119=coder2_NY_MT!T120,1,0))</f>
        <v>1</v>
      </c>
      <c r="S120" s="20">
        <f>IF(R120="","",IF(OR(coder2_NY_MT!U120="", coder1_YH!AA119 = ""),0,1))</f>
        <v>1</v>
      </c>
      <c r="T120" s="20">
        <f>IF(coder1_YH!AB119="","",IF(coder1_YH!AB119=coder2_NY_MT!V120,1,0))</f>
        <v>1</v>
      </c>
      <c r="U120" s="20">
        <f>IF(coder1_YH!AC119="","",IF(coder1_YH!AC119=coder2_NY_MT!W120,1,0))</f>
        <v>1</v>
      </c>
      <c r="V120" s="20">
        <f>IF(coder1_YH!AD119="","",IF(coder1_YH!AD119=coder2_NY_MT!X120,1,0))</f>
        <v>1</v>
      </c>
      <c r="W120" s="20">
        <f>IF(coder1_YH!AE119="","",IF(coder1_YH!AE119=coder2_NY_MT!Y120,1,0))</f>
        <v>1</v>
      </c>
      <c r="X120" s="20">
        <f>IF(coder1_YH!AF119="","",IF(coder1_YH!AF119=coder2_NY_MT!Z120,1,0))</f>
        <v>1</v>
      </c>
      <c r="Y120" s="20">
        <f>IF(coder1_YH!AG119="","",IF(coder1_YH!AG119=coder2_NY_MT!AA120,1,0))</f>
        <v>1</v>
      </c>
      <c r="Z120" s="20">
        <f>IF(coder1_YH!AH119="","",IF(coder1_YH!AH119=coder2_NY_MT!AB120,1,0))</f>
        <v>1</v>
      </c>
      <c r="AA120" s="20">
        <f>IF(coder1_YH!AI119="","",IF(coder1_YH!AI119=coder2_NY_MT!AC120,1,0))</f>
        <v>1</v>
      </c>
      <c r="AB120" s="20">
        <f>IF(OR(coder2_NY_MT!AD119="", coder1_YH!AJ119 = ""),0,1)</f>
        <v>1</v>
      </c>
      <c r="AC120" s="20">
        <f>IF(coder1_YH!AK119="","",IF(coder1_YH!AK119=coder2_NY_MT!AE120,1,0))</f>
        <v>1</v>
      </c>
      <c r="AD120" s="20">
        <f>IF(OR(coder2_NY_MT!AF120="", coder1_YH!AL119 = ""),0,1)</f>
        <v>1</v>
      </c>
      <c r="AF120" s="20">
        <f>IF(coder1_YH!AN119="","",IF(coder1_YH!AN119=coder2_NY_MT!AH120,1,0))</f>
        <v>1</v>
      </c>
      <c r="AG120" s="20">
        <f>IF(coder1_YH!AO119="","",IF(coder1_YH!AO119=coder2_NY_MT!AI120,1,0))</f>
        <v>1</v>
      </c>
      <c r="AH120" s="20">
        <f>IF(coder1_YH!AP119="","",IF(coder1_YH!AP119=coder2_NY_MT!AJ120,1,0))</f>
        <v>1</v>
      </c>
      <c r="AI120" s="20">
        <f>IF(coder1_YH!AQ119="","",IF(coder1_YH!AQ119=coder2_NY_MT!AK120,1,0))</f>
        <v>1</v>
      </c>
      <c r="AJ120" s="20">
        <f>IF(coder1_YH!AR119="","",IF(coder1_YH!AR119=coder2_NY_MT!AL120,1,0))</f>
        <v>1</v>
      </c>
      <c r="AK120" s="20">
        <f>IF(coder1_YH!AS119="","",IF(coder1_YH!AS119=coder2_NY_MT!AM120,1,0))</f>
        <v>1</v>
      </c>
      <c r="AL120" s="20" t="str">
        <f>IF(coder1_YH!AZ119="","",IF(coder1_YH!AZ119=coder2_NY_MT!AT120,1,0))</f>
        <v/>
      </c>
      <c r="AM120" s="20" t="str">
        <f>IF(coder1_YH!BA119="","",IF(coder1_YH!BA119=coder2_NY_MT!AU120,1,0))</f>
        <v/>
      </c>
      <c r="AN120" s="2"/>
    </row>
    <row r="121" spans="1:40" s="20" customFormat="1" ht="17" hidden="1" customHeight="1" x14ac:dyDescent="0.2">
      <c r="A121" s="20" t="str">
        <f>IF(coder1_YH!G120="","",IF(coder1_YH!G120=coder2_NY_MT!A121,1,0))</f>
        <v/>
      </c>
      <c r="B121" s="20" t="str">
        <f>IF(coder1_YH!H120="","",IF(RIGHT(coder1_YH!H120,2)=RIGHT(coder2_NY_MT!B121,2),1,0))</f>
        <v/>
      </c>
      <c r="C121" s="20" t="str">
        <f>IF(coder1_YH!I120="","",IF(coder1_YH!I120=coder2_NY_MT!C121,1,0))</f>
        <v/>
      </c>
      <c r="E121" s="20" t="str">
        <f>IF(coder1_YH!K120="","",IF(coder1_YH!K120=coder2_NY_MT!E121,1,0))</f>
        <v/>
      </c>
      <c r="F121" s="20" t="str">
        <f>IF(coder1_YH!L120="","",IF(coder1_YH!L120=coder2_NY_MT!F121,1,0))</f>
        <v/>
      </c>
      <c r="G121" s="20" t="str">
        <f>IF(coder1_YH!M120="","",IF(coder1_YH!M120=coder2_NY_MT!G121,1,0))</f>
        <v/>
      </c>
      <c r="H121" s="20" t="str">
        <f>IF(coder1_YH!P120="","",IF(RIGHT(coder1_YH!P120,3)=RIGHT(coder2_NY_MT!J121,3),1,0))</f>
        <v/>
      </c>
      <c r="I121" s="20" t="str">
        <f>IF(H121="","",IF(OR(coder2_NY_MT!K121="", coder1_YH!Q120 = ""),0,1))</f>
        <v/>
      </c>
      <c r="J121" s="20" t="str">
        <f>IF(coder1_YH!R120="","",IF(coder1_YH!R120=coder2_NY_MT!L121,1,0))</f>
        <v/>
      </c>
      <c r="K121" s="20" t="str">
        <f>IF(coder1_YH!S120="","",IF(coder1_YH!S120=coder2_NY_MT!M121,1,0))</f>
        <v/>
      </c>
      <c r="L121" s="20" t="str">
        <f>IF(coder1_YH!T120="","",IF(coder1_YH!T120=coder2_NY_MT!N121,1,0))</f>
        <v/>
      </c>
      <c r="M121" s="20" t="str">
        <f>IF(coder1_YH!U120="","",IF(coder1_YH!U120=coder2_NY_MT!O121,1,0))</f>
        <v/>
      </c>
      <c r="N121" s="20" t="str">
        <f>IF(coder1_YH!V120="","",IF(coder1_YH!V120=coder2_NY_MT!P121,1,0))</f>
        <v/>
      </c>
      <c r="O121" s="20" t="str">
        <f>IF(coder1_YH!W120="","",IF(coder1_YH!W120=coder2_NY_MT!Q121,1,0))</f>
        <v/>
      </c>
      <c r="P121" s="20" t="str">
        <f>IF(coder1_YH!X120="","",IF(coder1_YH!X120=coder2_NY_MT!R121,1,0))</f>
        <v/>
      </c>
      <c r="Q121" s="20" t="str">
        <f>IF(coder1_YH!Y120="","",IF(coder1_YH!Y120=coder2_NY_MT!S121,1,0))</f>
        <v/>
      </c>
      <c r="R121" s="20" t="str">
        <f>IF(coder1_YH!Z120="","",IF(coder1_YH!Z120=coder2_NY_MT!T121,1,0))</f>
        <v/>
      </c>
      <c r="S121" s="20" t="str">
        <f>IF(R121="","",IF(OR(coder2_NY_MT!U121="", coder1_YH!AA120 = ""),0,1))</f>
        <v/>
      </c>
      <c r="T121" s="20" t="str">
        <f>IF(coder1_YH!AB120="","",IF(coder1_YH!AB120=coder2_NY_MT!V121,1,0))</f>
        <v/>
      </c>
      <c r="U121" s="20" t="str">
        <f>IF(coder1_YH!AC120="","",IF(coder1_YH!AC120=coder2_NY_MT!W121,1,0))</f>
        <v/>
      </c>
      <c r="V121" s="20" t="str">
        <f>IF(coder1_YH!AD120="","",IF(coder1_YH!AD120=coder2_NY_MT!X121,1,0))</f>
        <v/>
      </c>
      <c r="W121" s="20" t="str">
        <f>IF(coder1_YH!AE120="","",IF(coder1_YH!AE120=coder2_NY_MT!Y121,1,0))</f>
        <v/>
      </c>
      <c r="X121" s="20" t="str">
        <f>IF(coder1_YH!AF120="","",IF(coder1_YH!AF120=coder2_NY_MT!Z121,1,0))</f>
        <v/>
      </c>
      <c r="Y121" s="20" t="str">
        <f>IF(coder1_YH!AG120="","",IF(coder1_YH!AG120=coder2_NY_MT!AA121,1,0))</f>
        <v/>
      </c>
      <c r="Z121" s="20" t="str">
        <f>IF(coder1_YH!AH120="","",IF(coder1_YH!AH120=coder2_NY_MT!AB121,1,0))</f>
        <v/>
      </c>
      <c r="AA121" s="20" t="str">
        <f>IF(coder1_YH!AI120="","",IF(coder1_YH!AI120=coder2_NY_MT!AC121,1,0))</f>
        <v/>
      </c>
      <c r="AB121" s="20">
        <f>IF(OR(coder2_NY_MT!AD120="", coder1_YH!AJ120 = ""),0,1)</f>
        <v>1</v>
      </c>
      <c r="AC121" s="20">
        <f>IF(coder1_YH!AK120="","",IF(coder1_YH!AK120=coder2_NY_MT!AE121,1,0))</f>
        <v>1</v>
      </c>
      <c r="AD121" s="20">
        <f>IF(OR(coder2_NY_MT!AF121="", coder1_YH!AL120 = ""),0,1)</f>
        <v>1</v>
      </c>
      <c r="AF121" s="20">
        <f>IF(coder1_YH!AN120="","",IF(coder1_YH!AN120=coder2_NY_MT!AH121,1,0))</f>
        <v>1</v>
      </c>
      <c r="AG121" s="20">
        <f>IF(coder1_YH!AO120="","",IF(coder1_YH!AO120=coder2_NY_MT!AI121,1,0))</f>
        <v>1</v>
      </c>
      <c r="AH121" s="20">
        <f>IF(coder1_YH!AP120="","",IF(coder1_YH!AP120=coder2_NY_MT!AJ121,1,0))</f>
        <v>1</v>
      </c>
      <c r="AI121" s="20">
        <f>IF(coder1_YH!AQ120="","",IF(coder1_YH!AQ120=coder2_NY_MT!AK121,1,0))</f>
        <v>1</v>
      </c>
      <c r="AJ121" s="20">
        <f>IF(coder1_YH!AR120="","",IF(coder1_YH!AR120=coder2_NY_MT!AL121,1,0))</f>
        <v>1</v>
      </c>
      <c r="AK121" s="20">
        <f>IF(coder1_YH!AS120="","",IF(coder1_YH!AS120=coder2_NY_MT!AM121,1,0))</f>
        <v>1</v>
      </c>
      <c r="AL121" s="20" t="str">
        <f>IF(coder1_YH!AZ120="","",IF(coder1_YH!AZ120=coder2_NY_MT!AT121,1,0))</f>
        <v/>
      </c>
      <c r="AM121" s="20" t="str">
        <f>IF(coder1_YH!BA120="","",IF(coder1_YH!BA120=coder2_NY_MT!AU121,1,0))</f>
        <v/>
      </c>
      <c r="AN121" s="2"/>
    </row>
    <row r="122" spans="1:40" s="20" customFormat="1" ht="17" hidden="1" customHeight="1" x14ac:dyDescent="0.2">
      <c r="A122" s="20" t="str">
        <f>IF(coder1_YH!G121="","",IF(coder1_YH!G121=coder2_NY_MT!A122,1,0))</f>
        <v/>
      </c>
      <c r="B122" s="20" t="str">
        <f>IF(coder1_YH!H121="","",IF(RIGHT(coder1_YH!H121,2)=RIGHT(coder2_NY_MT!B122,2),1,0))</f>
        <v/>
      </c>
      <c r="C122" s="20" t="str">
        <f>IF(coder1_YH!I121="","",IF(coder1_YH!I121=coder2_NY_MT!C122,1,0))</f>
        <v/>
      </c>
      <c r="E122" s="20" t="str">
        <f>IF(coder1_YH!K121="","",IF(coder1_YH!K121=coder2_NY_MT!E122,1,0))</f>
        <v/>
      </c>
      <c r="F122" s="20" t="str">
        <f>IF(coder1_YH!L121="","",IF(coder1_YH!L121=coder2_NY_MT!F122,1,0))</f>
        <v/>
      </c>
      <c r="G122" s="20" t="str">
        <f>IF(coder1_YH!M121="","",IF(coder1_YH!M121=coder2_NY_MT!G122,1,0))</f>
        <v/>
      </c>
      <c r="H122" s="20" t="str">
        <f>IF(coder1_YH!P121="","",IF(RIGHT(coder1_YH!P121,3)=RIGHT(coder2_NY_MT!J122,3),1,0))</f>
        <v/>
      </c>
      <c r="I122" s="20" t="str">
        <f>IF(H122="","",IF(OR(coder2_NY_MT!K122="", coder1_YH!Q121 = ""),0,1))</f>
        <v/>
      </c>
      <c r="J122" s="20" t="str">
        <f>IF(coder1_YH!R121="","",IF(coder1_YH!R121=coder2_NY_MT!L122,1,0))</f>
        <v/>
      </c>
      <c r="K122" s="20" t="str">
        <f>IF(coder1_YH!S121="","",IF(coder1_YH!S121=coder2_NY_MT!M122,1,0))</f>
        <v/>
      </c>
      <c r="L122" s="20" t="str">
        <f>IF(coder1_YH!T121="","",IF(coder1_YH!T121=coder2_NY_MT!N122,1,0))</f>
        <v/>
      </c>
      <c r="M122" s="20" t="str">
        <f>IF(coder1_YH!U121="","",IF(coder1_YH!U121=coder2_NY_MT!O122,1,0))</f>
        <v/>
      </c>
      <c r="N122" s="20" t="str">
        <f>IF(coder1_YH!V121="","",IF(coder1_YH!V121=coder2_NY_MT!P122,1,0))</f>
        <v/>
      </c>
      <c r="O122" s="20" t="str">
        <f>IF(coder1_YH!W121="","",IF(coder1_YH!W121=coder2_NY_MT!Q122,1,0))</f>
        <v/>
      </c>
      <c r="P122" s="20" t="str">
        <f>IF(coder1_YH!X121="","",IF(coder1_YH!X121=coder2_NY_MT!R122,1,0))</f>
        <v/>
      </c>
      <c r="Q122" s="20" t="str">
        <f>IF(coder1_YH!Y121="","",IF(coder1_YH!Y121=coder2_NY_MT!S122,1,0))</f>
        <v/>
      </c>
      <c r="R122" s="20" t="str">
        <f>IF(coder1_YH!Z121="","",IF(coder1_YH!Z121=coder2_NY_MT!T122,1,0))</f>
        <v/>
      </c>
      <c r="S122" s="20" t="str">
        <f>IF(R122="","",IF(OR(coder2_NY_MT!U122="", coder1_YH!AA121 = ""),0,1))</f>
        <v/>
      </c>
      <c r="T122" s="20" t="str">
        <f>IF(coder1_YH!AB121="","",IF(coder1_YH!AB121=coder2_NY_MT!V122,1,0))</f>
        <v/>
      </c>
      <c r="U122" s="20" t="str">
        <f>IF(coder1_YH!AC121="","",IF(coder1_YH!AC121=coder2_NY_MT!W122,1,0))</f>
        <v/>
      </c>
      <c r="V122" s="20" t="str">
        <f>IF(coder1_YH!AD121="","",IF(coder1_YH!AD121=coder2_NY_MT!X122,1,0))</f>
        <v/>
      </c>
      <c r="W122" s="20" t="str">
        <f>IF(coder1_YH!AE121="","",IF(coder1_YH!AE121=coder2_NY_MT!Y122,1,0))</f>
        <v/>
      </c>
      <c r="X122" s="20" t="str">
        <f>IF(coder1_YH!AF121="","",IF(coder1_YH!AF121=coder2_NY_MT!Z122,1,0))</f>
        <v/>
      </c>
      <c r="Y122" s="20" t="str">
        <f>IF(coder1_YH!AG121="","",IF(coder1_YH!AG121=coder2_NY_MT!AA122,1,0))</f>
        <v/>
      </c>
      <c r="Z122" s="20" t="str">
        <f>IF(coder1_YH!AH121="","",IF(coder1_YH!AH121=coder2_NY_MT!AB122,1,0))</f>
        <v/>
      </c>
      <c r="AA122" s="20" t="str">
        <f>IF(coder1_YH!AI121="","",IF(coder1_YH!AI121=coder2_NY_MT!AC122,1,0))</f>
        <v/>
      </c>
      <c r="AB122" s="20">
        <f>IF(OR(coder2_NY_MT!AD121="", coder1_YH!AJ121 = ""),0,1)</f>
        <v>1</v>
      </c>
      <c r="AC122" s="20">
        <f>IF(coder1_YH!AK121="","",IF(coder1_YH!AK121=coder2_NY_MT!AE122,1,0))</f>
        <v>1</v>
      </c>
      <c r="AD122" s="20">
        <f>IF(OR(coder2_NY_MT!AF122="", coder1_YH!AL121 = ""),0,1)</f>
        <v>1</v>
      </c>
      <c r="AF122" s="20">
        <f>IF(coder1_YH!AN121="","",IF(coder1_YH!AN121=coder2_NY_MT!AH122,1,0))</f>
        <v>1</v>
      </c>
      <c r="AG122" s="20">
        <f>IF(coder1_YH!AO121="","",IF(coder1_YH!AO121=coder2_NY_MT!AI122,1,0))</f>
        <v>1</v>
      </c>
      <c r="AH122" s="20">
        <f>IF(coder1_YH!AP121="","",IF(coder1_YH!AP121=coder2_NY_MT!AJ122,1,0))</f>
        <v>1</v>
      </c>
      <c r="AI122" s="20">
        <f>IF(coder1_YH!AQ121="","",IF(coder1_YH!AQ121=coder2_NY_MT!AK122,1,0))</f>
        <v>1</v>
      </c>
      <c r="AJ122" s="20">
        <f>IF(coder1_YH!AR121="","",IF(coder1_YH!AR121=coder2_NY_MT!AL122,1,0))</f>
        <v>1</v>
      </c>
      <c r="AK122" s="20">
        <f>IF(coder1_YH!AS121="","",IF(coder1_YH!AS121=coder2_NY_MT!AM122,1,0))</f>
        <v>1</v>
      </c>
      <c r="AL122" s="20" t="str">
        <f>IF(coder1_YH!AZ121="","",IF(coder1_YH!AZ121=coder2_NY_MT!AT122,1,0))</f>
        <v/>
      </c>
      <c r="AM122" s="20" t="str">
        <f>IF(coder1_YH!BA121="","",IF(coder1_YH!BA121=coder2_NY_MT!AU122,1,0))</f>
        <v/>
      </c>
      <c r="AN122" s="2"/>
    </row>
    <row r="123" spans="1:40" s="20" customFormat="1" ht="17" hidden="1" customHeight="1" x14ac:dyDescent="0.2">
      <c r="A123" s="20">
        <f>IF(coder1_YH!G122="","",IF(coder1_YH!G122=coder2_NY_MT!A123,1,0))</f>
        <v>0</v>
      </c>
      <c r="B123" s="20">
        <f>IF(coder1_YH!H122="","",IF(RIGHT(coder1_YH!H122,2)=RIGHT(coder2_NY_MT!B123,2),1,0))</f>
        <v>0</v>
      </c>
      <c r="C123" s="20">
        <f>IF(coder1_YH!I122="","",IF(coder1_YH!I122=coder2_NY_MT!C123,1,0))</f>
        <v>0</v>
      </c>
      <c r="E123" s="20">
        <f>IF(coder1_YH!K122="","",IF(coder1_YH!K122=coder2_NY_MT!E123,1,0))</f>
        <v>0</v>
      </c>
      <c r="F123" s="20">
        <f>IF(coder1_YH!L122="","",IF(coder1_YH!L122=coder2_NY_MT!F123,1,0))</f>
        <v>0</v>
      </c>
      <c r="G123" s="20">
        <f>IF(coder1_YH!M122="","",IF(coder1_YH!M122=coder2_NY_MT!G123,1,0))</f>
        <v>0</v>
      </c>
      <c r="H123" s="20">
        <f>IF(coder1_YH!P122="","",IF(RIGHT(coder1_YH!P122,3)=RIGHT(coder2_NY_MT!J123,3),1,0))</f>
        <v>0</v>
      </c>
      <c r="I123" s="20">
        <f>IF(H123="","",IF(OR(coder2_NY_MT!K123="", coder1_YH!Q122 = ""),0,1))</f>
        <v>1</v>
      </c>
      <c r="J123" s="20">
        <f>IF(coder1_YH!R122="","",IF(coder1_YH!R122=coder2_NY_MT!L123,1,0))</f>
        <v>1</v>
      </c>
      <c r="K123" s="20">
        <f>IF(coder1_YH!S122="","",IF(coder1_YH!S122=coder2_NY_MT!M123,1,0))</f>
        <v>1</v>
      </c>
      <c r="L123" s="20">
        <f>IF(coder1_YH!T122="","",IF(coder1_YH!T122=coder2_NY_MT!N123,1,0))</f>
        <v>1</v>
      </c>
      <c r="M123" s="20">
        <f>IF(coder1_YH!U122="","",IF(coder1_YH!U122=coder2_NY_MT!O123,1,0))</f>
        <v>1</v>
      </c>
      <c r="N123" s="20">
        <f>IF(coder1_YH!V122="","",IF(coder1_YH!V122=coder2_NY_MT!P123,1,0))</f>
        <v>1</v>
      </c>
      <c r="O123" s="20">
        <f>IF(coder1_YH!W122="","",IF(coder1_YH!W122=coder2_NY_MT!Q123,1,0))</f>
        <v>1</v>
      </c>
      <c r="P123" s="20">
        <f>IF(coder1_YH!X122="","",IF(coder1_YH!X122=coder2_NY_MT!R123,1,0))</f>
        <v>1</v>
      </c>
      <c r="Q123" s="20">
        <f>IF(coder1_YH!Y122="","",IF(coder1_YH!Y122=coder2_NY_MT!S123,1,0))</f>
        <v>1</v>
      </c>
      <c r="R123" s="20">
        <f>IF(coder1_YH!Z122="","",IF(coder1_YH!Z122=coder2_NY_MT!T123,1,0))</f>
        <v>1</v>
      </c>
      <c r="S123" s="20">
        <f>IF(R123="","",IF(OR(coder2_NY_MT!U123="", coder1_YH!AA122 = ""),0,1))</f>
        <v>1</v>
      </c>
      <c r="T123" s="20">
        <f>IF(coder1_YH!AB122="","",IF(coder1_YH!AB122=coder2_NY_MT!V123,1,0))</f>
        <v>1</v>
      </c>
      <c r="U123" s="20">
        <f>IF(coder1_YH!AC122="","",IF(coder1_YH!AC122=coder2_NY_MT!W123,1,0))</f>
        <v>1</v>
      </c>
      <c r="V123" s="20">
        <f>IF(coder1_YH!AD122="","",IF(coder1_YH!AD122=coder2_NY_MT!X123,1,0))</f>
        <v>1</v>
      </c>
      <c r="W123" s="20">
        <f>IF(coder1_YH!AE122="","",IF(coder1_YH!AE122=coder2_NY_MT!Y123,1,0))</f>
        <v>1</v>
      </c>
      <c r="X123" s="20">
        <f>IF(coder1_YH!AF122="","",IF(coder1_YH!AF122=coder2_NY_MT!Z123,1,0))</f>
        <v>1</v>
      </c>
      <c r="Y123" s="20">
        <f>IF(coder1_YH!AG122="","",IF(coder1_YH!AG122=coder2_NY_MT!AA123,1,0))</f>
        <v>1</v>
      </c>
      <c r="Z123" s="20">
        <f>IF(coder1_YH!AH122="","",IF(coder1_YH!AH122=coder2_NY_MT!AB123,1,0))</f>
        <v>1</v>
      </c>
      <c r="AA123" s="20">
        <f>IF(coder1_YH!AI122="","",IF(coder1_YH!AI122=coder2_NY_MT!AC123,1,0))</f>
        <v>1</v>
      </c>
      <c r="AB123" s="20">
        <f>IF(OR(coder2_NY_MT!AD122="", coder1_YH!AJ122 = ""),0,1)</f>
        <v>1</v>
      </c>
      <c r="AC123" s="20">
        <f>IF(coder1_YH!AK122="","",IF(coder1_YH!AK122=coder2_NY_MT!AE123,1,0))</f>
        <v>1</v>
      </c>
      <c r="AD123" s="20">
        <f>IF(OR(coder2_NY_MT!AF123="", coder1_YH!AL122 = ""),0,1)</f>
        <v>1</v>
      </c>
      <c r="AF123" s="20">
        <f>IF(coder1_YH!AN122="","",IF(coder1_YH!AN122=coder2_NY_MT!AH123,1,0))</f>
        <v>1</v>
      </c>
      <c r="AG123" s="20">
        <f>IF(coder1_YH!AO122="","",IF(coder1_YH!AO122=coder2_NY_MT!AI123,1,0))</f>
        <v>1</v>
      </c>
      <c r="AH123" s="20">
        <f>IF(coder1_YH!AP122="","",IF(coder1_YH!AP122=coder2_NY_MT!AJ123,1,0))</f>
        <v>1</v>
      </c>
      <c r="AI123" s="20">
        <f>IF(coder1_YH!AQ122="","",IF(coder1_YH!AQ122=coder2_NY_MT!AK123,1,0))</f>
        <v>1</v>
      </c>
      <c r="AJ123" s="20">
        <f>IF(coder1_YH!AR122="","",IF(coder1_YH!AR122=coder2_NY_MT!AL123,1,0))</f>
        <v>1</v>
      </c>
      <c r="AK123" s="20">
        <f>IF(coder1_YH!AS122="","",IF(coder1_YH!AS122=coder2_NY_MT!AM123,1,0))</f>
        <v>1</v>
      </c>
      <c r="AL123" s="20" t="str">
        <f>IF(coder1_YH!AZ122="","",IF(coder1_YH!AZ122=coder2_NY_MT!AT123,1,0))</f>
        <v/>
      </c>
      <c r="AM123" s="20" t="str">
        <f>IF(coder1_YH!BA122="","",IF(coder1_YH!BA122=coder2_NY_MT!AU123,1,0))</f>
        <v/>
      </c>
      <c r="AN123" s="2"/>
    </row>
    <row r="124" spans="1:40" s="20" customFormat="1" ht="17" hidden="1" customHeight="1" x14ac:dyDescent="0.2">
      <c r="A124" s="20" t="str">
        <f>IF(coder1_YH!G123="","",IF(coder1_YH!G123=coder2_NY_MT!A124,1,0))</f>
        <v/>
      </c>
      <c r="B124" s="20" t="str">
        <f>IF(coder1_YH!H123="","",IF(RIGHT(coder1_YH!H123,2)=RIGHT(coder2_NY_MT!B124,2),1,0))</f>
        <v/>
      </c>
      <c r="C124" s="20" t="str">
        <f>IF(coder1_YH!I123="","",IF(coder1_YH!I123=coder2_NY_MT!C124,1,0))</f>
        <v/>
      </c>
      <c r="E124" s="20" t="str">
        <f>IF(coder1_YH!K123="","",IF(coder1_YH!K123=coder2_NY_MT!E124,1,0))</f>
        <v/>
      </c>
      <c r="F124" s="20" t="str">
        <f>IF(coder1_YH!L123="","",IF(coder1_YH!L123=coder2_NY_MT!F124,1,0))</f>
        <v/>
      </c>
      <c r="G124" s="20" t="str">
        <f>IF(coder1_YH!M123="","",IF(coder1_YH!M123=coder2_NY_MT!G124,1,0))</f>
        <v/>
      </c>
      <c r="H124" s="20" t="str">
        <f>IF(coder1_YH!P123="","",IF(RIGHT(coder1_YH!P123,3)=RIGHT(coder2_NY_MT!J124,3),1,0))</f>
        <v/>
      </c>
      <c r="I124" s="20" t="str">
        <f>IF(H124="","",IF(OR(coder2_NY_MT!K124="", coder1_YH!Q123 = ""),0,1))</f>
        <v/>
      </c>
      <c r="J124" s="20" t="str">
        <f>IF(coder1_YH!R123="","",IF(coder1_YH!R123=coder2_NY_MT!L124,1,0))</f>
        <v/>
      </c>
      <c r="K124" s="20" t="str">
        <f>IF(coder1_YH!S123="","",IF(coder1_YH!S123=coder2_NY_MT!M124,1,0))</f>
        <v/>
      </c>
      <c r="L124" s="20" t="str">
        <f>IF(coder1_YH!T123="","",IF(coder1_YH!T123=coder2_NY_MT!N124,1,0))</f>
        <v/>
      </c>
      <c r="M124" s="20" t="str">
        <f>IF(coder1_YH!U123="","",IF(coder1_YH!U123=coder2_NY_MT!O124,1,0))</f>
        <v/>
      </c>
      <c r="N124" s="20" t="str">
        <f>IF(coder1_YH!V123="","",IF(coder1_YH!V123=coder2_NY_MT!P124,1,0))</f>
        <v/>
      </c>
      <c r="O124" s="20" t="str">
        <f>IF(coder1_YH!W123="","",IF(coder1_YH!W123=coder2_NY_MT!Q124,1,0))</f>
        <v/>
      </c>
      <c r="P124" s="20" t="str">
        <f>IF(coder1_YH!X123="","",IF(coder1_YH!X123=coder2_NY_MT!R124,1,0))</f>
        <v/>
      </c>
      <c r="Q124" s="20" t="str">
        <f>IF(coder1_YH!Y123="","",IF(coder1_YH!Y123=coder2_NY_MT!S124,1,0))</f>
        <v/>
      </c>
      <c r="R124" s="20" t="str">
        <f>IF(coder1_YH!Z123="","",IF(coder1_YH!Z123=coder2_NY_MT!T124,1,0))</f>
        <v/>
      </c>
      <c r="S124" s="20" t="str">
        <f>IF(R124="","",IF(OR(coder2_NY_MT!U124="", coder1_YH!AA123 = ""),0,1))</f>
        <v/>
      </c>
      <c r="T124" s="20" t="str">
        <f>IF(coder1_YH!AB123="","",IF(coder1_YH!AB123=coder2_NY_MT!V124,1,0))</f>
        <v/>
      </c>
      <c r="U124" s="20" t="str">
        <f>IF(coder1_YH!AC123="","",IF(coder1_YH!AC123=coder2_NY_MT!W124,1,0))</f>
        <v/>
      </c>
      <c r="V124" s="20" t="str">
        <f>IF(coder1_YH!AD123="","",IF(coder1_YH!AD123=coder2_NY_MT!X124,1,0))</f>
        <v/>
      </c>
      <c r="W124" s="20" t="str">
        <f>IF(coder1_YH!AE123="","",IF(coder1_YH!AE123=coder2_NY_MT!Y124,1,0))</f>
        <v/>
      </c>
      <c r="X124" s="20" t="str">
        <f>IF(coder1_YH!AF123="","",IF(coder1_YH!AF123=coder2_NY_MT!Z124,1,0))</f>
        <v/>
      </c>
      <c r="Y124" s="20" t="str">
        <f>IF(coder1_YH!AG123="","",IF(coder1_YH!AG123=coder2_NY_MT!AA124,1,0))</f>
        <v/>
      </c>
      <c r="Z124" s="20" t="str">
        <f>IF(coder1_YH!AH123="","",IF(coder1_YH!AH123=coder2_NY_MT!AB124,1,0))</f>
        <v/>
      </c>
      <c r="AA124" s="20" t="str">
        <f>IF(coder1_YH!AI123="","",IF(coder1_YH!AI123=coder2_NY_MT!AC124,1,0))</f>
        <v/>
      </c>
      <c r="AB124" s="20">
        <f>IF(OR(coder2_NY_MT!AD123="", coder1_YH!AJ123 = ""),0,1)</f>
        <v>1</v>
      </c>
      <c r="AC124" s="20">
        <f>IF(coder1_YH!AK123="","",IF(coder1_YH!AK123=coder2_NY_MT!AE124,1,0))</f>
        <v>1</v>
      </c>
      <c r="AD124" s="20">
        <f>IF(OR(coder2_NY_MT!AF124="", coder1_YH!AL123 = ""),0,1)</f>
        <v>1</v>
      </c>
      <c r="AF124" s="20">
        <f>IF(coder1_YH!AN123="","",IF(coder1_YH!AN123=coder2_NY_MT!AH124,1,0))</f>
        <v>1</v>
      </c>
      <c r="AG124" s="20">
        <f>IF(coder1_YH!AO123="","",IF(coder1_YH!AO123=coder2_NY_MT!AI124,1,0))</f>
        <v>1</v>
      </c>
      <c r="AH124" s="20">
        <f>IF(coder1_YH!AP123="","",IF(coder1_YH!AP123=coder2_NY_MT!AJ124,1,0))</f>
        <v>1</v>
      </c>
      <c r="AI124" s="20">
        <f>IF(coder1_YH!AQ123="","",IF(coder1_YH!AQ123=coder2_NY_MT!AK124,1,0))</f>
        <v>1</v>
      </c>
      <c r="AJ124" s="20">
        <f>IF(coder1_YH!AR123="","",IF(coder1_YH!AR123=coder2_NY_MT!AL124,1,0))</f>
        <v>1</v>
      </c>
      <c r="AK124" s="20">
        <f>IF(coder1_YH!AS123="","",IF(coder1_YH!AS123=coder2_NY_MT!AM124,1,0))</f>
        <v>1</v>
      </c>
      <c r="AL124" s="20" t="str">
        <f>IF(coder1_YH!AZ123="","",IF(coder1_YH!AZ123=coder2_NY_MT!AT124,1,0))</f>
        <v/>
      </c>
      <c r="AM124" s="20" t="str">
        <f>IF(coder1_YH!BA123="","",IF(coder1_YH!BA123=coder2_NY_MT!AU124,1,0))</f>
        <v/>
      </c>
      <c r="AN124" s="2"/>
    </row>
    <row r="125" spans="1:40" s="20" customFormat="1" ht="17" hidden="1" customHeight="1" x14ac:dyDescent="0.2">
      <c r="A125" s="20" t="str">
        <f>IF(coder1_YH!G124="","",IF(coder1_YH!G124=coder2_NY_MT!A125,1,0))</f>
        <v/>
      </c>
      <c r="B125" s="20" t="str">
        <f>IF(coder1_YH!H124="","",IF(RIGHT(coder1_YH!H124,2)=RIGHT(coder2_NY_MT!B125,2),1,0))</f>
        <v/>
      </c>
      <c r="C125" s="20" t="str">
        <f>IF(coder1_YH!I124="","",IF(coder1_YH!I124=coder2_NY_MT!C125,1,0))</f>
        <v/>
      </c>
      <c r="E125" s="20" t="str">
        <f>IF(coder1_YH!K124="","",IF(coder1_YH!K124=coder2_NY_MT!E125,1,0))</f>
        <v/>
      </c>
      <c r="F125" s="20" t="str">
        <f>IF(coder1_YH!L124="","",IF(coder1_YH!L124=coder2_NY_MT!F125,1,0))</f>
        <v/>
      </c>
      <c r="G125" s="20" t="str">
        <f>IF(coder1_YH!M124="","",IF(coder1_YH!M124=coder2_NY_MT!G125,1,0))</f>
        <v/>
      </c>
      <c r="H125" s="20" t="str">
        <f>IF(coder1_YH!P124="","",IF(RIGHT(coder1_YH!P124,3)=RIGHT(coder2_NY_MT!J125,3),1,0))</f>
        <v/>
      </c>
      <c r="I125" s="20" t="str">
        <f>IF(H125="","",IF(OR(coder2_NY_MT!K125="", coder1_YH!Q124 = ""),0,1))</f>
        <v/>
      </c>
      <c r="J125" s="20" t="str">
        <f>IF(coder1_YH!R124="","",IF(coder1_YH!R124=coder2_NY_MT!L125,1,0))</f>
        <v/>
      </c>
      <c r="K125" s="20" t="str">
        <f>IF(coder1_YH!S124="","",IF(coder1_YH!S124=coder2_NY_MT!M125,1,0))</f>
        <v/>
      </c>
      <c r="L125" s="20" t="str">
        <f>IF(coder1_YH!T124="","",IF(coder1_YH!T124=coder2_NY_MT!N125,1,0))</f>
        <v/>
      </c>
      <c r="M125" s="20" t="str">
        <f>IF(coder1_YH!U124="","",IF(coder1_YH!U124=coder2_NY_MT!O125,1,0))</f>
        <v/>
      </c>
      <c r="N125" s="20" t="str">
        <f>IF(coder1_YH!V124="","",IF(coder1_YH!V124=coder2_NY_MT!P125,1,0))</f>
        <v/>
      </c>
      <c r="O125" s="20" t="str">
        <f>IF(coder1_YH!W124="","",IF(coder1_YH!W124=coder2_NY_MT!Q125,1,0))</f>
        <v/>
      </c>
      <c r="P125" s="20" t="str">
        <f>IF(coder1_YH!X124="","",IF(coder1_YH!X124=coder2_NY_MT!R125,1,0))</f>
        <v/>
      </c>
      <c r="Q125" s="20" t="str">
        <f>IF(coder1_YH!Y124="","",IF(coder1_YH!Y124=coder2_NY_MT!S125,1,0))</f>
        <v/>
      </c>
      <c r="R125" s="20" t="str">
        <f>IF(coder1_YH!Z124="","",IF(coder1_YH!Z124=coder2_NY_MT!T125,1,0))</f>
        <v/>
      </c>
      <c r="S125" s="20" t="str">
        <f>IF(R125="","",IF(OR(coder2_NY_MT!U125="", coder1_YH!AA124 = ""),0,1))</f>
        <v/>
      </c>
      <c r="T125" s="20" t="str">
        <f>IF(coder1_YH!AB124="","",IF(coder1_YH!AB124=coder2_NY_MT!V125,1,0))</f>
        <v/>
      </c>
      <c r="U125" s="20" t="str">
        <f>IF(coder1_YH!AC124="","",IF(coder1_YH!AC124=coder2_NY_MT!W125,1,0))</f>
        <v/>
      </c>
      <c r="V125" s="20" t="str">
        <f>IF(coder1_YH!AD124="","",IF(coder1_YH!AD124=coder2_NY_MT!X125,1,0))</f>
        <v/>
      </c>
      <c r="W125" s="20" t="str">
        <f>IF(coder1_YH!AE124="","",IF(coder1_YH!AE124=coder2_NY_MT!Y125,1,0))</f>
        <v/>
      </c>
      <c r="X125" s="20" t="str">
        <f>IF(coder1_YH!AF124="","",IF(coder1_YH!AF124=coder2_NY_MT!Z125,1,0))</f>
        <v/>
      </c>
      <c r="Y125" s="20" t="str">
        <f>IF(coder1_YH!AG124="","",IF(coder1_YH!AG124=coder2_NY_MT!AA125,1,0))</f>
        <v/>
      </c>
      <c r="Z125" s="20" t="str">
        <f>IF(coder1_YH!AH124="","",IF(coder1_YH!AH124=coder2_NY_MT!AB125,1,0))</f>
        <v/>
      </c>
      <c r="AA125" s="20" t="str">
        <f>IF(coder1_YH!AI124="","",IF(coder1_YH!AI124=coder2_NY_MT!AC125,1,0))</f>
        <v/>
      </c>
      <c r="AB125" s="20">
        <f>IF(OR(coder2_NY_MT!AD124="", coder1_YH!AJ124 = ""),0,1)</f>
        <v>1</v>
      </c>
      <c r="AC125" s="20">
        <f>IF(coder1_YH!AK124="","",IF(coder1_YH!AK124=coder2_NY_MT!AE125,1,0))</f>
        <v>1</v>
      </c>
      <c r="AD125" s="20">
        <f>IF(OR(coder2_NY_MT!AF125="", coder1_YH!AL124 = ""),0,1)</f>
        <v>1</v>
      </c>
      <c r="AF125" s="20">
        <f>IF(coder1_YH!AN124="","",IF(coder1_YH!AN124=coder2_NY_MT!AH125,1,0))</f>
        <v>1</v>
      </c>
      <c r="AG125" s="20">
        <f>IF(coder1_YH!AO124="","",IF(coder1_YH!AO124=coder2_NY_MT!AI125,1,0))</f>
        <v>1</v>
      </c>
      <c r="AH125" s="20">
        <f>IF(coder1_YH!AP124="","",IF(coder1_YH!AP124=coder2_NY_MT!AJ125,1,0))</f>
        <v>1</v>
      </c>
      <c r="AI125" s="20">
        <f>IF(coder1_YH!AQ124="","",IF(coder1_YH!AQ124=coder2_NY_MT!AK125,1,0))</f>
        <v>1</v>
      </c>
      <c r="AJ125" s="20">
        <f>IF(coder1_YH!AR124="","",IF(coder1_YH!AR124=coder2_NY_MT!AL125,1,0))</f>
        <v>1</v>
      </c>
      <c r="AK125" s="20">
        <f>IF(coder1_YH!AS124="","",IF(coder1_YH!AS124=coder2_NY_MT!AM125,1,0))</f>
        <v>1</v>
      </c>
      <c r="AL125" s="20" t="str">
        <f>IF(coder1_YH!AZ124="","",IF(coder1_YH!AZ124=coder2_NY_MT!AT125,1,0))</f>
        <v/>
      </c>
      <c r="AM125" s="20" t="str">
        <f>IF(coder1_YH!BA124="","",IF(coder1_YH!BA124=coder2_NY_MT!AU125,1,0))</f>
        <v/>
      </c>
      <c r="AN125" s="2"/>
    </row>
    <row r="126" spans="1:40" s="20" customFormat="1" ht="17" hidden="1" customHeight="1" x14ac:dyDescent="0.2">
      <c r="A126" s="20" t="str">
        <f>IF(coder1_YH!G125="","",IF(coder1_YH!G125=coder2_NY_MT!A126,1,0))</f>
        <v/>
      </c>
      <c r="B126" s="20" t="str">
        <f>IF(coder1_YH!H125="","",IF(RIGHT(coder1_YH!H125,2)=RIGHT(coder2_NY_MT!B126,2),1,0))</f>
        <v/>
      </c>
      <c r="C126" s="20" t="str">
        <f>IF(coder1_YH!I125="","",IF(coder1_YH!I125=coder2_NY_MT!C126,1,0))</f>
        <v/>
      </c>
      <c r="E126" s="20" t="str">
        <f>IF(coder1_YH!K125="","",IF(coder1_YH!K125=coder2_NY_MT!E126,1,0))</f>
        <v/>
      </c>
      <c r="F126" s="20" t="str">
        <f>IF(coder1_YH!L125="","",IF(coder1_YH!L125=coder2_NY_MT!F126,1,0))</f>
        <v/>
      </c>
      <c r="G126" s="20" t="str">
        <f>IF(coder1_YH!M125="","",IF(coder1_YH!M125=coder2_NY_MT!G126,1,0))</f>
        <v/>
      </c>
      <c r="H126" s="20">
        <f>IF(coder1_YH!P125="","",IF(RIGHT(coder1_YH!P125,3)=RIGHT(coder2_NY_MT!J126,3),1,0))</f>
        <v>0</v>
      </c>
      <c r="I126" s="20">
        <f>IF(H126="","",IF(OR(coder2_NY_MT!K126="", coder1_YH!Q125 = ""),0,1))</f>
        <v>1</v>
      </c>
      <c r="J126" s="20">
        <f>IF(coder1_YH!R125="","",IF(coder1_YH!R125=coder2_NY_MT!L126,1,0))</f>
        <v>1</v>
      </c>
      <c r="K126" s="20">
        <f>IF(coder1_YH!S125="","",IF(coder1_YH!S125=coder2_NY_MT!M126,1,0))</f>
        <v>1</v>
      </c>
      <c r="L126" s="20">
        <f>IF(coder1_YH!T125="","",IF(coder1_YH!T125=coder2_NY_MT!N126,1,0))</f>
        <v>1</v>
      </c>
      <c r="M126" s="20">
        <f>IF(coder1_YH!U125="","",IF(coder1_YH!U125=coder2_NY_MT!O126,1,0))</f>
        <v>1</v>
      </c>
      <c r="N126" s="20">
        <f>IF(coder1_YH!V125="","",IF(coder1_YH!V125=coder2_NY_MT!P126,1,0))</f>
        <v>1</v>
      </c>
      <c r="O126" s="20">
        <f>IF(coder1_YH!W125="","",IF(coder1_YH!W125=coder2_NY_MT!Q126,1,0))</f>
        <v>1</v>
      </c>
      <c r="P126" s="20">
        <f>IF(coder1_YH!X125="","",IF(coder1_YH!X125=coder2_NY_MT!R126,1,0))</f>
        <v>1</v>
      </c>
      <c r="Q126" s="20">
        <f>IF(coder1_YH!Y125="","",IF(coder1_YH!Y125=coder2_NY_MT!S126,1,0))</f>
        <v>1</v>
      </c>
      <c r="R126" s="20">
        <f>IF(coder1_YH!Z125="","",IF(coder1_YH!Z125=coder2_NY_MT!T126,1,0))</f>
        <v>1</v>
      </c>
      <c r="S126" s="20">
        <f>IF(R126="","",IF(OR(coder2_NY_MT!U126="", coder1_YH!AA125 = ""),0,1))</f>
        <v>1</v>
      </c>
      <c r="T126" s="20">
        <f>IF(coder1_YH!AB125="","",IF(coder1_YH!AB125=coder2_NY_MT!V126,1,0))</f>
        <v>1</v>
      </c>
      <c r="U126" s="20">
        <f>IF(coder1_YH!AC125="","",IF(coder1_YH!AC125=coder2_NY_MT!W126,1,0))</f>
        <v>1</v>
      </c>
      <c r="V126" s="20">
        <f>IF(coder1_YH!AD125="","",IF(coder1_YH!AD125=coder2_NY_MT!X126,1,0))</f>
        <v>1</v>
      </c>
      <c r="W126" s="20">
        <f>IF(coder1_YH!AE125="","",IF(coder1_YH!AE125=coder2_NY_MT!Y126,1,0))</f>
        <v>1</v>
      </c>
      <c r="X126" s="20">
        <f>IF(coder1_YH!AF125="","",IF(coder1_YH!AF125=coder2_NY_MT!Z126,1,0))</f>
        <v>1</v>
      </c>
      <c r="Y126" s="20">
        <f>IF(coder1_YH!AG125="","",IF(coder1_YH!AG125=coder2_NY_MT!AA126,1,0))</f>
        <v>1</v>
      </c>
      <c r="Z126" s="20">
        <f>IF(coder1_YH!AH125="","",IF(coder1_YH!AH125=coder2_NY_MT!AB126,1,0))</f>
        <v>1</v>
      </c>
      <c r="AA126" s="20">
        <f>IF(coder1_YH!AI125="","",IF(coder1_YH!AI125=coder2_NY_MT!AC126,1,0))</f>
        <v>1</v>
      </c>
      <c r="AB126" s="20">
        <f>IF(OR(coder2_NY_MT!AD125="", coder1_YH!AJ125 = ""),0,1)</f>
        <v>1</v>
      </c>
      <c r="AC126" s="20">
        <f>IF(coder1_YH!AK125="","",IF(coder1_YH!AK125=coder2_NY_MT!AE126,1,0))</f>
        <v>1</v>
      </c>
      <c r="AD126" s="20">
        <f>IF(OR(coder2_NY_MT!AF126="", coder1_YH!AL125 = ""),0,1)</f>
        <v>1</v>
      </c>
      <c r="AF126" s="20">
        <f>IF(coder1_YH!AN125="","",IF(coder1_YH!AN125=coder2_NY_MT!AH126,1,0))</f>
        <v>1</v>
      </c>
      <c r="AG126" s="20">
        <f>IF(coder1_YH!AO125="","",IF(coder1_YH!AO125=coder2_NY_MT!AI126,1,0))</f>
        <v>1</v>
      </c>
      <c r="AH126" s="20">
        <f>IF(coder1_YH!AP125="","",IF(coder1_YH!AP125=coder2_NY_MT!AJ126,1,0))</f>
        <v>1</v>
      </c>
      <c r="AI126" s="20">
        <f>IF(coder1_YH!AQ125="","",IF(coder1_YH!AQ125=coder2_NY_MT!AK126,1,0))</f>
        <v>1</v>
      </c>
      <c r="AJ126" s="20">
        <f>IF(coder1_YH!AR125="","",IF(coder1_YH!AR125=coder2_NY_MT!AL126,1,0))</f>
        <v>1</v>
      </c>
      <c r="AK126" s="20">
        <f>IF(coder1_YH!AS125="","",IF(coder1_YH!AS125=coder2_NY_MT!AM126,1,0))</f>
        <v>1</v>
      </c>
      <c r="AL126" s="20" t="str">
        <f>IF(coder1_YH!AZ125="","",IF(coder1_YH!AZ125=coder2_NY_MT!AT126,1,0))</f>
        <v/>
      </c>
      <c r="AM126" s="20" t="str">
        <f>IF(coder1_YH!BA125="","",IF(coder1_YH!BA125=coder2_NY_MT!AU126,1,0))</f>
        <v/>
      </c>
      <c r="AN126" s="2"/>
    </row>
    <row r="127" spans="1:40" s="20" customFormat="1" ht="17" hidden="1" customHeight="1" x14ac:dyDescent="0.2">
      <c r="A127" s="20" t="str">
        <f>IF(coder1_YH!G126="","",IF(coder1_YH!G126=coder2_NY_MT!A127,1,0))</f>
        <v/>
      </c>
      <c r="B127" s="20" t="str">
        <f>IF(coder1_YH!H126="","",IF(RIGHT(coder1_YH!H126,2)=RIGHT(coder2_NY_MT!B127,2),1,0))</f>
        <v/>
      </c>
      <c r="C127" s="20" t="str">
        <f>IF(coder1_YH!I126="","",IF(coder1_YH!I126=coder2_NY_MT!C127,1,0))</f>
        <v/>
      </c>
      <c r="E127" s="20" t="str">
        <f>IF(coder1_YH!K126="","",IF(coder1_YH!K126=coder2_NY_MT!E127,1,0))</f>
        <v/>
      </c>
      <c r="F127" s="20" t="str">
        <f>IF(coder1_YH!L126="","",IF(coder1_YH!L126=coder2_NY_MT!F127,1,0))</f>
        <v/>
      </c>
      <c r="G127" s="20" t="str">
        <f>IF(coder1_YH!M126="","",IF(coder1_YH!M126=coder2_NY_MT!G127,1,0))</f>
        <v/>
      </c>
      <c r="H127" s="20" t="str">
        <f>IF(coder1_YH!P126="","",IF(RIGHT(coder1_YH!P126,3)=RIGHT(coder2_NY_MT!J127,3),1,0))</f>
        <v/>
      </c>
      <c r="I127" s="20" t="str">
        <f>IF(H127="","",IF(OR(coder2_NY_MT!K127="", coder1_YH!Q126 = ""),0,1))</f>
        <v/>
      </c>
      <c r="J127" s="20" t="str">
        <f>IF(coder1_YH!R126="","",IF(coder1_YH!R126=coder2_NY_MT!L127,1,0))</f>
        <v/>
      </c>
      <c r="K127" s="20" t="str">
        <f>IF(coder1_YH!S126="","",IF(coder1_YH!S126=coder2_NY_MT!M127,1,0))</f>
        <v/>
      </c>
      <c r="L127" s="20" t="str">
        <f>IF(coder1_YH!T126="","",IF(coder1_YH!T126=coder2_NY_MT!N127,1,0))</f>
        <v/>
      </c>
      <c r="M127" s="20" t="str">
        <f>IF(coder1_YH!U126="","",IF(coder1_YH!U126=coder2_NY_MT!O127,1,0))</f>
        <v/>
      </c>
      <c r="N127" s="20" t="str">
        <f>IF(coder1_YH!V126="","",IF(coder1_YH!V126=coder2_NY_MT!P127,1,0))</f>
        <v/>
      </c>
      <c r="O127" s="20" t="str">
        <f>IF(coder1_YH!W126="","",IF(coder1_YH!W126=coder2_NY_MT!Q127,1,0))</f>
        <v/>
      </c>
      <c r="P127" s="20" t="str">
        <f>IF(coder1_YH!X126="","",IF(coder1_YH!X126=coder2_NY_MT!R127,1,0))</f>
        <v/>
      </c>
      <c r="Q127" s="20" t="str">
        <f>IF(coder1_YH!Y126="","",IF(coder1_YH!Y126=coder2_NY_MT!S127,1,0))</f>
        <v/>
      </c>
      <c r="R127" s="20" t="str">
        <f>IF(coder1_YH!Z126="","",IF(coder1_YH!Z126=coder2_NY_MT!T127,1,0))</f>
        <v/>
      </c>
      <c r="S127" s="20" t="str">
        <f>IF(R127="","",IF(OR(coder2_NY_MT!U127="", coder1_YH!AA126 = ""),0,1))</f>
        <v/>
      </c>
      <c r="T127" s="20" t="str">
        <f>IF(coder1_YH!AB126="","",IF(coder1_YH!AB126=coder2_NY_MT!V127,1,0))</f>
        <v/>
      </c>
      <c r="U127" s="20" t="str">
        <f>IF(coder1_YH!AC126="","",IF(coder1_YH!AC126=coder2_NY_MT!W127,1,0))</f>
        <v/>
      </c>
      <c r="V127" s="20" t="str">
        <f>IF(coder1_YH!AD126="","",IF(coder1_YH!AD126=coder2_NY_MT!X127,1,0))</f>
        <v/>
      </c>
      <c r="W127" s="20" t="str">
        <f>IF(coder1_YH!AE126="","",IF(coder1_YH!AE126=coder2_NY_MT!Y127,1,0))</f>
        <v/>
      </c>
      <c r="X127" s="20" t="str">
        <f>IF(coder1_YH!AF126="","",IF(coder1_YH!AF126=coder2_NY_MT!Z127,1,0))</f>
        <v/>
      </c>
      <c r="Y127" s="20" t="str">
        <f>IF(coder1_YH!AG126="","",IF(coder1_YH!AG126=coder2_NY_MT!AA127,1,0))</f>
        <v/>
      </c>
      <c r="Z127" s="20" t="str">
        <f>IF(coder1_YH!AH126="","",IF(coder1_YH!AH126=coder2_NY_MT!AB127,1,0))</f>
        <v/>
      </c>
      <c r="AA127" s="20" t="str">
        <f>IF(coder1_YH!AI126="","",IF(coder1_YH!AI126=coder2_NY_MT!AC127,1,0))</f>
        <v/>
      </c>
      <c r="AB127" s="20">
        <f>IF(OR(coder2_NY_MT!AD126="", coder1_YH!AJ126 = ""),0,1)</f>
        <v>1</v>
      </c>
      <c r="AC127" s="20">
        <f>IF(coder1_YH!AK126="","",IF(coder1_YH!AK126=coder2_NY_MT!AE127,1,0))</f>
        <v>1</v>
      </c>
      <c r="AD127" s="20">
        <f>IF(OR(coder2_NY_MT!AF127="", coder1_YH!AL126 = ""),0,1)</f>
        <v>1</v>
      </c>
      <c r="AF127" s="20">
        <f>IF(coder1_YH!AN126="","",IF(coder1_YH!AN126=coder2_NY_MT!AH127,1,0))</f>
        <v>1</v>
      </c>
      <c r="AG127" s="20">
        <f>IF(coder1_YH!AO126="","",IF(coder1_YH!AO126=coder2_NY_MT!AI127,1,0))</f>
        <v>1</v>
      </c>
      <c r="AH127" s="20">
        <f>IF(coder1_YH!AP126="","",IF(coder1_YH!AP126=coder2_NY_MT!AJ127,1,0))</f>
        <v>1</v>
      </c>
      <c r="AI127" s="20">
        <f>IF(coder1_YH!AQ126="","",IF(coder1_YH!AQ126=coder2_NY_MT!AK127,1,0))</f>
        <v>1</v>
      </c>
      <c r="AJ127" s="20">
        <f>IF(coder1_YH!AR126="","",IF(coder1_YH!AR126=coder2_NY_MT!AL127,1,0))</f>
        <v>1</v>
      </c>
      <c r="AK127" s="20">
        <f>IF(coder1_YH!AS126="","",IF(coder1_YH!AS126=coder2_NY_MT!AM127,1,0))</f>
        <v>1</v>
      </c>
      <c r="AL127" s="20" t="str">
        <f>IF(coder1_YH!AZ126="","",IF(coder1_YH!AZ126=coder2_NY_MT!AT127,1,0))</f>
        <v/>
      </c>
      <c r="AM127" s="20" t="str">
        <f>IF(coder1_YH!BA126="","",IF(coder1_YH!BA126=coder2_NY_MT!AU127,1,0))</f>
        <v/>
      </c>
      <c r="AN127" s="2"/>
    </row>
    <row r="128" spans="1:40" s="20" customFormat="1" ht="17" hidden="1" customHeight="1" x14ac:dyDescent="0.2">
      <c r="A128" s="20" t="str">
        <f>IF(coder1_YH!G127="","",IF(coder1_YH!G127=coder2_NY_MT!A128,1,0))</f>
        <v/>
      </c>
      <c r="B128" s="20" t="str">
        <f>IF(coder1_YH!H127="","",IF(RIGHT(coder1_YH!H127,2)=RIGHT(coder2_NY_MT!B128,2),1,0))</f>
        <v/>
      </c>
      <c r="C128" s="20" t="str">
        <f>IF(coder1_YH!I127="","",IF(coder1_YH!I127=coder2_NY_MT!C128,1,0))</f>
        <v/>
      </c>
      <c r="E128" s="20" t="str">
        <f>IF(coder1_YH!K127="","",IF(coder1_YH!K127=coder2_NY_MT!E128,1,0))</f>
        <v/>
      </c>
      <c r="F128" s="20" t="str">
        <f>IF(coder1_YH!L127="","",IF(coder1_YH!L127=coder2_NY_MT!F128,1,0))</f>
        <v/>
      </c>
      <c r="G128" s="20" t="str">
        <f>IF(coder1_YH!M127="","",IF(coder1_YH!M127=coder2_NY_MT!G128,1,0))</f>
        <v/>
      </c>
      <c r="H128" s="20" t="str">
        <f>IF(coder1_YH!P127="","",IF(RIGHT(coder1_YH!P127,3)=RIGHT(coder2_NY_MT!J128,3),1,0))</f>
        <v/>
      </c>
      <c r="I128" s="20" t="str">
        <f>IF(H128="","",IF(OR(coder2_NY_MT!K128="", coder1_YH!Q127 = ""),0,1))</f>
        <v/>
      </c>
      <c r="J128" s="20" t="str">
        <f>IF(coder1_YH!R127="","",IF(coder1_YH!R127=coder2_NY_MT!L128,1,0))</f>
        <v/>
      </c>
      <c r="K128" s="20" t="str">
        <f>IF(coder1_YH!S127="","",IF(coder1_YH!S127=coder2_NY_MT!M128,1,0))</f>
        <v/>
      </c>
      <c r="L128" s="20" t="str">
        <f>IF(coder1_YH!T127="","",IF(coder1_YH!T127=coder2_NY_MT!N128,1,0))</f>
        <v/>
      </c>
      <c r="M128" s="20" t="str">
        <f>IF(coder1_YH!U127="","",IF(coder1_YH!U127=coder2_NY_MT!O128,1,0))</f>
        <v/>
      </c>
      <c r="N128" s="20" t="str">
        <f>IF(coder1_YH!V127="","",IF(coder1_YH!V127=coder2_NY_MT!P128,1,0))</f>
        <v/>
      </c>
      <c r="O128" s="20" t="str">
        <f>IF(coder1_YH!W127="","",IF(coder1_YH!W127=coder2_NY_MT!Q128,1,0))</f>
        <v/>
      </c>
      <c r="P128" s="20" t="str">
        <f>IF(coder1_YH!X127="","",IF(coder1_YH!X127=coder2_NY_MT!R128,1,0))</f>
        <v/>
      </c>
      <c r="Q128" s="20" t="str">
        <f>IF(coder1_YH!Y127="","",IF(coder1_YH!Y127=coder2_NY_MT!S128,1,0))</f>
        <v/>
      </c>
      <c r="R128" s="20" t="str">
        <f>IF(coder1_YH!Z127="","",IF(coder1_YH!Z127=coder2_NY_MT!T128,1,0))</f>
        <v/>
      </c>
      <c r="S128" s="20" t="str">
        <f>IF(R128="","",IF(OR(coder2_NY_MT!U128="", coder1_YH!AA127 = ""),0,1))</f>
        <v/>
      </c>
      <c r="T128" s="20" t="str">
        <f>IF(coder1_YH!AB127="","",IF(coder1_YH!AB127=coder2_NY_MT!V128,1,0))</f>
        <v/>
      </c>
      <c r="U128" s="20" t="str">
        <f>IF(coder1_YH!AC127="","",IF(coder1_YH!AC127=coder2_NY_MT!W128,1,0))</f>
        <v/>
      </c>
      <c r="V128" s="20" t="str">
        <f>IF(coder1_YH!AD127="","",IF(coder1_YH!AD127=coder2_NY_MT!X128,1,0))</f>
        <v/>
      </c>
      <c r="W128" s="20" t="str">
        <f>IF(coder1_YH!AE127="","",IF(coder1_YH!AE127=coder2_NY_MT!Y128,1,0))</f>
        <v/>
      </c>
      <c r="X128" s="20" t="str">
        <f>IF(coder1_YH!AF127="","",IF(coder1_YH!AF127=coder2_NY_MT!Z128,1,0))</f>
        <v/>
      </c>
      <c r="Y128" s="20" t="str">
        <f>IF(coder1_YH!AG127="","",IF(coder1_YH!AG127=coder2_NY_MT!AA128,1,0))</f>
        <v/>
      </c>
      <c r="Z128" s="20" t="str">
        <f>IF(coder1_YH!AH127="","",IF(coder1_YH!AH127=coder2_NY_MT!AB128,1,0))</f>
        <v/>
      </c>
      <c r="AA128" s="20" t="str">
        <f>IF(coder1_YH!AI127="","",IF(coder1_YH!AI127=coder2_NY_MT!AC128,1,0))</f>
        <v/>
      </c>
      <c r="AB128" s="20">
        <f>IF(OR(coder2_NY_MT!AD127="", coder1_YH!AJ127 = ""),0,1)</f>
        <v>1</v>
      </c>
      <c r="AC128" s="20">
        <f>IF(coder1_YH!AK127="","",IF(coder1_YH!AK127=coder2_NY_MT!AE128,1,0))</f>
        <v>1</v>
      </c>
      <c r="AD128" s="20">
        <f>IF(OR(coder2_NY_MT!AF128="", coder1_YH!AL127 = ""),0,1)</f>
        <v>1</v>
      </c>
      <c r="AF128" s="20">
        <f>IF(coder1_YH!AN127="","",IF(coder1_YH!AN127=coder2_NY_MT!AH128,1,0))</f>
        <v>1</v>
      </c>
      <c r="AG128" s="20">
        <f>IF(coder1_YH!AO127="","",IF(coder1_YH!AO127=coder2_NY_MT!AI128,1,0))</f>
        <v>1</v>
      </c>
      <c r="AH128" s="20">
        <f>IF(coder1_YH!AP127="","",IF(coder1_YH!AP127=coder2_NY_MT!AJ128,1,0))</f>
        <v>1</v>
      </c>
      <c r="AI128" s="20">
        <f>IF(coder1_YH!AQ127="","",IF(coder1_YH!AQ127=coder2_NY_MT!AK128,1,0))</f>
        <v>1</v>
      </c>
      <c r="AJ128" s="20">
        <f>IF(coder1_YH!AR127="","",IF(coder1_YH!AR127=coder2_NY_MT!AL128,1,0))</f>
        <v>1</v>
      </c>
      <c r="AK128" s="20">
        <f>IF(coder1_YH!AS127="","",IF(coder1_YH!AS127=coder2_NY_MT!AM128,1,0))</f>
        <v>1</v>
      </c>
      <c r="AL128" s="20" t="str">
        <f>IF(coder1_YH!AZ127="","",IF(coder1_YH!AZ127=coder2_NY_MT!AT128,1,0))</f>
        <v/>
      </c>
      <c r="AM128" s="20" t="str">
        <f>IF(coder1_YH!BA127="","",IF(coder1_YH!BA127=coder2_NY_MT!AU128,1,0))</f>
        <v/>
      </c>
      <c r="AN128" s="2"/>
    </row>
    <row r="129" spans="1:40" s="20" customFormat="1" ht="17" hidden="1" customHeight="1" x14ac:dyDescent="0.2">
      <c r="A129" s="20">
        <f>IF(coder1_YH!G128="","",IF(coder1_YH!G128=coder2_NY_MT!A129,1,0))</f>
        <v>0</v>
      </c>
      <c r="B129" s="20">
        <f>IF(coder1_YH!H128="","",IF(RIGHT(coder1_YH!H128,2)=RIGHT(coder2_NY_MT!B129,2),1,0))</f>
        <v>0</v>
      </c>
      <c r="C129" s="20">
        <f>IF(coder1_YH!I128="","",IF(coder1_YH!I128=coder2_NY_MT!C129,1,0))</f>
        <v>0</v>
      </c>
      <c r="E129" s="20">
        <f>IF(coder1_YH!K128="","",IF(coder1_YH!K128=coder2_NY_MT!E129,1,0))</f>
        <v>0</v>
      </c>
      <c r="F129" s="20">
        <f>IF(coder1_YH!L128="","",IF(coder1_YH!L128=coder2_NY_MT!F129,1,0))</f>
        <v>0</v>
      </c>
      <c r="G129" s="20">
        <f>IF(coder1_YH!M128="","",IF(coder1_YH!M128=coder2_NY_MT!G129,1,0))</f>
        <v>0</v>
      </c>
      <c r="H129" s="20">
        <f>IF(coder1_YH!P128="","",IF(RIGHT(coder1_YH!P128,3)=RIGHT(coder2_NY_MT!J129,3),1,0))</f>
        <v>0</v>
      </c>
      <c r="I129" s="20">
        <f>IF(H129="","",IF(OR(coder2_NY_MT!K129="", coder1_YH!Q128 = ""),0,1))</f>
        <v>1</v>
      </c>
      <c r="J129" s="20">
        <f>IF(coder1_YH!R128="","",IF(coder1_YH!R128=coder2_NY_MT!L129,1,0))</f>
        <v>1</v>
      </c>
      <c r="K129" s="20">
        <f>IF(coder1_YH!S128="","",IF(coder1_YH!S128=coder2_NY_MT!M129,1,0))</f>
        <v>1</v>
      </c>
      <c r="L129" s="20">
        <f>IF(coder1_YH!T128="","",IF(coder1_YH!T128=coder2_NY_MT!N129,1,0))</f>
        <v>1</v>
      </c>
      <c r="M129" s="20">
        <f>IF(coder1_YH!U128="","",IF(coder1_YH!U128=coder2_NY_MT!O129,1,0))</f>
        <v>1</v>
      </c>
      <c r="N129" s="20">
        <f>IF(coder1_YH!V128="","",IF(coder1_YH!V128=coder2_NY_MT!P129,1,0))</f>
        <v>1</v>
      </c>
      <c r="O129" s="20">
        <f>IF(coder1_YH!W128="","",IF(coder1_YH!W128=coder2_NY_MT!Q129,1,0))</f>
        <v>1</v>
      </c>
      <c r="P129" s="20">
        <f>IF(coder1_YH!X128="","",IF(coder1_YH!X128=coder2_NY_MT!R129,1,0))</f>
        <v>1</v>
      </c>
      <c r="Q129" s="20">
        <f>IF(coder1_YH!Y128="","",IF(coder1_YH!Y128=coder2_NY_MT!S129,1,0))</f>
        <v>1</v>
      </c>
      <c r="R129" s="20">
        <f>IF(coder1_YH!Z128="","",IF(coder1_YH!Z128=coder2_NY_MT!T129,1,0))</f>
        <v>1</v>
      </c>
      <c r="S129" s="20">
        <f>IF(R129="","",IF(OR(coder2_NY_MT!U129="", coder1_YH!AA128 = ""),0,1))</f>
        <v>1</v>
      </c>
      <c r="T129" s="20">
        <f>IF(coder1_YH!AB128="","",IF(coder1_YH!AB128=coder2_NY_MT!V129,1,0))</f>
        <v>1</v>
      </c>
      <c r="U129" s="20">
        <f>IF(coder1_YH!AC128="","",IF(coder1_YH!AC128=coder2_NY_MT!W129,1,0))</f>
        <v>1</v>
      </c>
      <c r="V129" s="20">
        <f>IF(coder1_YH!AD128="","",IF(coder1_YH!AD128=coder2_NY_MT!X129,1,0))</f>
        <v>1</v>
      </c>
      <c r="W129" s="20">
        <f>IF(coder1_YH!AE128="","",IF(coder1_YH!AE128=coder2_NY_MT!Y129,1,0))</f>
        <v>1</v>
      </c>
      <c r="X129" s="20">
        <f>IF(coder1_YH!AF128="","",IF(coder1_YH!AF128=coder2_NY_MT!Z129,1,0))</f>
        <v>1</v>
      </c>
      <c r="Y129" s="20">
        <f>IF(coder1_YH!AG128="","",IF(coder1_YH!AG128=coder2_NY_MT!AA129,1,0))</f>
        <v>1</v>
      </c>
      <c r="Z129" s="20">
        <f>IF(coder1_YH!AH128="","",IF(coder1_YH!AH128=coder2_NY_MT!AB129,1,0))</f>
        <v>1</v>
      </c>
      <c r="AA129" s="20">
        <f>IF(coder1_YH!AI128="","",IF(coder1_YH!AI128=coder2_NY_MT!AC129,1,0))</f>
        <v>1</v>
      </c>
      <c r="AB129" s="20">
        <f>IF(OR(coder2_NY_MT!AD128="", coder1_YH!AJ128 = ""),0,1)</f>
        <v>1</v>
      </c>
      <c r="AC129" s="20">
        <f>IF(coder1_YH!AK128="","",IF(coder1_YH!AK128=coder2_NY_MT!AE129,1,0))</f>
        <v>1</v>
      </c>
      <c r="AD129" s="20">
        <f>IF(OR(coder2_NY_MT!AF129="", coder1_YH!AL128 = ""),0,1)</f>
        <v>1</v>
      </c>
      <c r="AF129" s="20">
        <f>IF(coder1_YH!AN128="","",IF(coder1_YH!AN128=coder2_NY_MT!AH129,1,0))</f>
        <v>1</v>
      </c>
      <c r="AG129" s="20">
        <f>IF(coder1_YH!AO128="","",IF(coder1_YH!AO128=coder2_NY_MT!AI129,1,0))</f>
        <v>1</v>
      </c>
      <c r="AH129" s="20">
        <f>IF(coder1_YH!AP128="","",IF(coder1_YH!AP128=coder2_NY_MT!AJ129,1,0))</f>
        <v>1</v>
      </c>
      <c r="AI129" s="20">
        <f>IF(coder1_YH!AQ128="","",IF(coder1_YH!AQ128=coder2_NY_MT!AK129,1,0))</f>
        <v>1</v>
      </c>
      <c r="AJ129" s="20">
        <f>IF(coder1_YH!AR128="","",IF(coder1_YH!AR128=coder2_NY_MT!AL129,1,0))</f>
        <v>1</v>
      </c>
      <c r="AK129" s="20">
        <f>IF(coder1_YH!AS128="","",IF(coder1_YH!AS128=coder2_NY_MT!AM129,1,0))</f>
        <v>1</v>
      </c>
      <c r="AL129" s="20" t="str">
        <f>IF(coder1_YH!AZ128="","",IF(coder1_YH!AZ128=coder2_NY_MT!AT129,1,0))</f>
        <v/>
      </c>
      <c r="AM129" s="20" t="str">
        <f>IF(coder1_YH!BA128="","",IF(coder1_YH!BA128=coder2_NY_MT!AU129,1,0))</f>
        <v/>
      </c>
      <c r="AN129" s="2"/>
    </row>
    <row r="130" spans="1:40" s="20" customFormat="1" ht="17" hidden="1" customHeight="1" x14ac:dyDescent="0.2">
      <c r="A130" s="20" t="str">
        <f>IF(coder1_YH!G129="","",IF(coder1_YH!G129=coder2_NY_MT!A130,1,0))</f>
        <v/>
      </c>
      <c r="B130" s="20" t="str">
        <f>IF(coder1_YH!H129="","",IF(RIGHT(coder1_YH!H129,2)=RIGHT(coder2_NY_MT!B130,2),1,0))</f>
        <v/>
      </c>
      <c r="C130" s="20" t="str">
        <f>IF(coder1_YH!I129="","",IF(coder1_YH!I129=coder2_NY_MT!C130,1,0))</f>
        <v/>
      </c>
      <c r="E130" s="20" t="str">
        <f>IF(coder1_YH!K129="","",IF(coder1_YH!K129=coder2_NY_MT!E130,1,0))</f>
        <v/>
      </c>
      <c r="F130" s="20" t="str">
        <f>IF(coder1_YH!L129="","",IF(coder1_YH!L129=coder2_NY_MT!F130,1,0))</f>
        <v/>
      </c>
      <c r="G130" s="20" t="str">
        <f>IF(coder1_YH!M129="","",IF(coder1_YH!M129=coder2_NY_MT!G130,1,0))</f>
        <v/>
      </c>
      <c r="H130" s="20" t="str">
        <f>IF(coder1_YH!P129="","",IF(RIGHT(coder1_YH!P129,3)=RIGHT(coder2_NY_MT!J130,3),1,0))</f>
        <v/>
      </c>
      <c r="I130" s="20" t="str">
        <f>IF(H130="","",IF(OR(coder2_NY_MT!K130="", coder1_YH!Q129 = ""),0,1))</f>
        <v/>
      </c>
      <c r="J130" s="20" t="str">
        <f>IF(coder1_YH!R129="","",IF(coder1_YH!R129=coder2_NY_MT!L130,1,0))</f>
        <v/>
      </c>
      <c r="K130" s="20" t="str">
        <f>IF(coder1_YH!S129="","",IF(coder1_YH!S129=coder2_NY_MT!M130,1,0))</f>
        <v/>
      </c>
      <c r="L130" s="20" t="str">
        <f>IF(coder1_YH!T129="","",IF(coder1_YH!T129=coder2_NY_MT!N130,1,0))</f>
        <v/>
      </c>
      <c r="M130" s="20" t="str">
        <f>IF(coder1_YH!U129="","",IF(coder1_YH!U129=coder2_NY_MT!O130,1,0))</f>
        <v/>
      </c>
      <c r="N130" s="20" t="str">
        <f>IF(coder1_YH!V129="","",IF(coder1_YH!V129=coder2_NY_MT!P130,1,0))</f>
        <v/>
      </c>
      <c r="O130" s="20" t="str">
        <f>IF(coder1_YH!W129="","",IF(coder1_YH!W129=coder2_NY_MT!Q130,1,0))</f>
        <v/>
      </c>
      <c r="P130" s="20" t="str">
        <f>IF(coder1_YH!X129="","",IF(coder1_YH!X129=coder2_NY_MT!R130,1,0))</f>
        <v/>
      </c>
      <c r="Q130" s="20" t="str">
        <f>IF(coder1_YH!Y129="","",IF(coder1_YH!Y129=coder2_NY_MT!S130,1,0))</f>
        <v/>
      </c>
      <c r="R130" s="20" t="str">
        <f>IF(coder1_YH!Z129="","",IF(coder1_YH!Z129=coder2_NY_MT!T130,1,0))</f>
        <v/>
      </c>
      <c r="S130" s="20" t="str">
        <f>IF(R130="","",IF(OR(coder2_NY_MT!U130="", coder1_YH!AA129 = ""),0,1))</f>
        <v/>
      </c>
      <c r="T130" s="20" t="str">
        <f>IF(coder1_YH!AB129="","",IF(coder1_YH!AB129=coder2_NY_MT!V130,1,0))</f>
        <v/>
      </c>
      <c r="U130" s="20" t="str">
        <f>IF(coder1_YH!AC129="","",IF(coder1_YH!AC129=coder2_NY_MT!W130,1,0))</f>
        <v/>
      </c>
      <c r="V130" s="20" t="str">
        <f>IF(coder1_YH!AD129="","",IF(coder1_YH!AD129=coder2_NY_MT!X130,1,0))</f>
        <v/>
      </c>
      <c r="W130" s="20" t="str">
        <f>IF(coder1_YH!AE129="","",IF(coder1_YH!AE129=coder2_NY_MT!Y130,1,0))</f>
        <v/>
      </c>
      <c r="X130" s="20" t="str">
        <f>IF(coder1_YH!AF129="","",IF(coder1_YH!AF129=coder2_NY_MT!Z130,1,0))</f>
        <v/>
      </c>
      <c r="Y130" s="20" t="str">
        <f>IF(coder1_YH!AG129="","",IF(coder1_YH!AG129=coder2_NY_MT!AA130,1,0))</f>
        <v/>
      </c>
      <c r="Z130" s="20" t="str">
        <f>IF(coder1_YH!AH129="","",IF(coder1_YH!AH129=coder2_NY_MT!AB130,1,0))</f>
        <v/>
      </c>
      <c r="AA130" s="20" t="str">
        <f>IF(coder1_YH!AI129="","",IF(coder1_YH!AI129=coder2_NY_MT!AC130,1,0))</f>
        <v/>
      </c>
      <c r="AB130" s="20">
        <f>IF(OR(coder2_NY_MT!AD129="", coder1_YH!AJ129 = ""),0,1)</f>
        <v>1</v>
      </c>
      <c r="AC130" s="20">
        <f>IF(coder1_YH!AK129="","",IF(coder1_YH!AK129=coder2_NY_MT!AE130,1,0))</f>
        <v>1</v>
      </c>
      <c r="AD130" s="20">
        <f>IF(OR(coder2_NY_MT!AF130="", coder1_YH!AL129 = ""),0,1)</f>
        <v>1</v>
      </c>
      <c r="AF130" s="20">
        <f>IF(coder1_YH!AN129="","",IF(coder1_YH!AN129=coder2_NY_MT!AH130,1,0))</f>
        <v>1</v>
      </c>
      <c r="AG130" s="20">
        <f>IF(coder1_YH!AO129="","",IF(coder1_YH!AO129=coder2_NY_MT!AI130,1,0))</f>
        <v>1</v>
      </c>
      <c r="AH130" s="20">
        <f>IF(coder1_YH!AP129="","",IF(coder1_YH!AP129=coder2_NY_MT!AJ130,1,0))</f>
        <v>1</v>
      </c>
      <c r="AI130" s="20">
        <f>IF(coder1_YH!AQ129="","",IF(coder1_YH!AQ129=coder2_NY_MT!AK130,1,0))</f>
        <v>1</v>
      </c>
      <c r="AJ130" s="20">
        <f>IF(coder1_YH!AR129="","",IF(coder1_YH!AR129=coder2_NY_MT!AL130,1,0))</f>
        <v>1</v>
      </c>
      <c r="AK130" s="20">
        <f>IF(coder1_YH!AS129="","",IF(coder1_YH!AS129=coder2_NY_MT!AM130,1,0))</f>
        <v>1</v>
      </c>
      <c r="AL130" s="20" t="str">
        <f>IF(coder1_YH!AZ129="","",IF(coder1_YH!AZ129=coder2_NY_MT!AT130,1,0))</f>
        <v/>
      </c>
      <c r="AM130" s="20" t="str">
        <f>IF(coder1_YH!BA129="","",IF(coder1_YH!BA129=coder2_NY_MT!AU130,1,0))</f>
        <v/>
      </c>
      <c r="AN130" s="2"/>
    </row>
    <row r="131" spans="1:40" s="20" customFormat="1" ht="17" hidden="1" customHeight="1" x14ac:dyDescent="0.2">
      <c r="A131" s="20" t="str">
        <f>IF(coder1_YH!G130="","",IF(coder1_YH!G130=coder2_NY_MT!A131,1,0))</f>
        <v/>
      </c>
      <c r="B131" s="20" t="str">
        <f>IF(coder1_YH!H130="","",IF(RIGHT(coder1_YH!H130,2)=RIGHT(coder2_NY_MT!B131,2),1,0))</f>
        <v/>
      </c>
      <c r="C131" s="20" t="str">
        <f>IF(coder1_YH!I130="","",IF(coder1_YH!I130=coder2_NY_MT!C131,1,0))</f>
        <v/>
      </c>
      <c r="E131" s="20" t="str">
        <f>IF(coder1_YH!K130="","",IF(coder1_YH!K130=coder2_NY_MT!E131,1,0))</f>
        <v/>
      </c>
      <c r="F131" s="20" t="str">
        <f>IF(coder1_YH!L130="","",IF(coder1_YH!L130=coder2_NY_MT!F131,1,0))</f>
        <v/>
      </c>
      <c r="G131" s="20" t="str">
        <f>IF(coder1_YH!M130="","",IF(coder1_YH!M130=coder2_NY_MT!G131,1,0))</f>
        <v/>
      </c>
      <c r="H131" s="20" t="str">
        <f>IF(coder1_YH!P130="","",IF(RIGHT(coder1_YH!P130,3)=RIGHT(coder2_NY_MT!J131,3),1,0))</f>
        <v/>
      </c>
      <c r="I131" s="20" t="str">
        <f>IF(H131="","",IF(OR(coder2_NY_MT!K131="", coder1_YH!Q130 = ""),0,1))</f>
        <v/>
      </c>
      <c r="J131" s="20" t="str">
        <f>IF(coder1_YH!R130="","",IF(coder1_YH!R130=coder2_NY_MT!L131,1,0))</f>
        <v/>
      </c>
      <c r="K131" s="20" t="str">
        <f>IF(coder1_YH!S130="","",IF(coder1_YH!S130=coder2_NY_MT!M131,1,0))</f>
        <v/>
      </c>
      <c r="L131" s="20" t="str">
        <f>IF(coder1_YH!T130="","",IF(coder1_YH!T130=coder2_NY_MT!N131,1,0))</f>
        <v/>
      </c>
      <c r="M131" s="20" t="str">
        <f>IF(coder1_YH!U130="","",IF(coder1_YH!U130=coder2_NY_MT!O131,1,0))</f>
        <v/>
      </c>
      <c r="N131" s="20" t="str">
        <f>IF(coder1_YH!V130="","",IF(coder1_YH!V130=coder2_NY_MT!P131,1,0))</f>
        <v/>
      </c>
      <c r="O131" s="20" t="str">
        <f>IF(coder1_YH!W130="","",IF(coder1_YH!W130=coder2_NY_MT!Q131,1,0))</f>
        <v/>
      </c>
      <c r="P131" s="20" t="str">
        <f>IF(coder1_YH!X130="","",IF(coder1_YH!X130=coder2_NY_MT!R131,1,0))</f>
        <v/>
      </c>
      <c r="Q131" s="20" t="str">
        <f>IF(coder1_YH!Y130="","",IF(coder1_YH!Y130=coder2_NY_MT!S131,1,0))</f>
        <v/>
      </c>
      <c r="R131" s="20" t="str">
        <f>IF(coder1_YH!Z130="","",IF(coder1_YH!Z130=coder2_NY_MT!T131,1,0))</f>
        <v/>
      </c>
      <c r="S131" s="20" t="str">
        <f>IF(R131="","",IF(OR(coder2_NY_MT!U131="", coder1_YH!AA130 = ""),0,1))</f>
        <v/>
      </c>
      <c r="T131" s="20" t="str">
        <f>IF(coder1_YH!AB130="","",IF(coder1_YH!AB130=coder2_NY_MT!V131,1,0))</f>
        <v/>
      </c>
      <c r="U131" s="20" t="str">
        <f>IF(coder1_YH!AC130="","",IF(coder1_YH!AC130=coder2_NY_MT!W131,1,0))</f>
        <v/>
      </c>
      <c r="V131" s="20" t="str">
        <f>IF(coder1_YH!AD130="","",IF(coder1_YH!AD130=coder2_NY_MT!X131,1,0))</f>
        <v/>
      </c>
      <c r="W131" s="20" t="str">
        <f>IF(coder1_YH!AE130="","",IF(coder1_YH!AE130=coder2_NY_MT!Y131,1,0))</f>
        <v/>
      </c>
      <c r="X131" s="20" t="str">
        <f>IF(coder1_YH!AF130="","",IF(coder1_YH!AF130=coder2_NY_MT!Z131,1,0))</f>
        <v/>
      </c>
      <c r="Y131" s="20" t="str">
        <f>IF(coder1_YH!AG130="","",IF(coder1_YH!AG130=coder2_NY_MT!AA131,1,0))</f>
        <v/>
      </c>
      <c r="Z131" s="20" t="str">
        <f>IF(coder1_YH!AH130="","",IF(coder1_YH!AH130=coder2_NY_MT!AB131,1,0))</f>
        <v/>
      </c>
      <c r="AA131" s="20" t="str">
        <f>IF(coder1_YH!AI130="","",IF(coder1_YH!AI130=coder2_NY_MT!AC131,1,0))</f>
        <v/>
      </c>
      <c r="AB131" s="20">
        <f>IF(OR(coder2_NY_MT!AD130="", coder1_YH!AJ130 = ""),0,1)</f>
        <v>1</v>
      </c>
      <c r="AC131" s="20">
        <f>IF(coder1_YH!AK130="","",IF(coder1_YH!AK130=coder2_NY_MT!AE131,1,0))</f>
        <v>1</v>
      </c>
      <c r="AD131" s="20">
        <f>IF(OR(coder2_NY_MT!AF131="", coder1_YH!AL130 = ""),0,1)</f>
        <v>1</v>
      </c>
      <c r="AF131" s="20">
        <f>IF(coder1_YH!AN130="","",IF(coder1_YH!AN130=coder2_NY_MT!AH131,1,0))</f>
        <v>1</v>
      </c>
      <c r="AG131" s="20">
        <f>IF(coder1_YH!AO130="","",IF(coder1_YH!AO130=coder2_NY_MT!AI131,1,0))</f>
        <v>1</v>
      </c>
      <c r="AH131" s="20">
        <f>IF(coder1_YH!AP130="","",IF(coder1_YH!AP130=coder2_NY_MT!AJ131,1,0))</f>
        <v>1</v>
      </c>
      <c r="AI131" s="20">
        <f>IF(coder1_YH!AQ130="","",IF(coder1_YH!AQ130=coder2_NY_MT!AK131,1,0))</f>
        <v>1</v>
      </c>
      <c r="AJ131" s="20">
        <f>IF(coder1_YH!AR130="","",IF(coder1_YH!AR130=coder2_NY_MT!AL131,1,0))</f>
        <v>1</v>
      </c>
      <c r="AK131" s="20">
        <f>IF(coder1_YH!AS130="","",IF(coder1_YH!AS130=coder2_NY_MT!AM131,1,0))</f>
        <v>1</v>
      </c>
      <c r="AL131" s="20" t="str">
        <f>IF(coder1_YH!AZ130="","",IF(coder1_YH!AZ130=coder2_NY_MT!AT131,1,0))</f>
        <v/>
      </c>
      <c r="AM131" s="20" t="str">
        <f>IF(coder1_YH!BA130="","",IF(coder1_YH!BA130=coder2_NY_MT!AU131,1,0))</f>
        <v/>
      </c>
      <c r="AN131" s="2"/>
    </row>
    <row r="132" spans="1:40" s="20" customFormat="1" ht="17" hidden="1" customHeight="1" x14ac:dyDescent="0.2">
      <c r="A132" s="20" t="str">
        <f>IF(coder1_YH!G131="","",IF(coder1_YH!G131=coder2_NY_MT!A132,1,0))</f>
        <v/>
      </c>
      <c r="B132" s="20" t="str">
        <f>IF(coder1_YH!H131="","",IF(RIGHT(coder1_YH!H131,2)=RIGHT(coder2_NY_MT!B132,2),1,0))</f>
        <v/>
      </c>
      <c r="C132" s="20" t="str">
        <f>IF(coder1_YH!I131="","",IF(coder1_YH!I131=coder2_NY_MT!C132,1,0))</f>
        <v/>
      </c>
      <c r="E132" s="20" t="str">
        <f>IF(coder1_YH!K131="","",IF(coder1_YH!K131=coder2_NY_MT!E132,1,0))</f>
        <v/>
      </c>
      <c r="F132" s="20" t="str">
        <f>IF(coder1_YH!L131="","",IF(coder1_YH!L131=coder2_NY_MT!F132,1,0))</f>
        <v/>
      </c>
      <c r="G132" s="20" t="str">
        <f>IF(coder1_YH!M131="","",IF(coder1_YH!M131=coder2_NY_MT!G132,1,0))</f>
        <v/>
      </c>
      <c r="H132" s="20">
        <f>IF(coder1_YH!P131="","",IF(RIGHT(coder1_YH!P131,3)=RIGHT(coder2_NY_MT!J132,3),1,0))</f>
        <v>0</v>
      </c>
      <c r="I132" s="20">
        <f>IF(H132="","",IF(OR(coder2_NY_MT!K132="", coder1_YH!Q131 = ""),0,1))</f>
        <v>1</v>
      </c>
      <c r="J132" s="20">
        <f>IF(coder1_YH!R131="","",IF(coder1_YH!R131=coder2_NY_MT!L132,1,0))</f>
        <v>1</v>
      </c>
      <c r="K132" s="20">
        <f>IF(coder1_YH!S131="","",IF(coder1_YH!S131=coder2_NY_MT!M132,1,0))</f>
        <v>1</v>
      </c>
      <c r="L132" s="20">
        <f>IF(coder1_YH!T131="","",IF(coder1_YH!T131=coder2_NY_MT!N132,1,0))</f>
        <v>1</v>
      </c>
      <c r="M132" s="20">
        <f>IF(coder1_YH!U131="","",IF(coder1_YH!U131=coder2_NY_MT!O132,1,0))</f>
        <v>1</v>
      </c>
      <c r="N132" s="20">
        <f>IF(coder1_YH!V131="","",IF(coder1_YH!V131=coder2_NY_MT!P132,1,0))</f>
        <v>1</v>
      </c>
      <c r="O132" s="20">
        <f>IF(coder1_YH!W131="","",IF(coder1_YH!W131=coder2_NY_MT!Q132,1,0))</f>
        <v>1</v>
      </c>
      <c r="P132" s="20">
        <f>IF(coder1_YH!X131="","",IF(coder1_YH!X131=coder2_NY_MT!R132,1,0))</f>
        <v>1</v>
      </c>
      <c r="Q132" s="20">
        <f>IF(coder1_YH!Y131="","",IF(coder1_YH!Y131=coder2_NY_MT!S132,1,0))</f>
        <v>1</v>
      </c>
      <c r="R132" s="20">
        <f>IF(coder1_YH!Z131="","",IF(coder1_YH!Z131=coder2_NY_MT!T132,1,0))</f>
        <v>1</v>
      </c>
      <c r="S132" s="20">
        <f>IF(R132="","",IF(OR(coder2_NY_MT!U132="", coder1_YH!AA131 = ""),0,1))</f>
        <v>1</v>
      </c>
      <c r="T132" s="20">
        <f>IF(coder1_YH!AB131="","",IF(coder1_YH!AB131=coder2_NY_MT!V132,1,0))</f>
        <v>1</v>
      </c>
      <c r="U132" s="20">
        <f>IF(coder1_YH!AC131="","",IF(coder1_YH!AC131=coder2_NY_MT!W132,1,0))</f>
        <v>1</v>
      </c>
      <c r="V132" s="20">
        <f>IF(coder1_YH!AD131="","",IF(coder1_YH!AD131=coder2_NY_MT!X132,1,0))</f>
        <v>1</v>
      </c>
      <c r="W132" s="20">
        <f>IF(coder1_YH!AE131="","",IF(coder1_YH!AE131=coder2_NY_MT!Y132,1,0))</f>
        <v>1</v>
      </c>
      <c r="X132" s="20">
        <f>IF(coder1_YH!AF131="","",IF(coder1_YH!AF131=coder2_NY_MT!Z132,1,0))</f>
        <v>1</v>
      </c>
      <c r="Y132" s="20">
        <f>IF(coder1_YH!AG131="","",IF(coder1_YH!AG131=coder2_NY_MT!AA132,1,0))</f>
        <v>1</v>
      </c>
      <c r="Z132" s="20">
        <f>IF(coder1_YH!AH131="","",IF(coder1_YH!AH131=coder2_NY_MT!AB132,1,0))</f>
        <v>1</v>
      </c>
      <c r="AA132" s="20">
        <f>IF(coder1_YH!AI131="","",IF(coder1_YH!AI131=coder2_NY_MT!AC132,1,0))</f>
        <v>1</v>
      </c>
      <c r="AB132" s="20">
        <f>IF(OR(coder2_NY_MT!AD131="", coder1_YH!AJ131 = ""),0,1)</f>
        <v>1</v>
      </c>
      <c r="AC132" s="20">
        <f>IF(coder1_YH!AK131="","",IF(coder1_YH!AK131=coder2_NY_MT!AE132,1,0))</f>
        <v>1</v>
      </c>
      <c r="AD132" s="20">
        <f>IF(OR(coder2_NY_MT!AF132="", coder1_YH!AL131 = ""),0,1)</f>
        <v>1</v>
      </c>
      <c r="AF132" s="20">
        <f>IF(coder1_YH!AN131="","",IF(coder1_YH!AN131=coder2_NY_MT!AH132,1,0))</f>
        <v>1</v>
      </c>
      <c r="AG132" s="20">
        <f>IF(coder1_YH!AO131="","",IF(coder1_YH!AO131=coder2_NY_MT!AI132,1,0))</f>
        <v>1</v>
      </c>
      <c r="AH132" s="20">
        <f>IF(coder1_YH!AP131="","",IF(coder1_YH!AP131=coder2_NY_MT!AJ132,1,0))</f>
        <v>1</v>
      </c>
      <c r="AI132" s="20">
        <f>IF(coder1_YH!AQ131="","",IF(coder1_YH!AQ131=coder2_NY_MT!AK132,1,0))</f>
        <v>1</v>
      </c>
      <c r="AJ132" s="20">
        <f>IF(coder1_YH!AR131="","",IF(coder1_YH!AR131=coder2_NY_MT!AL132,1,0))</f>
        <v>1</v>
      </c>
      <c r="AK132" s="20">
        <f>IF(coder1_YH!AS131="","",IF(coder1_YH!AS131=coder2_NY_MT!AM132,1,0))</f>
        <v>1</v>
      </c>
      <c r="AL132" s="20" t="str">
        <f>IF(coder1_YH!AZ131="","",IF(coder1_YH!AZ131=coder2_NY_MT!AT132,1,0))</f>
        <v/>
      </c>
      <c r="AM132" s="20" t="str">
        <f>IF(coder1_YH!BA131="","",IF(coder1_YH!BA131=coder2_NY_MT!AU132,1,0))</f>
        <v/>
      </c>
      <c r="AN132" s="2"/>
    </row>
    <row r="133" spans="1:40" s="20" customFormat="1" ht="17" hidden="1" customHeight="1" x14ac:dyDescent="0.2">
      <c r="A133" s="20" t="str">
        <f>IF(coder1_YH!G132="","",IF(coder1_YH!G132=coder2_NY_MT!A133,1,0))</f>
        <v/>
      </c>
      <c r="B133" s="20" t="str">
        <f>IF(coder1_YH!H132="","",IF(RIGHT(coder1_YH!H132,2)=RIGHT(coder2_NY_MT!B133,2),1,0))</f>
        <v/>
      </c>
      <c r="C133" s="20" t="str">
        <f>IF(coder1_YH!I132="","",IF(coder1_YH!I132=coder2_NY_MT!C133,1,0))</f>
        <v/>
      </c>
      <c r="E133" s="20" t="str">
        <f>IF(coder1_YH!K132="","",IF(coder1_YH!K132=coder2_NY_MT!E133,1,0))</f>
        <v/>
      </c>
      <c r="F133" s="20" t="str">
        <f>IF(coder1_YH!L132="","",IF(coder1_YH!L132=coder2_NY_MT!F133,1,0))</f>
        <v/>
      </c>
      <c r="G133" s="20" t="str">
        <f>IF(coder1_YH!M132="","",IF(coder1_YH!M132=coder2_NY_MT!G133,1,0))</f>
        <v/>
      </c>
      <c r="H133" s="20" t="str">
        <f>IF(coder1_YH!P132="","",IF(RIGHT(coder1_YH!P132,3)=RIGHT(coder2_NY_MT!J133,3),1,0))</f>
        <v/>
      </c>
      <c r="I133" s="20" t="str">
        <f>IF(H133="","",IF(OR(coder2_NY_MT!K133="", coder1_YH!Q132 = ""),0,1))</f>
        <v/>
      </c>
      <c r="J133" s="20" t="str">
        <f>IF(coder1_YH!R132="","",IF(coder1_YH!R132=coder2_NY_MT!L133,1,0))</f>
        <v/>
      </c>
      <c r="K133" s="20" t="str">
        <f>IF(coder1_YH!S132="","",IF(coder1_YH!S132=coder2_NY_MT!M133,1,0))</f>
        <v/>
      </c>
      <c r="L133" s="20" t="str">
        <f>IF(coder1_YH!T132="","",IF(coder1_YH!T132=coder2_NY_MT!N133,1,0))</f>
        <v/>
      </c>
      <c r="M133" s="20" t="str">
        <f>IF(coder1_YH!U132="","",IF(coder1_YH!U132=coder2_NY_MT!O133,1,0))</f>
        <v/>
      </c>
      <c r="N133" s="20" t="str">
        <f>IF(coder1_YH!V132="","",IF(coder1_YH!V132=coder2_NY_MT!P133,1,0))</f>
        <v/>
      </c>
      <c r="O133" s="20" t="str">
        <f>IF(coder1_YH!W132="","",IF(coder1_YH!W132=coder2_NY_MT!Q133,1,0))</f>
        <v/>
      </c>
      <c r="P133" s="20" t="str">
        <f>IF(coder1_YH!X132="","",IF(coder1_YH!X132=coder2_NY_MT!R133,1,0))</f>
        <v/>
      </c>
      <c r="Q133" s="20" t="str">
        <f>IF(coder1_YH!Y132="","",IF(coder1_YH!Y132=coder2_NY_MT!S133,1,0))</f>
        <v/>
      </c>
      <c r="R133" s="20" t="str">
        <f>IF(coder1_YH!Z132="","",IF(coder1_YH!Z132=coder2_NY_MT!T133,1,0))</f>
        <v/>
      </c>
      <c r="S133" s="20" t="str">
        <f>IF(R133="","",IF(OR(coder2_NY_MT!U133="", coder1_YH!AA132 = ""),0,1))</f>
        <v/>
      </c>
      <c r="T133" s="20" t="str">
        <f>IF(coder1_YH!AB132="","",IF(coder1_YH!AB132=coder2_NY_MT!V133,1,0))</f>
        <v/>
      </c>
      <c r="U133" s="20" t="str">
        <f>IF(coder1_YH!AC132="","",IF(coder1_YH!AC132=coder2_NY_MT!W133,1,0))</f>
        <v/>
      </c>
      <c r="V133" s="20" t="str">
        <f>IF(coder1_YH!AD132="","",IF(coder1_YH!AD132=coder2_NY_MT!X133,1,0))</f>
        <v/>
      </c>
      <c r="W133" s="20" t="str">
        <f>IF(coder1_YH!AE132="","",IF(coder1_YH!AE132=coder2_NY_MT!Y133,1,0))</f>
        <v/>
      </c>
      <c r="X133" s="20" t="str">
        <f>IF(coder1_YH!AF132="","",IF(coder1_YH!AF132=coder2_NY_MT!Z133,1,0))</f>
        <v/>
      </c>
      <c r="Y133" s="20" t="str">
        <f>IF(coder1_YH!AG132="","",IF(coder1_YH!AG132=coder2_NY_MT!AA133,1,0))</f>
        <v/>
      </c>
      <c r="Z133" s="20" t="str">
        <f>IF(coder1_YH!AH132="","",IF(coder1_YH!AH132=coder2_NY_MT!AB133,1,0))</f>
        <v/>
      </c>
      <c r="AA133" s="20" t="str">
        <f>IF(coder1_YH!AI132="","",IF(coder1_YH!AI132=coder2_NY_MT!AC133,1,0))</f>
        <v/>
      </c>
      <c r="AB133" s="20">
        <f>IF(OR(coder2_NY_MT!AD132="", coder1_YH!AJ132 = ""),0,1)</f>
        <v>1</v>
      </c>
      <c r="AC133" s="20">
        <f>IF(coder1_YH!AK132="","",IF(coder1_YH!AK132=coder2_NY_MT!AE133,1,0))</f>
        <v>1</v>
      </c>
      <c r="AD133" s="20">
        <f>IF(OR(coder2_NY_MT!AF133="", coder1_YH!AL132 = ""),0,1)</f>
        <v>1</v>
      </c>
      <c r="AF133" s="20">
        <f>IF(coder1_YH!AN132="","",IF(coder1_YH!AN132=coder2_NY_MT!AH133,1,0))</f>
        <v>1</v>
      </c>
      <c r="AG133" s="20">
        <f>IF(coder1_YH!AO132="","",IF(coder1_YH!AO132=coder2_NY_MT!AI133,1,0))</f>
        <v>1</v>
      </c>
      <c r="AH133" s="20">
        <f>IF(coder1_YH!AP132="","",IF(coder1_YH!AP132=coder2_NY_MT!AJ133,1,0))</f>
        <v>1</v>
      </c>
      <c r="AI133" s="20">
        <f>IF(coder1_YH!AQ132="","",IF(coder1_YH!AQ132=coder2_NY_MT!AK133,1,0))</f>
        <v>1</v>
      </c>
      <c r="AJ133" s="20">
        <f>IF(coder1_YH!AR132="","",IF(coder1_YH!AR132=coder2_NY_MT!AL133,1,0))</f>
        <v>1</v>
      </c>
      <c r="AK133" s="20">
        <f>IF(coder1_YH!AS132="","",IF(coder1_YH!AS132=coder2_NY_MT!AM133,1,0))</f>
        <v>1</v>
      </c>
      <c r="AL133" s="20" t="str">
        <f>IF(coder1_YH!AZ132="","",IF(coder1_YH!AZ132=coder2_NY_MT!AT133,1,0))</f>
        <v/>
      </c>
      <c r="AM133" s="20" t="str">
        <f>IF(coder1_YH!BA132="","",IF(coder1_YH!BA132=coder2_NY_MT!AU133,1,0))</f>
        <v/>
      </c>
      <c r="AN133" s="2"/>
    </row>
    <row r="134" spans="1:40" s="20" customFormat="1" ht="17" hidden="1" customHeight="1" x14ac:dyDescent="0.2">
      <c r="A134" s="20" t="str">
        <f>IF(coder1_YH!G133="","",IF(coder1_YH!G133=coder2_NY_MT!A134,1,0))</f>
        <v/>
      </c>
      <c r="B134" s="20" t="str">
        <f>IF(coder1_YH!H133="","",IF(RIGHT(coder1_YH!H133,2)=RIGHT(coder2_NY_MT!B134,2),1,0))</f>
        <v/>
      </c>
      <c r="C134" s="20" t="str">
        <f>IF(coder1_YH!I133="","",IF(coder1_YH!I133=coder2_NY_MT!C134,1,0))</f>
        <v/>
      </c>
      <c r="E134" s="20" t="str">
        <f>IF(coder1_YH!K133="","",IF(coder1_YH!K133=coder2_NY_MT!E134,1,0))</f>
        <v/>
      </c>
      <c r="F134" s="20" t="str">
        <f>IF(coder1_YH!L133="","",IF(coder1_YH!L133=coder2_NY_MT!F134,1,0))</f>
        <v/>
      </c>
      <c r="G134" s="20" t="str">
        <f>IF(coder1_YH!M133="","",IF(coder1_YH!M133=coder2_NY_MT!G134,1,0))</f>
        <v/>
      </c>
      <c r="H134" s="20" t="str">
        <f>IF(coder1_YH!P133="","",IF(RIGHT(coder1_YH!P133,3)=RIGHT(coder2_NY_MT!J134,3),1,0))</f>
        <v/>
      </c>
      <c r="I134" s="20" t="str">
        <f>IF(H134="","",IF(OR(coder2_NY_MT!K134="", coder1_YH!Q133 = ""),0,1))</f>
        <v/>
      </c>
      <c r="J134" s="20" t="str">
        <f>IF(coder1_YH!R133="","",IF(coder1_YH!R133=coder2_NY_MT!L134,1,0))</f>
        <v/>
      </c>
      <c r="K134" s="20" t="str">
        <f>IF(coder1_YH!S133="","",IF(coder1_YH!S133=coder2_NY_MT!M134,1,0))</f>
        <v/>
      </c>
      <c r="L134" s="20" t="str">
        <f>IF(coder1_YH!T133="","",IF(coder1_YH!T133=coder2_NY_MT!N134,1,0))</f>
        <v/>
      </c>
      <c r="M134" s="20" t="str">
        <f>IF(coder1_YH!U133="","",IF(coder1_YH!U133=coder2_NY_MT!O134,1,0))</f>
        <v/>
      </c>
      <c r="N134" s="20" t="str">
        <f>IF(coder1_YH!V133="","",IF(coder1_YH!V133=coder2_NY_MT!P134,1,0))</f>
        <v/>
      </c>
      <c r="O134" s="20" t="str">
        <f>IF(coder1_YH!W133="","",IF(coder1_YH!W133=coder2_NY_MT!Q134,1,0))</f>
        <v/>
      </c>
      <c r="P134" s="20" t="str">
        <f>IF(coder1_YH!X133="","",IF(coder1_YH!X133=coder2_NY_MT!R134,1,0))</f>
        <v/>
      </c>
      <c r="Q134" s="20" t="str">
        <f>IF(coder1_YH!Y133="","",IF(coder1_YH!Y133=coder2_NY_MT!S134,1,0))</f>
        <v/>
      </c>
      <c r="R134" s="20" t="str">
        <f>IF(coder1_YH!Z133="","",IF(coder1_YH!Z133=coder2_NY_MT!T134,1,0))</f>
        <v/>
      </c>
      <c r="S134" s="20" t="str">
        <f>IF(R134="","",IF(OR(coder2_NY_MT!U134="", coder1_YH!AA133 = ""),0,1))</f>
        <v/>
      </c>
      <c r="T134" s="20" t="str">
        <f>IF(coder1_YH!AB133="","",IF(coder1_YH!AB133=coder2_NY_MT!V134,1,0))</f>
        <v/>
      </c>
      <c r="U134" s="20" t="str">
        <f>IF(coder1_YH!AC133="","",IF(coder1_YH!AC133=coder2_NY_MT!W134,1,0))</f>
        <v/>
      </c>
      <c r="V134" s="20" t="str">
        <f>IF(coder1_YH!AD133="","",IF(coder1_YH!AD133=coder2_NY_MT!X134,1,0))</f>
        <v/>
      </c>
      <c r="W134" s="20" t="str">
        <f>IF(coder1_YH!AE133="","",IF(coder1_YH!AE133=coder2_NY_MT!Y134,1,0))</f>
        <v/>
      </c>
      <c r="X134" s="20" t="str">
        <f>IF(coder1_YH!AF133="","",IF(coder1_YH!AF133=coder2_NY_MT!Z134,1,0))</f>
        <v/>
      </c>
      <c r="Y134" s="20" t="str">
        <f>IF(coder1_YH!AG133="","",IF(coder1_YH!AG133=coder2_NY_MT!AA134,1,0))</f>
        <v/>
      </c>
      <c r="Z134" s="20" t="str">
        <f>IF(coder1_YH!AH133="","",IF(coder1_YH!AH133=coder2_NY_MT!AB134,1,0))</f>
        <v/>
      </c>
      <c r="AA134" s="20" t="str">
        <f>IF(coder1_YH!AI133="","",IF(coder1_YH!AI133=coder2_NY_MT!AC134,1,0))</f>
        <v/>
      </c>
      <c r="AB134" s="20">
        <f>IF(OR(coder2_NY_MT!AD133="", coder1_YH!AJ133 = ""),0,1)</f>
        <v>1</v>
      </c>
      <c r="AC134" s="20">
        <f>IF(coder1_YH!AK133="","",IF(coder1_YH!AK133=coder2_NY_MT!AE134,1,0))</f>
        <v>1</v>
      </c>
      <c r="AD134" s="20">
        <f>IF(OR(coder2_NY_MT!AF134="", coder1_YH!AL133 = ""),0,1)</f>
        <v>1</v>
      </c>
      <c r="AF134" s="20">
        <f>IF(coder1_YH!AN133="","",IF(coder1_YH!AN133=coder2_NY_MT!AH134,1,0))</f>
        <v>1</v>
      </c>
      <c r="AG134" s="20">
        <f>IF(coder1_YH!AO133="","",IF(coder1_YH!AO133=coder2_NY_MT!AI134,1,0))</f>
        <v>1</v>
      </c>
      <c r="AH134" s="20">
        <f>IF(coder1_YH!AP133="","",IF(coder1_YH!AP133=coder2_NY_MT!AJ134,1,0))</f>
        <v>1</v>
      </c>
      <c r="AI134" s="20">
        <f>IF(coder1_YH!AQ133="","",IF(coder1_YH!AQ133=coder2_NY_MT!AK134,1,0))</f>
        <v>1</v>
      </c>
      <c r="AJ134" s="20">
        <f>IF(coder1_YH!AR133="","",IF(coder1_YH!AR133=coder2_NY_MT!AL134,1,0))</f>
        <v>1</v>
      </c>
      <c r="AK134" s="20">
        <f>IF(coder1_YH!AS133="","",IF(coder1_YH!AS133=coder2_NY_MT!AM134,1,0))</f>
        <v>1</v>
      </c>
      <c r="AL134" s="20" t="str">
        <f>IF(coder1_YH!AZ133="","",IF(coder1_YH!AZ133=coder2_NY_MT!AT134,1,0))</f>
        <v/>
      </c>
      <c r="AM134" s="20" t="str">
        <f>IF(coder1_YH!BA133="","",IF(coder1_YH!BA133=coder2_NY_MT!AU134,1,0))</f>
        <v/>
      </c>
      <c r="AN134" s="2"/>
    </row>
    <row r="135" spans="1:40" s="20" customFormat="1" ht="17" hidden="1" customHeight="1" x14ac:dyDescent="0.2">
      <c r="A135" s="20">
        <f>IF(coder1_YH!G134="","",IF(coder1_YH!G134=coder2_NY_MT!A135,1,0))</f>
        <v>0</v>
      </c>
      <c r="B135" s="20">
        <f>IF(coder1_YH!H134="","",IF(RIGHT(coder1_YH!H134,2)=RIGHT(coder2_NY_MT!B135,2),1,0))</f>
        <v>0</v>
      </c>
      <c r="C135" s="20">
        <f>IF(coder1_YH!I134="","",IF(coder1_YH!I134=coder2_NY_MT!C135,1,0))</f>
        <v>1</v>
      </c>
      <c r="E135" s="20">
        <f>IF(coder1_YH!K134="","",IF(coder1_YH!K134=coder2_NY_MT!E135,1,0))</f>
        <v>1</v>
      </c>
      <c r="F135" s="20">
        <f>IF(coder1_YH!L134="","",IF(coder1_YH!L134=coder2_NY_MT!F135,1,0))</f>
        <v>1</v>
      </c>
      <c r="G135" s="20">
        <f>IF(coder1_YH!M134="","",IF(coder1_YH!M134=coder2_NY_MT!G135,1,0))</f>
        <v>1</v>
      </c>
      <c r="H135" s="20">
        <f>IF(coder1_YH!P134="","",IF(RIGHT(coder1_YH!P134,3)=RIGHT(coder2_NY_MT!J135,3),1,0))</f>
        <v>0</v>
      </c>
      <c r="I135" s="20">
        <f>IF(H135="","",IF(OR(coder2_NY_MT!K135="", coder1_YH!Q134 = ""),0,1))</f>
        <v>1</v>
      </c>
      <c r="J135" s="20">
        <f>IF(coder1_YH!R134="","",IF(coder1_YH!R134=coder2_NY_MT!L135,1,0))</f>
        <v>1</v>
      </c>
      <c r="K135" s="20">
        <f>IF(coder1_YH!S134="","",IF(coder1_YH!S134=coder2_NY_MT!M135,1,0))</f>
        <v>1</v>
      </c>
      <c r="L135" s="20">
        <f>IF(coder1_YH!T134="","",IF(coder1_YH!T134=coder2_NY_MT!N135,1,0))</f>
        <v>1</v>
      </c>
      <c r="M135" s="20">
        <f>IF(coder1_YH!U134="","",IF(coder1_YH!U134=coder2_NY_MT!O135,1,0))</f>
        <v>1</v>
      </c>
      <c r="N135" s="20">
        <f>IF(coder1_YH!V134="","",IF(coder1_YH!V134=coder2_NY_MT!P135,1,0))</f>
        <v>1</v>
      </c>
      <c r="O135" s="20">
        <f>IF(coder1_YH!W134="","",IF(coder1_YH!W134=coder2_NY_MT!Q135,1,0))</f>
        <v>1</v>
      </c>
      <c r="P135" s="20">
        <f>IF(coder1_YH!X134="","",IF(coder1_YH!X134=coder2_NY_MT!R135,1,0))</f>
        <v>1</v>
      </c>
      <c r="Q135" s="20">
        <f>IF(coder1_YH!Y134="","",IF(coder1_YH!Y134=coder2_NY_MT!S135,1,0))</f>
        <v>1</v>
      </c>
      <c r="R135" s="20">
        <f>IF(coder1_YH!Z134="","",IF(coder1_YH!Z134=coder2_NY_MT!T135,1,0))</f>
        <v>1</v>
      </c>
      <c r="S135" s="20">
        <f>IF(R135="","",IF(OR(coder2_NY_MT!U135="", coder1_YH!AA134 = ""),0,1))</f>
        <v>1</v>
      </c>
      <c r="T135" s="20">
        <f>IF(coder1_YH!AB134="","",IF(coder1_YH!AB134=coder2_NY_MT!V135,1,0))</f>
        <v>1</v>
      </c>
      <c r="U135" s="20">
        <f>IF(coder1_YH!AC134="","",IF(coder1_YH!AC134=coder2_NY_MT!W135,1,0))</f>
        <v>1</v>
      </c>
      <c r="V135" s="20">
        <f>IF(coder1_YH!AD134="","",IF(coder1_YH!AD134=coder2_NY_MT!X135,1,0))</f>
        <v>1</v>
      </c>
      <c r="W135" s="20">
        <f>IF(coder1_YH!AE134="","",IF(coder1_YH!AE134=coder2_NY_MT!Y135,1,0))</f>
        <v>1</v>
      </c>
      <c r="X135" s="20">
        <f>IF(coder1_YH!AF134="","",IF(coder1_YH!AF134=coder2_NY_MT!Z135,1,0))</f>
        <v>1</v>
      </c>
      <c r="Y135" s="20">
        <f>IF(coder1_YH!AG134="","",IF(coder1_YH!AG134=coder2_NY_MT!AA135,1,0))</f>
        <v>1</v>
      </c>
      <c r="Z135" s="20">
        <f>IF(coder1_YH!AH134="","",IF(coder1_YH!AH134=coder2_NY_MT!AB135,1,0))</f>
        <v>1</v>
      </c>
      <c r="AA135" s="20">
        <f>IF(coder1_YH!AI134="","",IF(coder1_YH!AI134=coder2_NY_MT!AC135,1,0))</f>
        <v>1</v>
      </c>
      <c r="AB135" s="20">
        <f>IF(OR(coder2_NY_MT!AD134="", coder1_YH!AJ134 = ""),0,1)</f>
        <v>1</v>
      </c>
      <c r="AC135" s="20">
        <f>IF(coder1_YH!AK134="","",IF(coder1_YH!AK134=coder2_NY_MT!AE135,1,0))</f>
        <v>1</v>
      </c>
      <c r="AD135" s="20">
        <f>IF(OR(coder2_NY_MT!AF135="", coder1_YH!AL134 = ""),0,1)</f>
        <v>1</v>
      </c>
      <c r="AF135" s="20">
        <f>IF(coder1_YH!AN134="","",IF(coder1_YH!AN134=coder2_NY_MT!AH135,1,0))</f>
        <v>1</v>
      </c>
      <c r="AG135" s="20">
        <f>IF(coder1_YH!AO134="","",IF(coder1_YH!AO134=coder2_NY_MT!AI135,1,0))</f>
        <v>1</v>
      </c>
      <c r="AH135" s="20">
        <f>IF(coder1_YH!AP134="","",IF(coder1_YH!AP134=coder2_NY_MT!AJ135,1,0))</f>
        <v>1</v>
      </c>
      <c r="AI135" s="20">
        <f>IF(coder1_YH!AQ134="","",IF(coder1_YH!AQ134=coder2_NY_MT!AK135,1,0))</f>
        <v>1</v>
      </c>
      <c r="AJ135" s="20">
        <f>IF(coder1_YH!AR134="","",IF(coder1_YH!AR134=coder2_NY_MT!AL135,1,0))</f>
        <v>1</v>
      </c>
      <c r="AK135" s="20">
        <f>IF(coder1_YH!AS134="","",IF(coder1_YH!AS134=coder2_NY_MT!AM135,1,0))</f>
        <v>1</v>
      </c>
      <c r="AL135" s="20" t="str">
        <f>IF(coder1_YH!AZ134="","",IF(coder1_YH!AZ134=coder2_NY_MT!AT135,1,0))</f>
        <v/>
      </c>
      <c r="AM135" s="20" t="str">
        <f>IF(coder1_YH!BA134="","",IF(coder1_YH!BA134=coder2_NY_MT!AU135,1,0))</f>
        <v/>
      </c>
      <c r="AN135" s="2"/>
    </row>
    <row r="136" spans="1:40" s="20" customFormat="1" ht="17" hidden="1" customHeight="1" x14ac:dyDescent="0.2">
      <c r="A136" s="20" t="str">
        <f>IF(coder1_YH!G135="","",IF(coder1_YH!G135=coder2_NY_MT!A136,1,0))</f>
        <v/>
      </c>
      <c r="B136" s="20" t="str">
        <f>IF(coder1_YH!H135="","",IF(RIGHT(coder1_YH!H135,2)=RIGHT(coder2_NY_MT!B136,2),1,0))</f>
        <v/>
      </c>
      <c r="C136" s="20" t="str">
        <f>IF(coder1_YH!I135="","",IF(coder1_YH!I135=coder2_NY_MT!C136,1,0))</f>
        <v/>
      </c>
      <c r="E136" s="20" t="str">
        <f>IF(coder1_YH!K135="","",IF(coder1_YH!K135=coder2_NY_MT!E136,1,0))</f>
        <v/>
      </c>
      <c r="F136" s="20" t="str">
        <f>IF(coder1_YH!L135="","",IF(coder1_YH!L135=coder2_NY_MT!F136,1,0))</f>
        <v/>
      </c>
      <c r="G136" s="20" t="str">
        <f>IF(coder1_YH!M135="","",IF(coder1_YH!M135=coder2_NY_MT!G136,1,0))</f>
        <v/>
      </c>
      <c r="H136" s="20" t="str">
        <f>IF(coder1_YH!P135="","",IF(RIGHT(coder1_YH!P135,3)=RIGHT(coder2_NY_MT!J136,3),1,0))</f>
        <v/>
      </c>
      <c r="I136" s="20" t="str">
        <f>IF(H136="","",IF(OR(coder2_NY_MT!K136="", coder1_YH!Q135 = ""),0,1))</f>
        <v/>
      </c>
      <c r="J136" s="20" t="str">
        <f>IF(coder1_YH!R135="","",IF(coder1_YH!R135=coder2_NY_MT!L136,1,0))</f>
        <v/>
      </c>
      <c r="K136" s="20" t="str">
        <f>IF(coder1_YH!S135="","",IF(coder1_YH!S135=coder2_NY_MT!M136,1,0))</f>
        <v/>
      </c>
      <c r="L136" s="20" t="str">
        <f>IF(coder1_YH!T135="","",IF(coder1_YH!T135=coder2_NY_MT!N136,1,0))</f>
        <v/>
      </c>
      <c r="M136" s="20" t="str">
        <f>IF(coder1_YH!U135="","",IF(coder1_YH!U135=coder2_NY_MT!O136,1,0))</f>
        <v/>
      </c>
      <c r="N136" s="20" t="str">
        <f>IF(coder1_YH!V135="","",IF(coder1_YH!V135=coder2_NY_MT!P136,1,0))</f>
        <v/>
      </c>
      <c r="O136" s="20" t="str">
        <f>IF(coder1_YH!W135="","",IF(coder1_YH!W135=coder2_NY_MT!Q136,1,0))</f>
        <v/>
      </c>
      <c r="P136" s="20" t="str">
        <f>IF(coder1_YH!X135="","",IF(coder1_YH!X135=coder2_NY_MT!R136,1,0))</f>
        <v/>
      </c>
      <c r="Q136" s="20" t="str">
        <f>IF(coder1_YH!Y135="","",IF(coder1_YH!Y135=coder2_NY_MT!S136,1,0))</f>
        <v/>
      </c>
      <c r="R136" s="20" t="str">
        <f>IF(coder1_YH!Z135="","",IF(coder1_YH!Z135=coder2_NY_MT!T136,1,0))</f>
        <v/>
      </c>
      <c r="S136" s="20" t="str">
        <f>IF(R136="","",IF(OR(coder2_NY_MT!U136="", coder1_YH!AA135 = ""),0,1))</f>
        <v/>
      </c>
      <c r="T136" s="20" t="str">
        <f>IF(coder1_YH!AB135="","",IF(coder1_YH!AB135=coder2_NY_MT!V136,1,0))</f>
        <v/>
      </c>
      <c r="U136" s="20" t="str">
        <f>IF(coder1_YH!AC135="","",IF(coder1_YH!AC135=coder2_NY_MT!W136,1,0))</f>
        <v/>
      </c>
      <c r="V136" s="20" t="str">
        <f>IF(coder1_YH!AD135="","",IF(coder1_YH!AD135=coder2_NY_MT!X136,1,0))</f>
        <v/>
      </c>
      <c r="W136" s="20" t="str">
        <f>IF(coder1_YH!AE135="","",IF(coder1_YH!AE135=coder2_NY_MT!Y136,1,0))</f>
        <v/>
      </c>
      <c r="X136" s="20" t="str">
        <f>IF(coder1_YH!AF135="","",IF(coder1_YH!AF135=coder2_NY_MT!Z136,1,0))</f>
        <v/>
      </c>
      <c r="Y136" s="20" t="str">
        <f>IF(coder1_YH!AG135="","",IF(coder1_YH!AG135=coder2_NY_MT!AA136,1,0))</f>
        <v/>
      </c>
      <c r="Z136" s="20" t="str">
        <f>IF(coder1_YH!AH135="","",IF(coder1_YH!AH135=coder2_NY_MT!AB136,1,0))</f>
        <v/>
      </c>
      <c r="AA136" s="20" t="str">
        <f>IF(coder1_YH!AI135="","",IF(coder1_YH!AI135=coder2_NY_MT!AC136,1,0))</f>
        <v/>
      </c>
      <c r="AB136" s="20">
        <f>IF(OR(coder2_NY_MT!AD135="", coder1_YH!AJ135 = ""),0,1)</f>
        <v>1</v>
      </c>
      <c r="AC136" s="20">
        <f>IF(coder1_YH!AK135="","",IF(coder1_YH!AK135=coder2_NY_MT!AE136,1,0))</f>
        <v>1</v>
      </c>
      <c r="AD136" s="20">
        <f>IF(OR(coder2_NY_MT!AF136="", coder1_YH!AL135 = ""),0,1)</f>
        <v>1</v>
      </c>
      <c r="AF136" s="20">
        <f>IF(coder1_YH!AN135="","",IF(coder1_YH!AN135=coder2_NY_MT!AH136,1,0))</f>
        <v>1</v>
      </c>
      <c r="AG136" s="20">
        <f>IF(coder1_YH!AO135="","",IF(coder1_YH!AO135=coder2_NY_MT!AI136,1,0))</f>
        <v>1</v>
      </c>
      <c r="AH136" s="20">
        <f>IF(coder1_YH!AP135="","",IF(coder1_YH!AP135=coder2_NY_MT!AJ136,1,0))</f>
        <v>1</v>
      </c>
      <c r="AI136" s="20">
        <f>IF(coder1_YH!AQ135="","",IF(coder1_YH!AQ135=coder2_NY_MT!AK136,1,0))</f>
        <v>1</v>
      </c>
      <c r="AJ136" s="20">
        <f>IF(coder1_YH!AR135="","",IF(coder1_YH!AR135=coder2_NY_MT!AL136,1,0))</f>
        <v>1</v>
      </c>
      <c r="AK136" s="20">
        <f>IF(coder1_YH!AS135="","",IF(coder1_YH!AS135=coder2_NY_MT!AM136,1,0))</f>
        <v>1</v>
      </c>
      <c r="AL136" s="20" t="str">
        <f>IF(coder1_YH!AZ135="","",IF(coder1_YH!AZ135=coder2_NY_MT!AT136,1,0))</f>
        <v/>
      </c>
      <c r="AM136" s="20" t="str">
        <f>IF(coder1_YH!BA135="","",IF(coder1_YH!BA135=coder2_NY_MT!AU136,1,0))</f>
        <v/>
      </c>
      <c r="AN136" s="2"/>
    </row>
    <row r="137" spans="1:40" s="20" customFormat="1" ht="17" hidden="1" customHeight="1" x14ac:dyDescent="0.2">
      <c r="A137" s="20" t="str">
        <f>IF(coder1_YH!G136="","",IF(coder1_YH!G136=coder2_NY_MT!A137,1,0))</f>
        <v/>
      </c>
      <c r="B137" s="20" t="str">
        <f>IF(coder1_YH!H136="","",IF(RIGHT(coder1_YH!H136,2)=RIGHT(coder2_NY_MT!B137,2),1,0))</f>
        <v/>
      </c>
      <c r="C137" s="20" t="str">
        <f>IF(coder1_YH!I136="","",IF(coder1_YH!I136=coder2_NY_MT!C137,1,0))</f>
        <v/>
      </c>
      <c r="E137" s="20" t="str">
        <f>IF(coder1_YH!K136="","",IF(coder1_YH!K136=coder2_NY_MT!E137,1,0))</f>
        <v/>
      </c>
      <c r="F137" s="20" t="str">
        <f>IF(coder1_YH!L136="","",IF(coder1_YH!L136=coder2_NY_MT!F137,1,0))</f>
        <v/>
      </c>
      <c r="G137" s="20" t="str">
        <f>IF(coder1_YH!M136="","",IF(coder1_YH!M136=coder2_NY_MT!G137,1,0))</f>
        <v/>
      </c>
      <c r="H137" s="20">
        <f>IF(coder1_YH!P136="","",IF(RIGHT(coder1_YH!P136,3)=RIGHT(coder2_NY_MT!J137,3),1,0))</f>
        <v>0</v>
      </c>
      <c r="I137" s="20">
        <f>IF(H137="","",IF(OR(coder2_NY_MT!K137="", coder1_YH!Q136 = ""),0,1))</f>
        <v>1</v>
      </c>
      <c r="J137" s="20">
        <f>IF(coder1_YH!R136="","",IF(coder1_YH!R136=coder2_NY_MT!L137,1,0))</f>
        <v>1</v>
      </c>
      <c r="K137" s="20">
        <f>IF(coder1_YH!S136="","",IF(coder1_YH!S136=coder2_NY_MT!M137,1,0))</f>
        <v>1</v>
      </c>
      <c r="L137" s="20">
        <f>IF(coder1_YH!T136="","",IF(coder1_YH!T136=coder2_NY_MT!N137,1,0))</f>
        <v>1</v>
      </c>
      <c r="M137" s="20">
        <f>IF(coder1_YH!U136="","",IF(coder1_YH!U136=coder2_NY_MT!O137,1,0))</f>
        <v>1</v>
      </c>
      <c r="N137" s="20">
        <f>IF(coder1_YH!V136="","",IF(coder1_YH!V136=coder2_NY_MT!P137,1,0))</f>
        <v>1</v>
      </c>
      <c r="O137" s="20">
        <f>IF(coder1_YH!W136="","",IF(coder1_YH!W136=coder2_NY_MT!Q137,1,0))</f>
        <v>1</v>
      </c>
      <c r="P137" s="20">
        <f>IF(coder1_YH!X136="","",IF(coder1_YH!X136=coder2_NY_MT!R137,1,0))</f>
        <v>1</v>
      </c>
      <c r="Q137" s="20">
        <f>IF(coder1_YH!Y136="","",IF(coder1_YH!Y136=coder2_NY_MT!S137,1,0))</f>
        <v>1</v>
      </c>
      <c r="R137" s="20">
        <f>IF(coder1_YH!Z136="","",IF(coder1_YH!Z136=coder2_NY_MT!T137,1,0))</f>
        <v>1</v>
      </c>
      <c r="S137" s="20">
        <f>IF(R137="","",IF(OR(coder2_NY_MT!U137="", coder1_YH!AA136 = ""),0,1))</f>
        <v>1</v>
      </c>
      <c r="T137" s="20">
        <f>IF(coder1_YH!AB136="","",IF(coder1_YH!AB136=coder2_NY_MT!V137,1,0))</f>
        <v>1</v>
      </c>
      <c r="U137" s="20">
        <f>IF(coder1_YH!AC136="","",IF(coder1_YH!AC136=coder2_NY_MT!W137,1,0))</f>
        <v>1</v>
      </c>
      <c r="V137" s="20">
        <f>IF(coder1_YH!AD136="","",IF(coder1_YH!AD136=coder2_NY_MT!X137,1,0))</f>
        <v>1</v>
      </c>
      <c r="W137" s="20">
        <f>IF(coder1_YH!AE136="","",IF(coder1_YH!AE136=coder2_NY_MT!Y137,1,0))</f>
        <v>1</v>
      </c>
      <c r="X137" s="20">
        <f>IF(coder1_YH!AF136="","",IF(coder1_YH!AF136=coder2_NY_MT!Z137,1,0))</f>
        <v>1</v>
      </c>
      <c r="Y137" s="20">
        <f>IF(coder1_YH!AG136="","",IF(coder1_YH!AG136=coder2_NY_MT!AA137,1,0))</f>
        <v>1</v>
      </c>
      <c r="Z137" s="20">
        <f>IF(coder1_YH!AH136="","",IF(coder1_YH!AH136=coder2_NY_MT!AB137,1,0))</f>
        <v>1</v>
      </c>
      <c r="AA137" s="20">
        <f>IF(coder1_YH!AI136="","",IF(coder1_YH!AI136=coder2_NY_MT!AC137,1,0))</f>
        <v>1</v>
      </c>
      <c r="AB137" s="20">
        <f>IF(OR(coder2_NY_MT!AD136="", coder1_YH!AJ136 = ""),0,1)</f>
        <v>1</v>
      </c>
      <c r="AC137" s="20">
        <f>IF(coder1_YH!AK136="","",IF(coder1_YH!AK136=coder2_NY_MT!AE137,1,0))</f>
        <v>1</v>
      </c>
      <c r="AD137" s="20">
        <f>IF(OR(coder2_NY_MT!AF137="", coder1_YH!AL136 = ""),0,1)</f>
        <v>1</v>
      </c>
      <c r="AF137" s="20">
        <f>IF(coder1_YH!AN136="","",IF(coder1_YH!AN136=coder2_NY_MT!AH137,1,0))</f>
        <v>1</v>
      </c>
      <c r="AG137" s="20">
        <f>IF(coder1_YH!AO136="","",IF(coder1_YH!AO136=coder2_NY_MT!AI137,1,0))</f>
        <v>1</v>
      </c>
      <c r="AH137" s="20">
        <f>IF(coder1_YH!AP136="","",IF(coder1_YH!AP136=coder2_NY_MT!AJ137,1,0))</f>
        <v>1</v>
      </c>
      <c r="AI137" s="20">
        <f>IF(coder1_YH!AQ136="","",IF(coder1_YH!AQ136=coder2_NY_MT!AK137,1,0))</f>
        <v>1</v>
      </c>
      <c r="AJ137" s="20">
        <f>IF(coder1_YH!AR136="","",IF(coder1_YH!AR136=coder2_NY_MT!AL137,1,0))</f>
        <v>1</v>
      </c>
      <c r="AK137" s="20">
        <f>IF(coder1_YH!AS136="","",IF(coder1_YH!AS136=coder2_NY_MT!AM137,1,0))</f>
        <v>1</v>
      </c>
      <c r="AL137" s="20" t="str">
        <f>IF(coder1_YH!AZ136="","",IF(coder1_YH!AZ136=coder2_NY_MT!AT137,1,0))</f>
        <v/>
      </c>
      <c r="AM137" s="20" t="str">
        <f>IF(coder1_YH!BA136="","",IF(coder1_YH!BA136=coder2_NY_MT!AU137,1,0))</f>
        <v/>
      </c>
      <c r="AN137" s="2"/>
    </row>
    <row r="138" spans="1:40" s="20" customFormat="1" ht="17" hidden="1" customHeight="1" x14ac:dyDescent="0.2">
      <c r="A138" s="20" t="str">
        <f>IF(coder1_YH!G137="","",IF(coder1_YH!G137=coder2_NY_MT!A138,1,0))</f>
        <v/>
      </c>
      <c r="B138" s="20" t="str">
        <f>IF(coder1_YH!H137="","",IF(RIGHT(coder1_YH!H137,2)=RIGHT(coder2_NY_MT!B138,2),1,0))</f>
        <v/>
      </c>
      <c r="C138" s="20" t="str">
        <f>IF(coder1_YH!I137="","",IF(coder1_YH!I137=coder2_NY_MT!C138,1,0))</f>
        <v/>
      </c>
      <c r="E138" s="20" t="str">
        <f>IF(coder1_YH!K137="","",IF(coder1_YH!K137=coder2_NY_MT!E138,1,0))</f>
        <v/>
      </c>
      <c r="F138" s="20" t="str">
        <f>IF(coder1_YH!L137="","",IF(coder1_YH!L137=coder2_NY_MT!F138,1,0))</f>
        <v/>
      </c>
      <c r="G138" s="20" t="str">
        <f>IF(coder1_YH!M137="","",IF(coder1_YH!M137=coder2_NY_MT!G138,1,0))</f>
        <v/>
      </c>
      <c r="H138" s="20" t="str">
        <f>IF(coder1_YH!P137="","",IF(RIGHT(coder1_YH!P137,3)=RIGHT(coder2_NY_MT!J138,3),1,0))</f>
        <v/>
      </c>
      <c r="I138" s="20" t="str">
        <f>IF(H138="","",IF(OR(coder2_NY_MT!K138="", coder1_YH!Q137 = ""),0,1))</f>
        <v/>
      </c>
      <c r="J138" s="20" t="str">
        <f>IF(coder1_YH!R137="","",IF(coder1_YH!R137=coder2_NY_MT!L138,1,0))</f>
        <v/>
      </c>
      <c r="K138" s="20" t="str">
        <f>IF(coder1_YH!S137="","",IF(coder1_YH!S137=coder2_NY_MT!M138,1,0))</f>
        <v/>
      </c>
      <c r="L138" s="20" t="str">
        <f>IF(coder1_YH!T137="","",IF(coder1_YH!T137=coder2_NY_MT!N138,1,0))</f>
        <v/>
      </c>
      <c r="M138" s="20" t="str">
        <f>IF(coder1_YH!U137="","",IF(coder1_YH!U137=coder2_NY_MT!O138,1,0))</f>
        <v/>
      </c>
      <c r="N138" s="20" t="str">
        <f>IF(coder1_YH!V137="","",IF(coder1_YH!V137=coder2_NY_MT!P138,1,0))</f>
        <v/>
      </c>
      <c r="O138" s="20" t="str">
        <f>IF(coder1_YH!W137="","",IF(coder1_YH!W137=coder2_NY_MT!Q138,1,0))</f>
        <v/>
      </c>
      <c r="P138" s="20" t="str">
        <f>IF(coder1_YH!X137="","",IF(coder1_YH!X137=coder2_NY_MT!R138,1,0))</f>
        <v/>
      </c>
      <c r="Q138" s="20" t="str">
        <f>IF(coder1_YH!Y137="","",IF(coder1_YH!Y137=coder2_NY_MT!S138,1,0))</f>
        <v/>
      </c>
      <c r="R138" s="20" t="str">
        <f>IF(coder1_YH!Z137="","",IF(coder1_YH!Z137=coder2_NY_MT!T138,1,0))</f>
        <v/>
      </c>
      <c r="S138" s="20" t="str">
        <f>IF(R138="","",IF(OR(coder2_NY_MT!U138="", coder1_YH!AA137 = ""),0,1))</f>
        <v/>
      </c>
      <c r="T138" s="20" t="str">
        <f>IF(coder1_YH!AB137="","",IF(coder1_YH!AB137=coder2_NY_MT!V138,1,0))</f>
        <v/>
      </c>
      <c r="U138" s="20" t="str">
        <f>IF(coder1_YH!AC137="","",IF(coder1_YH!AC137=coder2_NY_MT!W138,1,0))</f>
        <v/>
      </c>
      <c r="V138" s="20" t="str">
        <f>IF(coder1_YH!AD137="","",IF(coder1_YH!AD137=coder2_NY_MT!X138,1,0))</f>
        <v/>
      </c>
      <c r="W138" s="20" t="str">
        <f>IF(coder1_YH!AE137="","",IF(coder1_YH!AE137=coder2_NY_MT!Y138,1,0))</f>
        <v/>
      </c>
      <c r="X138" s="20" t="str">
        <f>IF(coder1_YH!AF137="","",IF(coder1_YH!AF137=coder2_NY_MT!Z138,1,0))</f>
        <v/>
      </c>
      <c r="Y138" s="20" t="str">
        <f>IF(coder1_YH!AG137="","",IF(coder1_YH!AG137=coder2_NY_MT!AA138,1,0))</f>
        <v/>
      </c>
      <c r="Z138" s="20" t="str">
        <f>IF(coder1_YH!AH137="","",IF(coder1_YH!AH137=coder2_NY_MT!AB138,1,0))</f>
        <v/>
      </c>
      <c r="AA138" s="20" t="str">
        <f>IF(coder1_YH!AI137="","",IF(coder1_YH!AI137=coder2_NY_MT!AC138,1,0))</f>
        <v/>
      </c>
      <c r="AB138" s="20">
        <f>IF(OR(coder2_NY_MT!AD137="", coder1_YH!AJ137 = ""),0,1)</f>
        <v>1</v>
      </c>
      <c r="AC138" s="20">
        <f>IF(coder1_YH!AK137="","",IF(coder1_YH!AK137=coder2_NY_MT!AE138,1,0))</f>
        <v>1</v>
      </c>
      <c r="AD138" s="20">
        <f>IF(OR(coder2_NY_MT!AF138="", coder1_YH!AL137 = ""),0,1)</f>
        <v>1</v>
      </c>
      <c r="AF138" s="20">
        <f>IF(coder1_YH!AN137="","",IF(coder1_YH!AN137=coder2_NY_MT!AH138,1,0))</f>
        <v>1</v>
      </c>
      <c r="AG138" s="20">
        <f>IF(coder1_YH!AO137="","",IF(coder1_YH!AO137=coder2_NY_MT!AI138,1,0))</f>
        <v>1</v>
      </c>
      <c r="AH138" s="20">
        <f>IF(coder1_YH!AP137="","",IF(coder1_YH!AP137=coder2_NY_MT!AJ138,1,0))</f>
        <v>1</v>
      </c>
      <c r="AI138" s="20">
        <f>IF(coder1_YH!AQ137="","",IF(coder1_YH!AQ137=coder2_NY_MT!AK138,1,0))</f>
        <v>1</v>
      </c>
      <c r="AJ138" s="20">
        <f>IF(coder1_YH!AR137="","",IF(coder1_YH!AR137=coder2_NY_MT!AL138,1,0))</f>
        <v>1</v>
      </c>
      <c r="AK138" s="20">
        <f>IF(coder1_YH!AS137="","",IF(coder1_YH!AS137=coder2_NY_MT!AM138,1,0))</f>
        <v>1</v>
      </c>
      <c r="AL138" s="20" t="str">
        <f>IF(coder1_YH!AZ137="","",IF(coder1_YH!AZ137=coder2_NY_MT!AT138,1,0))</f>
        <v/>
      </c>
      <c r="AM138" s="20" t="str">
        <f>IF(coder1_YH!BA137="","",IF(coder1_YH!BA137=coder2_NY_MT!AU138,1,0))</f>
        <v/>
      </c>
      <c r="AN138" s="2"/>
    </row>
    <row r="139" spans="1:40" s="20" customFormat="1" ht="17" hidden="1" customHeight="1" x14ac:dyDescent="0.2">
      <c r="A139" s="20">
        <f>IF(coder1_YH!G138="","",IF(coder1_YH!G138=coder2_NY_MT!A139,1,0))</f>
        <v>0</v>
      </c>
      <c r="B139" s="20">
        <f>IF(coder1_YH!H138="","",IF(RIGHT(coder1_YH!H138,2)=RIGHT(coder2_NY_MT!B139,2),1,0))</f>
        <v>0</v>
      </c>
      <c r="C139" s="20">
        <f>IF(coder1_YH!I138="","",IF(coder1_YH!I138=coder2_NY_MT!C139,1,0))</f>
        <v>0</v>
      </c>
      <c r="E139" s="20">
        <f>IF(coder1_YH!K138="","",IF(coder1_YH!K138=coder2_NY_MT!E139,1,0))</f>
        <v>0</v>
      </c>
      <c r="F139" s="20">
        <f>IF(coder1_YH!L138="","",IF(coder1_YH!L138=coder2_NY_MT!F139,1,0))</f>
        <v>0</v>
      </c>
      <c r="G139" s="20">
        <f>IF(coder1_YH!M138="","",IF(coder1_YH!M138=coder2_NY_MT!G139,1,0))</f>
        <v>0</v>
      </c>
      <c r="H139" s="20">
        <f>IF(coder1_YH!P138="","",IF(RIGHT(coder1_YH!P138,3)=RIGHT(coder2_NY_MT!J139,3),1,0))</f>
        <v>0</v>
      </c>
      <c r="I139" s="20">
        <f>IF(H139="","",IF(OR(coder2_NY_MT!K139="", coder1_YH!Q138 = ""),0,1))</f>
        <v>1</v>
      </c>
      <c r="J139" s="20">
        <f>IF(coder1_YH!R138="","",IF(coder1_YH!R138=coder2_NY_MT!L139,1,0))</f>
        <v>1</v>
      </c>
      <c r="K139" s="20">
        <f>IF(coder1_YH!S138="","",IF(coder1_YH!S138=coder2_NY_MT!M139,1,0))</f>
        <v>1</v>
      </c>
      <c r="L139" s="20">
        <f>IF(coder1_YH!T138="","",IF(coder1_YH!T138=coder2_NY_MT!N139,1,0))</f>
        <v>1</v>
      </c>
      <c r="M139" s="20">
        <f>IF(coder1_YH!U138="","",IF(coder1_YH!U138=coder2_NY_MT!O139,1,0))</f>
        <v>1</v>
      </c>
      <c r="N139" s="20">
        <f>IF(coder1_YH!V138="","",IF(coder1_YH!V138=coder2_NY_MT!P139,1,0))</f>
        <v>1</v>
      </c>
      <c r="O139" s="20">
        <f>IF(coder1_YH!W138="","",IF(coder1_YH!W138=coder2_NY_MT!Q139,1,0))</f>
        <v>1</v>
      </c>
      <c r="P139" s="20">
        <f>IF(coder1_YH!X138="","",IF(coder1_YH!X138=coder2_NY_MT!R139,1,0))</f>
        <v>1</v>
      </c>
      <c r="Q139" s="20">
        <f>IF(coder1_YH!Y138="","",IF(coder1_YH!Y138=coder2_NY_MT!S139,1,0))</f>
        <v>1</v>
      </c>
      <c r="R139" s="20">
        <f>IF(coder1_YH!Z138="","",IF(coder1_YH!Z138=coder2_NY_MT!T139,1,0))</f>
        <v>1</v>
      </c>
      <c r="S139" s="20">
        <f>IF(R139="","",IF(OR(coder2_NY_MT!U139="", coder1_YH!AA138 = ""),0,1))</f>
        <v>1</v>
      </c>
      <c r="T139" s="20">
        <f>IF(coder1_YH!AB138="","",IF(coder1_YH!AB138=coder2_NY_MT!V139,1,0))</f>
        <v>1</v>
      </c>
      <c r="U139" s="20">
        <f>IF(coder1_YH!AC138="","",IF(coder1_YH!AC138=coder2_NY_MT!W139,1,0))</f>
        <v>1</v>
      </c>
      <c r="V139" s="20">
        <f>IF(coder1_YH!AD138="","",IF(coder1_YH!AD138=coder2_NY_MT!X139,1,0))</f>
        <v>1</v>
      </c>
      <c r="W139" s="20">
        <f>IF(coder1_YH!AE138="","",IF(coder1_YH!AE138=coder2_NY_MT!Y139,1,0))</f>
        <v>1</v>
      </c>
      <c r="X139" s="20">
        <f>IF(coder1_YH!AF138="","",IF(coder1_YH!AF138=coder2_NY_MT!Z139,1,0))</f>
        <v>1</v>
      </c>
      <c r="Y139" s="20">
        <f>IF(coder1_YH!AG138="","",IF(coder1_YH!AG138=coder2_NY_MT!AA139,1,0))</f>
        <v>1</v>
      </c>
      <c r="Z139" s="20">
        <f>IF(coder1_YH!AH138="","",IF(coder1_YH!AH138=coder2_NY_MT!AB139,1,0))</f>
        <v>1</v>
      </c>
      <c r="AA139" s="20">
        <f>IF(coder1_YH!AI138="","",IF(coder1_YH!AI138=coder2_NY_MT!AC139,1,0))</f>
        <v>1</v>
      </c>
      <c r="AB139" s="20">
        <f>IF(OR(coder2_NY_MT!AD138="", coder1_YH!AJ138 = ""),0,1)</f>
        <v>1</v>
      </c>
      <c r="AC139" s="20">
        <f>IF(coder1_YH!AK138="","",IF(coder1_YH!AK138=coder2_NY_MT!AE139,1,0))</f>
        <v>1</v>
      </c>
      <c r="AD139" s="20">
        <f>IF(OR(coder2_NY_MT!AF139="", coder1_YH!AL138 = ""),0,1)</f>
        <v>1</v>
      </c>
      <c r="AF139" s="20">
        <f>IF(coder1_YH!AN138="","",IF(coder1_YH!AN138=coder2_NY_MT!AH139,1,0))</f>
        <v>1</v>
      </c>
      <c r="AG139" s="20">
        <f>IF(coder1_YH!AO138="","",IF(coder1_YH!AO138=coder2_NY_MT!AI139,1,0))</f>
        <v>1</v>
      </c>
      <c r="AH139" s="20">
        <f>IF(coder1_YH!AP138="","",IF(coder1_YH!AP138=coder2_NY_MT!AJ139,1,0))</f>
        <v>1</v>
      </c>
      <c r="AI139" s="20">
        <f>IF(coder1_YH!AQ138="","",IF(coder1_YH!AQ138=coder2_NY_MT!AK139,1,0))</f>
        <v>1</v>
      </c>
      <c r="AJ139" s="20">
        <f>IF(coder1_YH!AR138="","",IF(coder1_YH!AR138=coder2_NY_MT!AL139,1,0))</f>
        <v>1</v>
      </c>
      <c r="AK139" s="20">
        <f>IF(coder1_YH!AS138="","",IF(coder1_YH!AS138=coder2_NY_MT!AM139,1,0))</f>
        <v>1</v>
      </c>
      <c r="AL139" s="20" t="str">
        <f>IF(coder1_YH!AZ138="","",IF(coder1_YH!AZ138=coder2_NY_MT!AT139,1,0))</f>
        <v/>
      </c>
      <c r="AM139" s="20" t="str">
        <f>IF(coder1_YH!BA138="","",IF(coder1_YH!BA138=coder2_NY_MT!AU139,1,0))</f>
        <v/>
      </c>
      <c r="AN139" s="2"/>
    </row>
    <row r="140" spans="1:40" s="20" customFormat="1" ht="17" hidden="1" customHeight="1" x14ac:dyDescent="0.2">
      <c r="A140" s="20" t="str">
        <f>IF(coder1_YH!G139="","",IF(coder1_YH!G139=coder2_NY_MT!A140,1,0))</f>
        <v/>
      </c>
      <c r="B140" s="20" t="str">
        <f>IF(coder1_YH!H139="","",IF(RIGHT(coder1_YH!H139,2)=RIGHT(coder2_NY_MT!B140,2),1,0))</f>
        <v/>
      </c>
      <c r="C140" s="20" t="str">
        <f>IF(coder1_YH!I139="","",IF(coder1_YH!I139=coder2_NY_MT!C140,1,0))</f>
        <v/>
      </c>
      <c r="E140" s="20" t="str">
        <f>IF(coder1_YH!K139="","",IF(coder1_YH!K139=coder2_NY_MT!E140,1,0))</f>
        <v/>
      </c>
      <c r="F140" s="20" t="str">
        <f>IF(coder1_YH!L139="","",IF(coder1_YH!L139=coder2_NY_MT!F140,1,0))</f>
        <v/>
      </c>
      <c r="G140" s="20" t="str">
        <f>IF(coder1_YH!M139="","",IF(coder1_YH!M139=coder2_NY_MT!G140,1,0))</f>
        <v/>
      </c>
      <c r="H140" s="20" t="str">
        <f>IF(coder1_YH!P139="","",IF(RIGHT(coder1_YH!P139,3)=RIGHT(coder2_NY_MT!J140,3),1,0))</f>
        <v/>
      </c>
      <c r="I140" s="20" t="str">
        <f>IF(H140="","",IF(OR(coder2_NY_MT!K140="", coder1_YH!Q139 = ""),0,1))</f>
        <v/>
      </c>
      <c r="J140" s="20" t="str">
        <f>IF(coder1_YH!R139="","",IF(coder1_YH!R139=coder2_NY_MT!L140,1,0))</f>
        <v/>
      </c>
      <c r="K140" s="20" t="str">
        <f>IF(coder1_YH!S139="","",IF(coder1_YH!S139=coder2_NY_MT!M140,1,0))</f>
        <v/>
      </c>
      <c r="L140" s="20" t="str">
        <f>IF(coder1_YH!T139="","",IF(coder1_YH!T139=coder2_NY_MT!N140,1,0))</f>
        <v/>
      </c>
      <c r="M140" s="20" t="str">
        <f>IF(coder1_YH!U139="","",IF(coder1_YH!U139=coder2_NY_MT!O140,1,0))</f>
        <v/>
      </c>
      <c r="N140" s="20" t="str">
        <f>IF(coder1_YH!V139="","",IF(coder1_YH!V139=coder2_NY_MT!P140,1,0))</f>
        <v/>
      </c>
      <c r="O140" s="20" t="str">
        <f>IF(coder1_YH!W139="","",IF(coder1_YH!W139=coder2_NY_MT!Q140,1,0))</f>
        <v/>
      </c>
      <c r="P140" s="20" t="str">
        <f>IF(coder1_YH!X139="","",IF(coder1_YH!X139=coder2_NY_MT!R140,1,0))</f>
        <v/>
      </c>
      <c r="Q140" s="20" t="str">
        <f>IF(coder1_YH!Y139="","",IF(coder1_YH!Y139=coder2_NY_MT!S140,1,0))</f>
        <v/>
      </c>
      <c r="R140" s="20" t="str">
        <f>IF(coder1_YH!Z139="","",IF(coder1_YH!Z139=coder2_NY_MT!T140,1,0))</f>
        <v/>
      </c>
      <c r="S140" s="20" t="str">
        <f>IF(R140="","",IF(OR(coder2_NY_MT!U140="", coder1_YH!AA139 = ""),0,1))</f>
        <v/>
      </c>
      <c r="T140" s="20" t="str">
        <f>IF(coder1_YH!AB139="","",IF(coder1_YH!AB139=coder2_NY_MT!V140,1,0))</f>
        <v/>
      </c>
      <c r="U140" s="20" t="str">
        <f>IF(coder1_YH!AC139="","",IF(coder1_YH!AC139=coder2_NY_MT!W140,1,0))</f>
        <v/>
      </c>
      <c r="V140" s="20" t="str">
        <f>IF(coder1_YH!AD139="","",IF(coder1_YH!AD139=coder2_NY_MT!X140,1,0))</f>
        <v/>
      </c>
      <c r="W140" s="20" t="str">
        <f>IF(coder1_YH!AE139="","",IF(coder1_YH!AE139=coder2_NY_MT!Y140,1,0))</f>
        <v/>
      </c>
      <c r="X140" s="20" t="str">
        <f>IF(coder1_YH!AF139="","",IF(coder1_YH!AF139=coder2_NY_MT!Z140,1,0))</f>
        <v/>
      </c>
      <c r="Y140" s="20" t="str">
        <f>IF(coder1_YH!AG139="","",IF(coder1_YH!AG139=coder2_NY_MT!AA140,1,0))</f>
        <v/>
      </c>
      <c r="Z140" s="20" t="str">
        <f>IF(coder1_YH!AH139="","",IF(coder1_YH!AH139=coder2_NY_MT!AB140,1,0))</f>
        <v/>
      </c>
      <c r="AA140" s="20" t="str">
        <f>IF(coder1_YH!AI139="","",IF(coder1_YH!AI139=coder2_NY_MT!AC140,1,0))</f>
        <v/>
      </c>
      <c r="AB140" s="20">
        <f>IF(OR(coder2_NY_MT!AD139="", coder1_YH!AJ139 = ""),0,1)</f>
        <v>1</v>
      </c>
      <c r="AC140" s="20">
        <f>IF(coder1_YH!AK139="","",IF(coder1_YH!AK139=coder2_NY_MT!AE140,1,0))</f>
        <v>1</v>
      </c>
      <c r="AD140" s="20">
        <f>IF(OR(coder2_NY_MT!AF140="", coder1_YH!AL139 = ""),0,1)</f>
        <v>1</v>
      </c>
      <c r="AF140" s="20">
        <f>IF(coder1_YH!AN139="","",IF(coder1_YH!AN139=coder2_NY_MT!AH140,1,0))</f>
        <v>1</v>
      </c>
      <c r="AG140" s="20">
        <f>IF(coder1_YH!AO139="","",IF(coder1_YH!AO139=coder2_NY_MT!AI140,1,0))</f>
        <v>1</v>
      </c>
      <c r="AH140" s="20">
        <f>IF(coder1_YH!AP139="","",IF(coder1_YH!AP139=coder2_NY_MT!AJ140,1,0))</f>
        <v>1</v>
      </c>
      <c r="AI140" s="20">
        <f>IF(coder1_YH!AQ139="","",IF(coder1_YH!AQ139=coder2_NY_MT!AK140,1,0))</f>
        <v>1</v>
      </c>
      <c r="AJ140" s="20">
        <f>IF(coder1_YH!AR139="","",IF(coder1_YH!AR139=coder2_NY_MT!AL140,1,0))</f>
        <v>1</v>
      </c>
      <c r="AK140" s="20">
        <f>IF(coder1_YH!AS139="","",IF(coder1_YH!AS139=coder2_NY_MT!AM140,1,0))</f>
        <v>1</v>
      </c>
      <c r="AL140" s="20" t="str">
        <f>IF(coder1_YH!AZ139="","",IF(coder1_YH!AZ139=coder2_NY_MT!AT140,1,0))</f>
        <v/>
      </c>
      <c r="AM140" s="20" t="str">
        <f>IF(coder1_YH!BA139="","",IF(coder1_YH!BA139=coder2_NY_MT!AU140,1,0))</f>
        <v/>
      </c>
      <c r="AN140" s="2"/>
    </row>
    <row r="141" spans="1:40" s="20" customFormat="1" ht="17" hidden="1" customHeight="1" x14ac:dyDescent="0.2">
      <c r="A141" s="20" t="str">
        <f>IF(coder1_YH!G140="","",IF(coder1_YH!G140=coder2_NY_MT!A141,1,0))</f>
        <v/>
      </c>
      <c r="B141" s="20" t="str">
        <f>IF(coder1_YH!H140="","",IF(RIGHT(coder1_YH!H140,2)=RIGHT(coder2_NY_MT!B141,2),1,0))</f>
        <v/>
      </c>
      <c r="C141" s="20" t="str">
        <f>IF(coder1_YH!I140="","",IF(coder1_YH!I140=coder2_NY_MT!C141,1,0))</f>
        <v/>
      </c>
      <c r="E141" s="20" t="str">
        <f>IF(coder1_YH!K140="","",IF(coder1_YH!K140=coder2_NY_MT!E141,1,0))</f>
        <v/>
      </c>
      <c r="F141" s="20" t="str">
        <f>IF(coder1_YH!L140="","",IF(coder1_YH!L140=coder2_NY_MT!F141,1,0))</f>
        <v/>
      </c>
      <c r="G141" s="20" t="str">
        <f>IF(coder1_YH!M140="","",IF(coder1_YH!M140=coder2_NY_MT!G141,1,0))</f>
        <v/>
      </c>
      <c r="H141" s="20">
        <f>IF(coder1_YH!P140="","",IF(RIGHT(coder1_YH!P140,3)=RIGHT(coder2_NY_MT!J141,3),1,0))</f>
        <v>0</v>
      </c>
      <c r="I141" s="20">
        <f>IF(H141="","",IF(OR(coder2_NY_MT!K141="", coder1_YH!Q140 = ""),0,1))</f>
        <v>1</v>
      </c>
      <c r="J141" s="20">
        <f>IF(coder1_YH!R140="","",IF(coder1_YH!R140=coder2_NY_MT!L141,1,0))</f>
        <v>1</v>
      </c>
      <c r="K141" s="20">
        <f>IF(coder1_YH!S140="","",IF(coder1_YH!S140=coder2_NY_MT!M141,1,0))</f>
        <v>1</v>
      </c>
      <c r="L141" s="20">
        <f>IF(coder1_YH!T140="","",IF(coder1_YH!T140=coder2_NY_MT!N141,1,0))</f>
        <v>1</v>
      </c>
      <c r="M141" s="20">
        <f>IF(coder1_YH!U140="","",IF(coder1_YH!U140=coder2_NY_MT!O141,1,0))</f>
        <v>1</v>
      </c>
      <c r="N141" s="20">
        <f>IF(coder1_YH!V140="","",IF(coder1_YH!V140=coder2_NY_MT!P141,1,0))</f>
        <v>1</v>
      </c>
      <c r="O141" s="20">
        <f>IF(coder1_YH!W140="","",IF(coder1_YH!W140=coder2_NY_MT!Q141,1,0))</f>
        <v>1</v>
      </c>
      <c r="P141" s="20">
        <f>IF(coder1_YH!X140="","",IF(coder1_YH!X140=coder2_NY_MT!R141,1,0))</f>
        <v>1</v>
      </c>
      <c r="Q141" s="20">
        <f>IF(coder1_YH!Y140="","",IF(coder1_YH!Y140=coder2_NY_MT!S141,1,0))</f>
        <v>1</v>
      </c>
      <c r="R141" s="20">
        <f>IF(coder1_YH!Z140="","",IF(coder1_YH!Z140=coder2_NY_MT!T141,1,0))</f>
        <v>1</v>
      </c>
      <c r="S141" s="20">
        <f>IF(R141="","",IF(OR(coder2_NY_MT!U141="", coder1_YH!AA140 = ""),0,1))</f>
        <v>1</v>
      </c>
      <c r="T141" s="20">
        <f>IF(coder1_YH!AB140="","",IF(coder1_YH!AB140=coder2_NY_MT!V141,1,0))</f>
        <v>1</v>
      </c>
      <c r="U141" s="20">
        <f>IF(coder1_YH!AC140="","",IF(coder1_YH!AC140=coder2_NY_MT!W141,1,0))</f>
        <v>1</v>
      </c>
      <c r="V141" s="20">
        <f>IF(coder1_YH!AD140="","",IF(coder1_YH!AD140=coder2_NY_MT!X141,1,0))</f>
        <v>1</v>
      </c>
      <c r="W141" s="20">
        <f>IF(coder1_YH!AE140="","",IF(coder1_YH!AE140=coder2_NY_MT!Y141,1,0))</f>
        <v>1</v>
      </c>
      <c r="X141" s="20">
        <f>IF(coder1_YH!AF140="","",IF(coder1_YH!AF140=coder2_NY_MT!Z141,1,0))</f>
        <v>1</v>
      </c>
      <c r="Y141" s="20">
        <f>IF(coder1_YH!AG140="","",IF(coder1_YH!AG140=coder2_NY_MT!AA141,1,0))</f>
        <v>1</v>
      </c>
      <c r="Z141" s="20">
        <f>IF(coder1_YH!AH140="","",IF(coder1_YH!AH140=coder2_NY_MT!AB141,1,0))</f>
        <v>1</v>
      </c>
      <c r="AA141" s="20">
        <f>IF(coder1_YH!AI140="","",IF(coder1_YH!AI140=coder2_NY_MT!AC141,1,0))</f>
        <v>1</v>
      </c>
      <c r="AB141" s="20">
        <f>IF(OR(coder2_NY_MT!AD140="", coder1_YH!AJ140 = ""),0,1)</f>
        <v>1</v>
      </c>
      <c r="AC141" s="20">
        <f>IF(coder1_YH!AK140="","",IF(coder1_YH!AK140=coder2_NY_MT!AE141,1,0))</f>
        <v>1</v>
      </c>
      <c r="AD141" s="20">
        <f>IF(OR(coder2_NY_MT!AF141="", coder1_YH!AL140 = ""),0,1)</f>
        <v>1</v>
      </c>
      <c r="AF141" s="20">
        <f>IF(coder1_YH!AN140="","",IF(coder1_YH!AN140=coder2_NY_MT!AH141,1,0))</f>
        <v>1</v>
      </c>
      <c r="AG141" s="20">
        <f>IF(coder1_YH!AO140="","",IF(coder1_YH!AO140=coder2_NY_MT!AI141,1,0))</f>
        <v>1</v>
      </c>
      <c r="AH141" s="20">
        <f>IF(coder1_YH!AP140="","",IF(coder1_YH!AP140=coder2_NY_MT!AJ141,1,0))</f>
        <v>1</v>
      </c>
      <c r="AI141" s="20">
        <f>IF(coder1_YH!AQ140="","",IF(coder1_YH!AQ140=coder2_NY_MT!AK141,1,0))</f>
        <v>1</v>
      </c>
      <c r="AJ141" s="20">
        <f>IF(coder1_YH!AR140="","",IF(coder1_YH!AR140=coder2_NY_MT!AL141,1,0))</f>
        <v>1</v>
      </c>
      <c r="AK141" s="20">
        <f>IF(coder1_YH!AS140="","",IF(coder1_YH!AS140=coder2_NY_MT!AM141,1,0))</f>
        <v>1</v>
      </c>
      <c r="AL141" s="20" t="str">
        <f>IF(coder1_YH!AZ140="","",IF(coder1_YH!AZ140=coder2_NY_MT!AT141,1,0))</f>
        <v/>
      </c>
      <c r="AM141" s="20" t="str">
        <f>IF(coder1_YH!BA140="","",IF(coder1_YH!BA140=coder2_NY_MT!AU141,1,0))</f>
        <v/>
      </c>
      <c r="AN141" s="2"/>
    </row>
    <row r="142" spans="1:40" s="20" customFormat="1" ht="17" hidden="1" customHeight="1" x14ac:dyDescent="0.2">
      <c r="A142" s="20" t="str">
        <f>IF(coder1_YH!G141="","",IF(coder1_YH!G141=coder2_NY_MT!A142,1,0))</f>
        <v/>
      </c>
      <c r="B142" s="20" t="str">
        <f>IF(coder1_YH!H141="","",IF(RIGHT(coder1_YH!H141,2)=RIGHT(coder2_NY_MT!B142,2),1,0))</f>
        <v/>
      </c>
      <c r="C142" s="20" t="str">
        <f>IF(coder1_YH!I141="","",IF(coder1_YH!I141=coder2_NY_MT!C142,1,0))</f>
        <v/>
      </c>
      <c r="E142" s="20" t="str">
        <f>IF(coder1_YH!K141="","",IF(coder1_YH!K141=coder2_NY_MT!E142,1,0))</f>
        <v/>
      </c>
      <c r="F142" s="20" t="str">
        <f>IF(coder1_YH!L141="","",IF(coder1_YH!L141=coder2_NY_MT!F142,1,0))</f>
        <v/>
      </c>
      <c r="G142" s="20" t="str">
        <f>IF(coder1_YH!M141="","",IF(coder1_YH!M141=coder2_NY_MT!G142,1,0))</f>
        <v/>
      </c>
      <c r="H142" s="20" t="str">
        <f>IF(coder1_YH!P141="","",IF(RIGHT(coder1_YH!P141,3)=RIGHT(coder2_NY_MT!J142,3),1,0))</f>
        <v/>
      </c>
      <c r="I142" s="20" t="str">
        <f>IF(H142="","",IF(OR(coder2_NY_MT!K142="", coder1_YH!Q141 = ""),0,1))</f>
        <v/>
      </c>
      <c r="J142" s="20" t="str">
        <f>IF(coder1_YH!R141="","",IF(coder1_YH!R141=coder2_NY_MT!L142,1,0))</f>
        <v/>
      </c>
      <c r="K142" s="20" t="str">
        <f>IF(coder1_YH!S141="","",IF(coder1_YH!S141=coder2_NY_MT!M142,1,0))</f>
        <v/>
      </c>
      <c r="L142" s="20" t="str">
        <f>IF(coder1_YH!T141="","",IF(coder1_YH!T141=coder2_NY_MT!N142,1,0))</f>
        <v/>
      </c>
      <c r="M142" s="20" t="str">
        <f>IF(coder1_YH!U141="","",IF(coder1_YH!U141=coder2_NY_MT!O142,1,0))</f>
        <v/>
      </c>
      <c r="N142" s="20" t="str">
        <f>IF(coder1_YH!V141="","",IF(coder1_YH!V141=coder2_NY_MT!P142,1,0))</f>
        <v/>
      </c>
      <c r="O142" s="20" t="str">
        <f>IF(coder1_YH!W141="","",IF(coder1_YH!W141=coder2_NY_MT!Q142,1,0))</f>
        <v/>
      </c>
      <c r="P142" s="20" t="str">
        <f>IF(coder1_YH!X141="","",IF(coder1_YH!X141=coder2_NY_MT!R142,1,0))</f>
        <v/>
      </c>
      <c r="Q142" s="20" t="str">
        <f>IF(coder1_YH!Y141="","",IF(coder1_YH!Y141=coder2_NY_MT!S142,1,0))</f>
        <v/>
      </c>
      <c r="R142" s="20" t="str">
        <f>IF(coder1_YH!Z141="","",IF(coder1_YH!Z141=coder2_NY_MT!T142,1,0))</f>
        <v/>
      </c>
      <c r="S142" s="20" t="str">
        <f>IF(R142="","",IF(OR(coder2_NY_MT!U142="", coder1_YH!AA141 = ""),0,1))</f>
        <v/>
      </c>
      <c r="T142" s="20" t="str">
        <f>IF(coder1_YH!AB141="","",IF(coder1_YH!AB141=coder2_NY_MT!V142,1,0))</f>
        <v/>
      </c>
      <c r="U142" s="20" t="str">
        <f>IF(coder1_YH!AC141="","",IF(coder1_YH!AC141=coder2_NY_MT!W142,1,0))</f>
        <v/>
      </c>
      <c r="V142" s="20" t="str">
        <f>IF(coder1_YH!AD141="","",IF(coder1_YH!AD141=coder2_NY_MT!X142,1,0))</f>
        <v/>
      </c>
      <c r="W142" s="20" t="str">
        <f>IF(coder1_YH!AE141="","",IF(coder1_YH!AE141=coder2_NY_MT!Y142,1,0))</f>
        <v/>
      </c>
      <c r="X142" s="20" t="str">
        <f>IF(coder1_YH!AF141="","",IF(coder1_YH!AF141=coder2_NY_MT!Z142,1,0))</f>
        <v/>
      </c>
      <c r="Y142" s="20" t="str">
        <f>IF(coder1_YH!AG141="","",IF(coder1_YH!AG141=coder2_NY_MT!AA142,1,0))</f>
        <v/>
      </c>
      <c r="Z142" s="20" t="str">
        <f>IF(coder1_YH!AH141="","",IF(coder1_YH!AH141=coder2_NY_MT!AB142,1,0))</f>
        <v/>
      </c>
      <c r="AA142" s="20" t="str">
        <f>IF(coder1_YH!AI141="","",IF(coder1_YH!AI141=coder2_NY_MT!AC142,1,0))</f>
        <v/>
      </c>
      <c r="AB142" s="20">
        <f>IF(OR(coder2_NY_MT!AD141="", coder1_YH!AJ141 = ""),0,1)</f>
        <v>1</v>
      </c>
      <c r="AC142" s="20">
        <f>IF(coder1_YH!AK141="","",IF(coder1_YH!AK141=coder2_NY_MT!AE142,1,0))</f>
        <v>1</v>
      </c>
      <c r="AD142" s="20">
        <f>IF(OR(coder2_NY_MT!AF142="", coder1_YH!AL141 = ""),0,1)</f>
        <v>1</v>
      </c>
      <c r="AF142" s="20">
        <f>IF(coder1_YH!AN141="","",IF(coder1_YH!AN141=coder2_NY_MT!AH142,1,0))</f>
        <v>1</v>
      </c>
      <c r="AG142" s="20">
        <f>IF(coder1_YH!AO141="","",IF(coder1_YH!AO141=coder2_NY_MT!AI142,1,0))</f>
        <v>1</v>
      </c>
      <c r="AH142" s="20">
        <f>IF(coder1_YH!AP141="","",IF(coder1_YH!AP141=coder2_NY_MT!AJ142,1,0))</f>
        <v>1</v>
      </c>
      <c r="AI142" s="20">
        <f>IF(coder1_YH!AQ141="","",IF(coder1_YH!AQ141=coder2_NY_MT!AK142,1,0))</f>
        <v>1</v>
      </c>
      <c r="AJ142" s="20">
        <f>IF(coder1_YH!AR141="","",IF(coder1_YH!AR141=coder2_NY_MT!AL142,1,0))</f>
        <v>1</v>
      </c>
      <c r="AK142" s="20">
        <f>IF(coder1_YH!AS141="","",IF(coder1_YH!AS141=coder2_NY_MT!AM142,1,0))</f>
        <v>1</v>
      </c>
      <c r="AL142" s="20" t="str">
        <f>IF(coder1_YH!AZ141="","",IF(coder1_YH!AZ141=coder2_NY_MT!AT142,1,0))</f>
        <v/>
      </c>
      <c r="AM142" s="20" t="str">
        <f>IF(coder1_YH!BA141="","",IF(coder1_YH!BA141=coder2_NY_MT!AU142,1,0))</f>
        <v/>
      </c>
      <c r="AN142" s="2"/>
    </row>
    <row r="143" spans="1:40" s="20" customFormat="1" ht="17" hidden="1" customHeight="1" x14ac:dyDescent="0.2">
      <c r="A143" s="20">
        <f>IF(coder1_YH!G142="","",IF(coder1_YH!G142=coder2_NY_MT!A143,1,0))</f>
        <v>0</v>
      </c>
      <c r="B143" s="20">
        <f>IF(coder1_YH!H142="","",IF(RIGHT(coder1_YH!H142,2)=RIGHT(coder2_NY_MT!B143,2),1,0))</f>
        <v>0</v>
      </c>
      <c r="C143" s="20">
        <f>IF(coder1_YH!I142="","",IF(coder1_YH!I142=coder2_NY_MT!C143,1,0))</f>
        <v>1</v>
      </c>
      <c r="E143" s="20">
        <f>IF(coder1_YH!K142="","",IF(coder1_YH!K142=coder2_NY_MT!E143,1,0))</f>
        <v>1</v>
      </c>
      <c r="F143" s="20">
        <f>IF(coder1_YH!L142="","",IF(coder1_YH!L142=coder2_NY_MT!F143,1,0))</f>
        <v>1</v>
      </c>
      <c r="G143" s="20">
        <f>IF(coder1_YH!M142="","",IF(coder1_YH!M142=coder2_NY_MT!G143,1,0))</f>
        <v>1</v>
      </c>
      <c r="H143" s="20">
        <f>IF(coder1_YH!P142="","",IF(RIGHT(coder1_YH!P142,3)=RIGHT(coder2_NY_MT!J143,3),1,0))</f>
        <v>0</v>
      </c>
      <c r="I143" s="20">
        <f>IF(H143="","",IF(OR(coder2_NY_MT!K143="", coder1_YH!Q142 = ""),0,1))</f>
        <v>1</v>
      </c>
      <c r="J143" s="20">
        <f>IF(coder1_YH!R142="","",IF(coder1_YH!R142=coder2_NY_MT!L143,1,0))</f>
        <v>1</v>
      </c>
      <c r="K143" s="20">
        <f>IF(coder1_YH!S142="","",IF(coder1_YH!S142=coder2_NY_MT!M143,1,0))</f>
        <v>1</v>
      </c>
      <c r="L143" s="20">
        <f>IF(coder1_YH!T142="","",IF(coder1_YH!T142=coder2_NY_MT!N143,1,0))</f>
        <v>1</v>
      </c>
      <c r="M143" s="20">
        <f>IF(coder1_YH!U142="","",IF(coder1_YH!U142=coder2_NY_MT!O143,1,0))</f>
        <v>1</v>
      </c>
      <c r="N143" s="20">
        <f>IF(coder1_YH!V142="","",IF(coder1_YH!V142=coder2_NY_MT!P143,1,0))</f>
        <v>1</v>
      </c>
      <c r="O143" s="20">
        <f>IF(coder1_YH!W142="","",IF(coder1_YH!W142=coder2_NY_MT!Q143,1,0))</f>
        <v>1</v>
      </c>
      <c r="P143" s="20">
        <f>IF(coder1_YH!X142="","",IF(coder1_YH!X142=coder2_NY_MT!R143,1,0))</f>
        <v>1</v>
      </c>
      <c r="Q143" s="20">
        <f>IF(coder1_YH!Y142="","",IF(coder1_YH!Y142=coder2_NY_MT!S143,1,0))</f>
        <v>1</v>
      </c>
      <c r="R143" s="20">
        <f>IF(coder1_YH!Z142="","",IF(coder1_YH!Z142=coder2_NY_MT!T143,1,0))</f>
        <v>1</v>
      </c>
      <c r="S143" s="20">
        <f>IF(R143="","",IF(OR(coder2_NY_MT!U143="", coder1_YH!AA142 = ""),0,1))</f>
        <v>1</v>
      </c>
      <c r="T143" s="20">
        <f>IF(coder1_YH!AB142="","",IF(coder1_YH!AB142=coder2_NY_MT!V143,1,0))</f>
        <v>1</v>
      </c>
      <c r="U143" s="20">
        <f>IF(coder1_YH!AC142="","",IF(coder1_YH!AC142=coder2_NY_MT!W143,1,0))</f>
        <v>1</v>
      </c>
      <c r="V143" s="20">
        <f>IF(coder1_YH!AD142="","",IF(coder1_YH!AD142=coder2_NY_MT!X143,1,0))</f>
        <v>1</v>
      </c>
      <c r="W143" s="20">
        <f>IF(coder1_YH!AE142="","",IF(coder1_YH!AE142=coder2_NY_MT!Y143,1,0))</f>
        <v>1</v>
      </c>
      <c r="X143" s="20">
        <f>IF(coder1_YH!AF142="","",IF(coder1_YH!AF142=coder2_NY_MT!Z143,1,0))</f>
        <v>1</v>
      </c>
      <c r="Y143" s="20">
        <f>IF(coder1_YH!AG142="","",IF(coder1_YH!AG142=coder2_NY_MT!AA143,1,0))</f>
        <v>1</v>
      </c>
      <c r="Z143" s="20">
        <f>IF(coder1_YH!AH142="","",IF(coder1_YH!AH142=coder2_NY_MT!AB143,1,0))</f>
        <v>1</v>
      </c>
      <c r="AA143" s="20">
        <f>IF(coder1_YH!AI142="","",IF(coder1_YH!AI142=coder2_NY_MT!AC143,1,0))</f>
        <v>1</v>
      </c>
      <c r="AB143" s="20">
        <f>IF(OR(coder2_NY_MT!AD142="", coder1_YH!AJ142 = ""),0,1)</f>
        <v>1</v>
      </c>
      <c r="AC143" s="20">
        <f>IF(coder1_YH!AK142="","",IF(coder1_YH!AK142=coder2_NY_MT!AE143,1,0))</f>
        <v>1</v>
      </c>
      <c r="AD143" s="20">
        <f>IF(OR(coder2_NY_MT!AF143="", coder1_YH!AL142 = ""),0,1)</f>
        <v>1</v>
      </c>
      <c r="AF143" s="20">
        <f>IF(coder1_YH!AN142="","",IF(coder1_YH!AN142=coder2_NY_MT!AH143,1,0))</f>
        <v>1</v>
      </c>
      <c r="AG143" s="20">
        <f>IF(coder1_YH!AO142="","",IF(coder1_YH!AO142=coder2_NY_MT!AI143,1,0))</f>
        <v>1</v>
      </c>
      <c r="AH143" s="20">
        <f>IF(coder1_YH!AP142="","",IF(coder1_YH!AP142=coder2_NY_MT!AJ143,1,0))</f>
        <v>1</v>
      </c>
      <c r="AI143" s="20">
        <f>IF(coder1_YH!AQ142="","",IF(coder1_YH!AQ142=coder2_NY_MT!AK143,1,0))</f>
        <v>1</v>
      </c>
      <c r="AJ143" s="20">
        <f>IF(coder1_YH!AR142="","",IF(coder1_YH!AR142=coder2_NY_MT!AL143,1,0))</f>
        <v>1</v>
      </c>
      <c r="AK143" s="20">
        <f>IF(coder1_YH!AS142="","",IF(coder1_YH!AS142=coder2_NY_MT!AM143,1,0))</f>
        <v>1</v>
      </c>
      <c r="AL143" s="20" t="str">
        <f>IF(coder1_YH!AZ142="","",IF(coder1_YH!AZ142=coder2_NY_MT!AT143,1,0))</f>
        <v/>
      </c>
      <c r="AM143" s="20" t="str">
        <f>IF(coder1_YH!BA142="","",IF(coder1_YH!BA142=coder2_NY_MT!AU143,1,0))</f>
        <v/>
      </c>
      <c r="AN143" s="2"/>
    </row>
    <row r="144" spans="1:40" s="20" customFormat="1" ht="17" hidden="1" customHeight="1" x14ac:dyDescent="0.2">
      <c r="A144" s="20" t="str">
        <f>IF(coder1_YH!G143="","",IF(coder1_YH!G143=coder2_NY_MT!A144,1,0))</f>
        <v/>
      </c>
      <c r="B144" s="20" t="str">
        <f>IF(coder1_YH!H143="","",IF(RIGHT(coder1_YH!H143,2)=RIGHT(coder2_NY_MT!B144,2),1,0))</f>
        <v/>
      </c>
      <c r="C144" s="20" t="str">
        <f>IF(coder1_YH!I143="","",IF(coder1_YH!I143=coder2_NY_MT!C144,1,0))</f>
        <v/>
      </c>
      <c r="E144" s="20" t="str">
        <f>IF(coder1_YH!K143="","",IF(coder1_YH!K143=coder2_NY_MT!E144,1,0))</f>
        <v/>
      </c>
      <c r="F144" s="20" t="str">
        <f>IF(coder1_YH!L143="","",IF(coder1_YH!L143=coder2_NY_MT!F144,1,0))</f>
        <v/>
      </c>
      <c r="G144" s="20" t="str">
        <f>IF(coder1_YH!M143="","",IF(coder1_YH!M143=coder2_NY_MT!G144,1,0))</f>
        <v/>
      </c>
      <c r="H144" s="20">
        <f>IF(coder1_YH!P143="","",IF(RIGHT(coder1_YH!P143,3)=RIGHT(coder2_NY_MT!J144,3),1,0))</f>
        <v>0</v>
      </c>
      <c r="I144" s="20">
        <f>IF(H144="","",IF(OR(coder2_NY_MT!K144="", coder1_YH!Q143 = ""),0,1))</f>
        <v>1</v>
      </c>
      <c r="J144" s="20">
        <f>IF(coder1_YH!R143="","",IF(coder1_YH!R143=coder2_NY_MT!L144,1,0))</f>
        <v>1</v>
      </c>
      <c r="K144" s="20">
        <f>IF(coder1_YH!S143="","",IF(coder1_YH!S143=coder2_NY_MT!M144,1,0))</f>
        <v>1</v>
      </c>
      <c r="L144" s="20">
        <f>IF(coder1_YH!T143="","",IF(coder1_YH!T143=coder2_NY_MT!N144,1,0))</f>
        <v>1</v>
      </c>
      <c r="M144" s="20">
        <f>IF(coder1_YH!U143="","",IF(coder1_YH!U143=coder2_NY_MT!O144,1,0))</f>
        <v>1</v>
      </c>
      <c r="N144" s="20">
        <f>IF(coder1_YH!V143="","",IF(coder1_YH!V143=coder2_NY_MT!P144,1,0))</f>
        <v>1</v>
      </c>
      <c r="O144" s="20">
        <f>IF(coder1_YH!W143="","",IF(coder1_YH!W143=coder2_NY_MT!Q144,1,0))</f>
        <v>1</v>
      </c>
      <c r="P144" s="20">
        <f>IF(coder1_YH!X143="","",IF(coder1_YH!X143=coder2_NY_MT!R144,1,0))</f>
        <v>1</v>
      </c>
      <c r="Q144" s="20">
        <f>IF(coder1_YH!Y143="","",IF(coder1_YH!Y143=coder2_NY_MT!S144,1,0))</f>
        <v>1</v>
      </c>
      <c r="R144" s="20">
        <f>IF(coder1_YH!Z143="","",IF(coder1_YH!Z143=coder2_NY_MT!T144,1,0))</f>
        <v>1</v>
      </c>
      <c r="S144" s="20">
        <f>IF(R144="","",IF(OR(coder2_NY_MT!U144="", coder1_YH!AA143 = ""),0,1))</f>
        <v>1</v>
      </c>
      <c r="T144" s="20">
        <f>IF(coder1_YH!AB143="","",IF(coder1_YH!AB143=coder2_NY_MT!V144,1,0))</f>
        <v>1</v>
      </c>
      <c r="U144" s="20">
        <f>IF(coder1_YH!AC143="","",IF(coder1_YH!AC143=coder2_NY_MT!W144,1,0))</f>
        <v>1</v>
      </c>
      <c r="V144" s="20">
        <f>IF(coder1_YH!AD143="","",IF(coder1_YH!AD143=coder2_NY_MT!X144,1,0))</f>
        <v>1</v>
      </c>
      <c r="W144" s="20">
        <f>IF(coder1_YH!AE143="","",IF(coder1_YH!AE143=coder2_NY_MT!Y144,1,0))</f>
        <v>1</v>
      </c>
      <c r="X144" s="20">
        <f>IF(coder1_YH!AF143="","",IF(coder1_YH!AF143=coder2_NY_MT!Z144,1,0))</f>
        <v>1</v>
      </c>
      <c r="Y144" s="20">
        <f>IF(coder1_YH!AG143="","",IF(coder1_YH!AG143=coder2_NY_MT!AA144,1,0))</f>
        <v>1</v>
      </c>
      <c r="Z144" s="20">
        <f>IF(coder1_YH!AH143="","",IF(coder1_YH!AH143=coder2_NY_MT!AB144,1,0))</f>
        <v>1</v>
      </c>
      <c r="AA144" s="20">
        <f>IF(coder1_YH!AI143="","",IF(coder1_YH!AI143=coder2_NY_MT!AC144,1,0))</f>
        <v>1</v>
      </c>
      <c r="AB144" s="20">
        <f>IF(OR(coder2_NY_MT!AD143="", coder1_YH!AJ143 = ""),0,1)</f>
        <v>1</v>
      </c>
      <c r="AC144" s="20">
        <f>IF(coder1_YH!AK143="","",IF(coder1_YH!AK143=coder2_NY_MT!AE144,1,0))</f>
        <v>1</v>
      </c>
      <c r="AD144" s="20">
        <f>IF(OR(coder2_NY_MT!AF144="", coder1_YH!AL143 = ""),0,1)</f>
        <v>1</v>
      </c>
      <c r="AF144" s="20">
        <f>IF(coder1_YH!AN143="","",IF(coder1_YH!AN143=coder2_NY_MT!AH144,1,0))</f>
        <v>1</v>
      </c>
      <c r="AG144" s="20">
        <f>IF(coder1_YH!AO143="","",IF(coder1_YH!AO143=coder2_NY_MT!AI144,1,0))</f>
        <v>1</v>
      </c>
      <c r="AH144" s="20">
        <f>IF(coder1_YH!AP143="","",IF(coder1_YH!AP143=coder2_NY_MT!AJ144,1,0))</f>
        <v>1</v>
      </c>
      <c r="AI144" s="20">
        <f>IF(coder1_YH!AQ143="","",IF(coder1_YH!AQ143=coder2_NY_MT!AK144,1,0))</f>
        <v>1</v>
      </c>
      <c r="AJ144" s="20">
        <f>IF(coder1_YH!AR143="","",IF(coder1_YH!AR143=coder2_NY_MT!AL144,1,0))</f>
        <v>1</v>
      </c>
      <c r="AK144" s="20">
        <f>IF(coder1_YH!AS143="","",IF(coder1_YH!AS143=coder2_NY_MT!AM144,1,0))</f>
        <v>1</v>
      </c>
      <c r="AL144" s="20" t="str">
        <f>IF(coder1_YH!AZ143="","",IF(coder1_YH!AZ143=coder2_NY_MT!AT144,1,0))</f>
        <v/>
      </c>
      <c r="AM144" s="20" t="str">
        <f>IF(coder1_YH!BA143="","",IF(coder1_YH!BA143=coder2_NY_MT!AU144,1,0))</f>
        <v/>
      </c>
      <c r="AN144" s="2"/>
    </row>
    <row r="145" spans="1:40" s="20" customFormat="1" ht="17" hidden="1" customHeight="1" x14ac:dyDescent="0.2">
      <c r="A145" s="20">
        <f>IF(coder1_YH!G144="","",IF(coder1_YH!G144=coder2_NY_MT!A145,1,0))</f>
        <v>0</v>
      </c>
      <c r="B145" s="20">
        <f>IF(coder1_YH!H144="","",IF(RIGHT(coder1_YH!H144,2)=RIGHT(coder2_NY_MT!B145,2),1,0))</f>
        <v>0</v>
      </c>
      <c r="C145" s="20">
        <f>IF(coder1_YH!I144="","",IF(coder1_YH!I144=coder2_NY_MT!C145,1,0))</f>
        <v>0</v>
      </c>
      <c r="E145" s="20">
        <f>IF(coder1_YH!K144="","",IF(coder1_YH!K144=coder2_NY_MT!E145,1,0))</f>
        <v>0</v>
      </c>
      <c r="F145" s="20">
        <f>IF(coder1_YH!L144="","",IF(coder1_YH!L144=coder2_NY_MT!F145,1,0))</f>
        <v>0</v>
      </c>
      <c r="G145" s="20">
        <f>IF(coder1_YH!M144="","",IF(coder1_YH!M144=coder2_NY_MT!G145,1,0))</f>
        <v>0</v>
      </c>
      <c r="H145" s="20">
        <f>IF(coder1_YH!P144="","",IF(RIGHT(coder1_YH!P144,3)=RIGHT(coder2_NY_MT!J145,3),1,0))</f>
        <v>0</v>
      </c>
      <c r="I145" s="20">
        <f>IF(H145="","",IF(OR(coder2_NY_MT!K145="", coder1_YH!Q144 = ""),0,1))</f>
        <v>1</v>
      </c>
      <c r="J145" s="20">
        <f>IF(coder1_YH!R144="","",IF(coder1_YH!R144=coder2_NY_MT!L145,1,0))</f>
        <v>1</v>
      </c>
      <c r="K145" s="20">
        <f>IF(coder1_YH!S144="","",IF(coder1_YH!S144=coder2_NY_MT!M145,1,0))</f>
        <v>1</v>
      </c>
      <c r="L145" s="20">
        <f>IF(coder1_YH!T144="","",IF(coder1_YH!T144=coder2_NY_MT!N145,1,0))</f>
        <v>1</v>
      </c>
      <c r="M145" s="20">
        <f>IF(coder1_YH!U144="","",IF(coder1_YH!U144=coder2_NY_MT!O145,1,0))</f>
        <v>1</v>
      </c>
      <c r="N145" s="20">
        <f>IF(coder1_YH!V144="","",IF(coder1_YH!V144=coder2_NY_MT!P145,1,0))</f>
        <v>1</v>
      </c>
      <c r="O145" s="20">
        <f>IF(coder1_YH!W144="","",IF(coder1_YH!W144=coder2_NY_MT!Q145,1,0))</f>
        <v>1</v>
      </c>
      <c r="P145" s="20">
        <f>IF(coder1_YH!X144="","",IF(coder1_YH!X144=coder2_NY_MT!R145,1,0))</f>
        <v>1</v>
      </c>
      <c r="Q145" s="20">
        <f>IF(coder1_YH!Y144="","",IF(coder1_YH!Y144=coder2_NY_MT!S145,1,0))</f>
        <v>1</v>
      </c>
      <c r="R145" s="20">
        <f>IF(coder1_YH!Z144="","",IF(coder1_YH!Z144=coder2_NY_MT!T145,1,0))</f>
        <v>1</v>
      </c>
      <c r="S145" s="20">
        <f>IF(R145="","",IF(OR(coder2_NY_MT!U145="", coder1_YH!AA144 = ""),0,1))</f>
        <v>1</v>
      </c>
      <c r="T145" s="20">
        <f>IF(coder1_YH!AB144="","",IF(coder1_YH!AB144=coder2_NY_MT!V145,1,0))</f>
        <v>1</v>
      </c>
      <c r="U145" s="20">
        <f>IF(coder1_YH!AC144="","",IF(coder1_YH!AC144=coder2_NY_MT!W145,1,0))</f>
        <v>1</v>
      </c>
      <c r="V145" s="20">
        <f>IF(coder1_YH!AD144="","",IF(coder1_YH!AD144=coder2_NY_MT!X145,1,0))</f>
        <v>1</v>
      </c>
      <c r="W145" s="20">
        <f>IF(coder1_YH!AE144="","",IF(coder1_YH!AE144=coder2_NY_MT!Y145,1,0))</f>
        <v>1</v>
      </c>
      <c r="X145" s="20">
        <f>IF(coder1_YH!AF144="","",IF(coder1_YH!AF144=coder2_NY_MT!Z145,1,0))</f>
        <v>1</v>
      </c>
      <c r="Y145" s="20">
        <f>IF(coder1_YH!AG144="","",IF(coder1_YH!AG144=coder2_NY_MT!AA145,1,0))</f>
        <v>1</v>
      </c>
      <c r="Z145" s="20">
        <f>IF(coder1_YH!AH144="","",IF(coder1_YH!AH144=coder2_NY_MT!AB145,1,0))</f>
        <v>1</v>
      </c>
      <c r="AA145" s="20">
        <f>IF(coder1_YH!AI144="","",IF(coder1_YH!AI144=coder2_NY_MT!AC145,1,0))</f>
        <v>1</v>
      </c>
      <c r="AB145" s="20">
        <f>IF(OR(coder2_NY_MT!AD144="", coder1_YH!AJ144 = ""),0,1)</f>
        <v>1</v>
      </c>
      <c r="AC145" s="20">
        <f>IF(coder1_YH!AK144="","",IF(coder1_YH!AK144=coder2_NY_MT!AE145,1,0))</f>
        <v>1</v>
      </c>
      <c r="AD145" s="20">
        <f>IF(OR(coder2_NY_MT!AF145="", coder1_YH!AL144 = ""),0,1)</f>
        <v>1</v>
      </c>
      <c r="AF145" s="20">
        <f>IF(coder1_YH!AN144="","",IF(coder1_YH!AN144=coder2_NY_MT!AH145,1,0))</f>
        <v>1</v>
      </c>
      <c r="AG145" s="20">
        <f>IF(coder1_YH!AO144="","",IF(coder1_YH!AO144=coder2_NY_MT!AI145,1,0))</f>
        <v>1</v>
      </c>
      <c r="AH145" s="20">
        <f>IF(coder1_YH!AP144="","",IF(coder1_YH!AP144=coder2_NY_MT!AJ145,1,0))</f>
        <v>1</v>
      </c>
      <c r="AI145" s="20">
        <f>IF(coder1_YH!AQ144="","",IF(coder1_YH!AQ144=coder2_NY_MT!AK145,1,0))</f>
        <v>1</v>
      </c>
      <c r="AJ145" s="20">
        <f>IF(coder1_YH!AR144="","",IF(coder1_YH!AR144=coder2_NY_MT!AL145,1,0))</f>
        <v>1</v>
      </c>
      <c r="AK145" s="20">
        <f>IF(coder1_YH!AS144="","",IF(coder1_YH!AS144=coder2_NY_MT!AM145,1,0))</f>
        <v>1</v>
      </c>
      <c r="AL145" s="20" t="str">
        <f>IF(coder1_YH!AZ144="","",IF(coder1_YH!AZ144=coder2_NY_MT!AT145,1,0))</f>
        <v/>
      </c>
      <c r="AM145" s="20" t="str">
        <f>IF(coder1_YH!BA144="","",IF(coder1_YH!BA144=coder2_NY_MT!AU145,1,0))</f>
        <v/>
      </c>
      <c r="AN145" s="2"/>
    </row>
    <row r="146" spans="1:40" s="20" customFormat="1" ht="17" hidden="1" customHeight="1" x14ac:dyDescent="0.2">
      <c r="A146" s="20" t="str">
        <f>IF(coder1_YH!G145="","",IF(coder1_YH!G145=coder2_NY_MT!A146,1,0))</f>
        <v/>
      </c>
      <c r="B146" s="20" t="str">
        <f>IF(coder1_YH!H145="","",IF(RIGHT(coder1_YH!H145,2)=RIGHT(coder2_NY_MT!B146,2),1,0))</f>
        <v/>
      </c>
      <c r="C146" s="20" t="str">
        <f>IF(coder1_YH!I145="","",IF(coder1_YH!I145=coder2_NY_MT!C146,1,0))</f>
        <v/>
      </c>
      <c r="E146" s="20" t="str">
        <f>IF(coder1_YH!K145="","",IF(coder1_YH!K145=coder2_NY_MT!E146,1,0))</f>
        <v/>
      </c>
      <c r="F146" s="20" t="str">
        <f>IF(coder1_YH!L145="","",IF(coder1_YH!L145=coder2_NY_MT!F146,1,0))</f>
        <v/>
      </c>
      <c r="G146" s="20" t="str">
        <f>IF(coder1_YH!M145="","",IF(coder1_YH!M145=coder2_NY_MT!G146,1,0))</f>
        <v/>
      </c>
      <c r="H146" s="20">
        <f>IF(coder1_YH!P145="","",IF(RIGHT(coder1_YH!P145,3)=RIGHT(coder2_NY_MT!J146,3),1,0))</f>
        <v>0</v>
      </c>
      <c r="I146" s="20">
        <f>IF(H146="","",IF(OR(coder2_NY_MT!K146="", coder1_YH!Q145 = ""),0,1))</f>
        <v>1</v>
      </c>
      <c r="J146" s="20">
        <f>IF(coder1_YH!R145="","",IF(coder1_YH!R145=coder2_NY_MT!L146,1,0))</f>
        <v>1</v>
      </c>
      <c r="K146" s="20">
        <f>IF(coder1_YH!S145="","",IF(coder1_YH!S145=coder2_NY_MT!M146,1,0))</f>
        <v>1</v>
      </c>
      <c r="L146" s="20">
        <f>IF(coder1_YH!T145="","",IF(coder1_YH!T145=coder2_NY_MT!N146,1,0))</f>
        <v>1</v>
      </c>
      <c r="M146" s="20">
        <f>IF(coder1_YH!U145="","",IF(coder1_YH!U145=coder2_NY_MT!O146,1,0))</f>
        <v>1</v>
      </c>
      <c r="N146" s="20">
        <f>IF(coder1_YH!V145="","",IF(coder1_YH!V145=coder2_NY_MT!P146,1,0))</f>
        <v>1</v>
      </c>
      <c r="O146" s="20">
        <f>IF(coder1_YH!W145="","",IF(coder1_YH!W145=coder2_NY_MT!Q146,1,0))</f>
        <v>1</v>
      </c>
      <c r="P146" s="20">
        <f>IF(coder1_YH!X145="","",IF(coder1_YH!X145=coder2_NY_MT!R146,1,0))</f>
        <v>1</v>
      </c>
      <c r="Q146" s="20">
        <f>IF(coder1_YH!Y145="","",IF(coder1_YH!Y145=coder2_NY_MT!S146,1,0))</f>
        <v>1</v>
      </c>
      <c r="R146" s="20">
        <f>IF(coder1_YH!Z145="","",IF(coder1_YH!Z145=coder2_NY_MT!T146,1,0))</f>
        <v>1</v>
      </c>
      <c r="S146" s="20">
        <f>IF(R146="","",IF(OR(coder2_NY_MT!U146="", coder1_YH!AA145 = ""),0,1))</f>
        <v>1</v>
      </c>
      <c r="T146" s="20">
        <f>IF(coder1_YH!AB145="","",IF(coder1_YH!AB145=coder2_NY_MT!V146,1,0))</f>
        <v>1</v>
      </c>
      <c r="U146" s="20">
        <f>IF(coder1_YH!AC145="","",IF(coder1_YH!AC145=coder2_NY_MT!W146,1,0))</f>
        <v>1</v>
      </c>
      <c r="V146" s="20">
        <f>IF(coder1_YH!AD145="","",IF(coder1_YH!AD145=coder2_NY_MT!X146,1,0))</f>
        <v>1</v>
      </c>
      <c r="W146" s="20">
        <f>IF(coder1_YH!AE145="","",IF(coder1_YH!AE145=coder2_NY_MT!Y146,1,0))</f>
        <v>1</v>
      </c>
      <c r="X146" s="20">
        <f>IF(coder1_YH!AF145="","",IF(coder1_YH!AF145=coder2_NY_MT!Z146,1,0))</f>
        <v>1</v>
      </c>
      <c r="Y146" s="20">
        <f>IF(coder1_YH!AG145="","",IF(coder1_YH!AG145=coder2_NY_MT!AA146,1,0))</f>
        <v>1</v>
      </c>
      <c r="Z146" s="20">
        <f>IF(coder1_YH!AH145="","",IF(coder1_YH!AH145=coder2_NY_MT!AB146,1,0))</f>
        <v>1</v>
      </c>
      <c r="AA146" s="20">
        <f>IF(coder1_YH!AI145="","",IF(coder1_YH!AI145=coder2_NY_MT!AC146,1,0))</f>
        <v>1</v>
      </c>
      <c r="AB146" s="20">
        <f>IF(OR(coder2_NY_MT!AD145="", coder1_YH!AJ145 = ""),0,1)</f>
        <v>1</v>
      </c>
      <c r="AC146" s="20">
        <f>IF(coder1_YH!AK145="","",IF(coder1_YH!AK145=coder2_NY_MT!AE146,1,0))</f>
        <v>1</v>
      </c>
      <c r="AD146" s="20">
        <f>IF(OR(coder2_NY_MT!AF146="", coder1_YH!AL145 = ""),0,1)</f>
        <v>1</v>
      </c>
      <c r="AF146" s="20">
        <f>IF(coder1_YH!AN145="","",IF(coder1_YH!AN145=coder2_NY_MT!AH146,1,0))</f>
        <v>1</v>
      </c>
      <c r="AG146" s="20">
        <f>IF(coder1_YH!AO145="","",IF(coder1_YH!AO145=coder2_NY_MT!AI146,1,0))</f>
        <v>1</v>
      </c>
      <c r="AH146" s="20">
        <f>IF(coder1_YH!AP145="","",IF(coder1_YH!AP145=coder2_NY_MT!AJ146,1,0))</f>
        <v>1</v>
      </c>
      <c r="AI146" s="20">
        <f>IF(coder1_YH!AQ145="","",IF(coder1_YH!AQ145=coder2_NY_MT!AK146,1,0))</f>
        <v>1</v>
      </c>
      <c r="AJ146" s="20">
        <f>IF(coder1_YH!AR145="","",IF(coder1_YH!AR145=coder2_NY_MT!AL146,1,0))</f>
        <v>1</v>
      </c>
      <c r="AK146" s="20">
        <f>IF(coder1_YH!AS145="","",IF(coder1_YH!AS145=coder2_NY_MT!AM146,1,0))</f>
        <v>1</v>
      </c>
      <c r="AL146" s="20" t="str">
        <f>IF(coder1_YH!AZ145="","",IF(coder1_YH!AZ145=coder2_NY_MT!AT146,1,0))</f>
        <v/>
      </c>
      <c r="AM146" s="20" t="str">
        <f>IF(coder1_YH!BA145="","",IF(coder1_YH!BA145=coder2_NY_MT!AU146,1,0))</f>
        <v/>
      </c>
      <c r="AN146" s="2"/>
    </row>
    <row r="147" spans="1:40" s="20" customFormat="1" ht="17" hidden="1" customHeight="1" x14ac:dyDescent="0.2">
      <c r="A147" s="20">
        <f>IF(coder1_YH!G146="","",IF(coder1_YH!G146=coder2_NY_MT!A147,1,0))</f>
        <v>0</v>
      </c>
      <c r="B147" s="20">
        <f>IF(coder1_YH!H146="","",IF(RIGHT(coder1_YH!H146,2)=RIGHT(coder2_NY_MT!B147,2),1,0))</f>
        <v>0</v>
      </c>
      <c r="C147" s="20">
        <f>IF(coder1_YH!I146="","",IF(coder1_YH!I146=coder2_NY_MT!C147,1,0))</f>
        <v>0</v>
      </c>
      <c r="E147" s="20">
        <f>IF(coder1_YH!K146="","",IF(coder1_YH!K146=coder2_NY_MT!E147,1,0))</f>
        <v>0</v>
      </c>
      <c r="F147" s="20">
        <f>IF(coder1_YH!L146="","",IF(coder1_YH!L146=coder2_NY_MT!F147,1,0))</f>
        <v>0</v>
      </c>
      <c r="G147" s="20">
        <f>IF(coder1_YH!M146="","",IF(coder1_YH!M146=coder2_NY_MT!G147,1,0))</f>
        <v>0</v>
      </c>
      <c r="H147" s="20">
        <f>IF(coder1_YH!P146="","",IF(RIGHT(coder1_YH!P146,3)=RIGHT(coder2_NY_MT!J147,3),1,0))</f>
        <v>0</v>
      </c>
      <c r="I147" s="20">
        <f>IF(H147="","",IF(OR(coder2_NY_MT!K147="", coder1_YH!Q146 = ""),0,1))</f>
        <v>1</v>
      </c>
      <c r="J147" s="20">
        <f>IF(coder1_YH!R146="","",IF(coder1_YH!R146=coder2_NY_MT!L147,1,0))</f>
        <v>1</v>
      </c>
      <c r="K147" s="20">
        <f>IF(coder1_YH!S146="","",IF(coder1_YH!S146=coder2_NY_MT!M147,1,0))</f>
        <v>1</v>
      </c>
      <c r="L147" s="20">
        <f>IF(coder1_YH!T146="","",IF(coder1_YH!T146=coder2_NY_MT!N147,1,0))</f>
        <v>1</v>
      </c>
      <c r="M147" s="20">
        <f>IF(coder1_YH!U146="","",IF(coder1_YH!U146=coder2_NY_MT!O147,1,0))</f>
        <v>1</v>
      </c>
      <c r="N147" s="20">
        <f>IF(coder1_YH!V146="","",IF(coder1_YH!V146=coder2_NY_MT!P147,1,0))</f>
        <v>1</v>
      </c>
      <c r="O147" s="20">
        <f>IF(coder1_YH!W146="","",IF(coder1_YH!W146=coder2_NY_MT!Q147,1,0))</f>
        <v>1</v>
      </c>
      <c r="P147" s="20">
        <f>IF(coder1_YH!X146="","",IF(coder1_YH!X146=coder2_NY_MT!R147,1,0))</f>
        <v>1</v>
      </c>
      <c r="Q147" s="20">
        <f>IF(coder1_YH!Y146="","",IF(coder1_YH!Y146=coder2_NY_MT!S147,1,0))</f>
        <v>1</v>
      </c>
      <c r="R147" s="20">
        <f>IF(coder1_YH!Z146="","",IF(coder1_YH!Z146=coder2_NY_MT!T147,1,0))</f>
        <v>1</v>
      </c>
      <c r="S147" s="20">
        <f>IF(R147="","",IF(OR(coder2_NY_MT!U147="", coder1_YH!AA146 = ""),0,1))</f>
        <v>1</v>
      </c>
      <c r="T147" s="20">
        <f>IF(coder1_YH!AB146="","",IF(coder1_YH!AB146=coder2_NY_MT!V147,1,0))</f>
        <v>1</v>
      </c>
      <c r="U147" s="20">
        <f>IF(coder1_YH!AC146="","",IF(coder1_YH!AC146=coder2_NY_MT!W147,1,0))</f>
        <v>1</v>
      </c>
      <c r="V147" s="20">
        <f>IF(coder1_YH!AD146="","",IF(coder1_YH!AD146=coder2_NY_MT!X147,1,0))</f>
        <v>1</v>
      </c>
      <c r="W147" s="20">
        <f>IF(coder1_YH!AE146="","",IF(coder1_YH!AE146=coder2_NY_MT!Y147,1,0))</f>
        <v>1</v>
      </c>
      <c r="X147" s="20">
        <f>IF(coder1_YH!AF146="","",IF(coder1_YH!AF146=coder2_NY_MT!Z147,1,0))</f>
        <v>1</v>
      </c>
      <c r="Y147" s="20">
        <f>IF(coder1_YH!AG146="","",IF(coder1_YH!AG146=coder2_NY_MT!AA147,1,0))</f>
        <v>1</v>
      </c>
      <c r="Z147" s="20">
        <f>IF(coder1_YH!AH146="","",IF(coder1_YH!AH146=coder2_NY_MT!AB147,1,0))</f>
        <v>1</v>
      </c>
      <c r="AA147" s="20">
        <f>IF(coder1_YH!AI146="","",IF(coder1_YH!AI146=coder2_NY_MT!AC147,1,0))</f>
        <v>1</v>
      </c>
      <c r="AB147" s="20">
        <f>IF(OR(coder2_NY_MT!AD146="", coder1_YH!AJ146 = ""),0,1)</f>
        <v>1</v>
      </c>
      <c r="AC147" s="20">
        <f>IF(coder1_YH!AK146="","",IF(coder1_YH!AK146=coder2_NY_MT!AE147,1,0))</f>
        <v>1</v>
      </c>
      <c r="AD147" s="20">
        <f>IF(OR(coder2_NY_MT!AF147="", coder1_YH!AL146 = ""),0,1)</f>
        <v>1</v>
      </c>
      <c r="AF147" s="20">
        <f>IF(coder1_YH!AN146="","",IF(coder1_YH!AN146=coder2_NY_MT!AH147,1,0))</f>
        <v>1</v>
      </c>
      <c r="AG147" s="20">
        <f>IF(coder1_YH!AO146="","",IF(coder1_YH!AO146=coder2_NY_MT!AI147,1,0))</f>
        <v>1</v>
      </c>
      <c r="AH147" s="20">
        <f>IF(coder1_YH!AP146="","",IF(coder1_YH!AP146=coder2_NY_MT!AJ147,1,0))</f>
        <v>1</v>
      </c>
      <c r="AI147" s="20">
        <f>IF(coder1_YH!AQ146="","",IF(coder1_YH!AQ146=coder2_NY_MT!AK147,1,0))</f>
        <v>1</v>
      </c>
      <c r="AJ147" s="20">
        <f>IF(coder1_YH!AR146="","",IF(coder1_YH!AR146=coder2_NY_MT!AL147,1,0))</f>
        <v>1</v>
      </c>
      <c r="AK147" s="20">
        <f>IF(coder1_YH!AS146="","",IF(coder1_YH!AS146=coder2_NY_MT!AM147,1,0))</f>
        <v>1</v>
      </c>
      <c r="AL147" s="20" t="str">
        <f>IF(coder1_YH!AZ146="","",IF(coder1_YH!AZ146=coder2_NY_MT!AT147,1,0))</f>
        <v/>
      </c>
      <c r="AM147" s="20" t="str">
        <f>IF(coder1_YH!BA146="","",IF(coder1_YH!BA146=coder2_NY_MT!AU147,1,0))</f>
        <v/>
      </c>
      <c r="AN147" s="2"/>
    </row>
    <row r="148" spans="1:40" s="20" customFormat="1" ht="17" hidden="1" customHeight="1" x14ac:dyDescent="0.2">
      <c r="A148" s="20" t="str">
        <f>IF(coder1_YH!G147="","",IF(coder1_YH!G147=coder2_NY_MT!A148,1,0))</f>
        <v/>
      </c>
      <c r="B148" s="20" t="str">
        <f>IF(coder1_YH!H147="","",IF(RIGHT(coder1_YH!H147,2)=RIGHT(coder2_NY_MT!B148,2),1,0))</f>
        <v/>
      </c>
      <c r="C148" s="20" t="str">
        <f>IF(coder1_YH!I147="","",IF(coder1_YH!I147=coder2_NY_MT!C148,1,0))</f>
        <v/>
      </c>
      <c r="E148" s="20" t="str">
        <f>IF(coder1_YH!K147="","",IF(coder1_YH!K147=coder2_NY_MT!E148,1,0))</f>
        <v/>
      </c>
      <c r="F148" s="20" t="str">
        <f>IF(coder1_YH!L147="","",IF(coder1_YH!L147=coder2_NY_MT!F148,1,0))</f>
        <v/>
      </c>
      <c r="G148" s="20" t="str">
        <f>IF(coder1_YH!M147="","",IF(coder1_YH!M147=coder2_NY_MT!G148,1,0))</f>
        <v/>
      </c>
      <c r="H148" s="20">
        <f>IF(coder1_YH!P147="","",IF(RIGHT(coder1_YH!P147,3)=RIGHT(coder2_NY_MT!J148,3),1,0))</f>
        <v>0</v>
      </c>
      <c r="I148" s="20">
        <f>IF(H148="","",IF(OR(coder2_NY_MT!K148="", coder1_YH!Q147 = ""),0,1))</f>
        <v>1</v>
      </c>
      <c r="J148" s="20">
        <f>IF(coder1_YH!R147="","",IF(coder1_YH!R147=coder2_NY_MT!L148,1,0))</f>
        <v>1</v>
      </c>
      <c r="K148" s="20">
        <f>IF(coder1_YH!S147="","",IF(coder1_YH!S147=coder2_NY_MT!M148,1,0))</f>
        <v>1</v>
      </c>
      <c r="L148" s="20">
        <f>IF(coder1_YH!T147="","",IF(coder1_YH!T147=coder2_NY_MT!N148,1,0))</f>
        <v>1</v>
      </c>
      <c r="M148" s="20">
        <f>IF(coder1_YH!U147="","",IF(coder1_YH!U147=coder2_NY_MT!O148,1,0))</f>
        <v>1</v>
      </c>
      <c r="N148" s="20">
        <f>IF(coder1_YH!V147="","",IF(coder1_YH!V147=coder2_NY_MT!P148,1,0))</f>
        <v>1</v>
      </c>
      <c r="O148" s="20">
        <f>IF(coder1_YH!W147="","",IF(coder1_YH!W147=coder2_NY_MT!Q148,1,0))</f>
        <v>1</v>
      </c>
      <c r="P148" s="20">
        <f>IF(coder1_YH!X147="","",IF(coder1_YH!X147=coder2_NY_MT!R148,1,0))</f>
        <v>1</v>
      </c>
      <c r="Q148" s="20">
        <f>IF(coder1_YH!Y147="","",IF(coder1_YH!Y147=coder2_NY_MT!S148,1,0))</f>
        <v>1</v>
      </c>
      <c r="R148" s="20">
        <f>IF(coder1_YH!Z147="","",IF(coder1_YH!Z147=coder2_NY_MT!T148,1,0))</f>
        <v>1</v>
      </c>
      <c r="S148" s="20">
        <f>IF(R148="","",IF(OR(coder2_NY_MT!U148="", coder1_YH!AA147 = ""),0,1))</f>
        <v>1</v>
      </c>
      <c r="T148" s="20">
        <f>IF(coder1_YH!AB147="","",IF(coder1_YH!AB147=coder2_NY_MT!V148,1,0))</f>
        <v>1</v>
      </c>
      <c r="U148" s="20">
        <f>IF(coder1_YH!AC147="","",IF(coder1_YH!AC147=coder2_NY_MT!W148,1,0))</f>
        <v>1</v>
      </c>
      <c r="V148" s="20">
        <f>IF(coder1_YH!AD147="","",IF(coder1_YH!AD147=coder2_NY_MT!X148,1,0))</f>
        <v>1</v>
      </c>
      <c r="W148" s="20">
        <f>IF(coder1_YH!AE147="","",IF(coder1_YH!AE147=coder2_NY_MT!Y148,1,0))</f>
        <v>1</v>
      </c>
      <c r="X148" s="20">
        <f>IF(coder1_YH!AF147="","",IF(coder1_YH!AF147=coder2_NY_MT!Z148,1,0))</f>
        <v>1</v>
      </c>
      <c r="Y148" s="20">
        <f>IF(coder1_YH!AG147="","",IF(coder1_YH!AG147=coder2_NY_MT!AA148,1,0))</f>
        <v>1</v>
      </c>
      <c r="Z148" s="20">
        <f>IF(coder1_YH!AH147="","",IF(coder1_YH!AH147=coder2_NY_MT!AB148,1,0))</f>
        <v>1</v>
      </c>
      <c r="AA148" s="20">
        <f>IF(coder1_YH!AI147="","",IF(coder1_YH!AI147=coder2_NY_MT!AC148,1,0))</f>
        <v>1</v>
      </c>
      <c r="AB148" s="20">
        <f>IF(OR(coder2_NY_MT!AD147="", coder1_YH!AJ147 = ""),0,1)</f>
        <v>1</v>
      </c>
      <c r="AC148" s="20">
        <f>IF(coder1_YH!AK147="","",IF(coder1_YH!AK147=coder2_NY_MT!AE148,1,0))</f>
        <v>1</v>
      </c>
      <c r="AD148" s="20">
        <f>IF(OR(coder2_NY_MT!AF148="", coder1_YH!AL147 = ""),0,1)</f>
        <v>1</v>
      </c>
      <c r="AF148" s="20">
        <f>IF(coder1_YH!AN147="","",IF(coder1_YH!AN147=coder2_NY_MT!AH148,1,0))</f>
        <v>1</v>
      </c>
      <c r="AG148" s="20">
        <f>IF(coder1_YH!AO147="","",IF(coder1_YH!AO147=coder2_NY_MT!AI148,1,0))</f>
        <v>1</v>
      </c>
      <c r="AH148" s="20">
        <f>IF(coder1_YH!AP147="","",IF(coder1_YH!AP147=coder2_NY_MT!AJ148,1,0))</f>
        <v>1</v>
      </c>
      <c r="AI148" s="20">
        <f>IF(coder1_YH!AQ147="","",IF(coder1_YH!AQ147=coder2_NY_MT!AK148,1,0))</f>
        <v>1</v>
      </c>
      <c r="AJ148" s="20">
        <f>IF(coder1_YH!AR147="","",IF(coder1_YH!AR147=coder2_NY_MT!AL148,1,0))</f>
        <v>1</v>
      </c>
      <c r="AK148" s="20">
        <f>IF(coder1_YH!AS147="","",IF(coder1_YH!AS147=coder2_NY_MT!AM148,1,0))</f>
        <v>1</v>
      </c>
      <c r="AL148" s="20" t="str">
        <f>IF(coder1_YH!AZ147="","",IF(coder1_YH!AZ147=coder2_NY_MT!AT148,1,0))</f>
        <v/>
      </c>
      <c r="AM148" s="20" t="str">
        <f>IF(coder1_YH!BA147="","",IF(coder1_YH!BA147=coder2_NY_MT!AU148,1,0))</f>
        <v/>
      </c>
      <c r="AN148" s="2"/>
    </row>
    <row r="149" spans="1:40" s="20" customFormat="1" ht="17" hidden="1" customHeight="1" x14ac:dyDescent="0.2">
      <c r="A149" s="20">
        <f>IF(coder1_YH!G148="","",IF(coder1_YH!G148=coder2_NY_MT!A149,1,0))</f>
        <v>0</v>
      </c>
      <c r="B149" s="20">
        <f>IF(coder1_YH!H148="","",IF(RIGHT(coder1_YH!H148,2)=RIGHT(coder2_NY_MT!B149,2),1,0))</f>
        <v>0</v>
      </c>
      <c r="C149" s="20">
        <f>IF(coder1_YH!I148="","",IF(coder1_YH!I148=coder2_NY_MT!C149,1,0))</f>
        <v>0</v>
      </c>
      <c r="E149" s="20">
        <f>IF(coder1_YH!K148="","",IF(coder1_YH!K148=coder2_NY_MT!E149,1,0))</f>
        <v>0</v>
      </c>
      <c r="F149" s="20">
        <f>IF(coder1_YH!L148="","",IF(coder1_YH!L148=coder2_NY_MT!F149,1,0))</f>
        <v>0</v>
      </c>
      <c r="G149" s="20">
        <f>IF(coder1_YH!M148="","",IF(coder1_YH!M148=coder2_NY_MT!G149,1,0))</f>
        <v>0</v>
      </c>
      <c r="H149" s="20">
        <f>IF(coder1_YH!P148="","",IF(RIGHT(coder1_YH!P148,3)=RIGHT(coder2_NY_MT!J149,3),1,0))</f>
        <v>0</v>
      </c>
      <c r="I149" s="20">
        <f>IF(H149="","",IF(OR(coder2_NY_MT!K149="", coder1_YH!Q148 = ""),0,1))</f>
        <v>1</v>
      </c>
      <c r="J149" s="20">
        <f>IF(coder1_YH!R148="","",IF(coder1_YH!R148=coder2_NY_MT!L149,1,0))</f>
        <v>1</v>
      </c>
      <c r="K149" s="20">
        <f>IF(coder1_YH!S148="","",IF(coder1_YH!S148=coder2_NY_MT!M149,1,0))</f>
        <v>1</v>
      </c>
      <c r="L149" s="20">
        <f>IF(coder1_YH!T148="","",IF(coder1_YH!T148=coder2_NY_MT!N149,1,0))</f>
        <v>1</v>
      </c>
      <c r="M149" s="20">
        <f>IF(coder1_YH!U148="","",IF(coder1_YH!U148=coder2_NY_MT!O149,1,0))</f>
        <v>1</v>
      </c>
      <c r="N149" s="20">
        <f>IF(coder1_YH!V148="","",IF(coder1_YH!V148=coder2_NY_MT!P149,1,0))</f>
        <v>1</v>
      </c>
      <c r="O149" s="20">
        <f>IF(coder1_YH!W148="","",IF(coder1_YH!W148=coder2_NY_MT!Q149,1,0))</f>
        <v>1</v>
      </c>
      <c r="P149" s="20">
        <f>IF(coder1_YH!X148="","",IF(coder1_YH!X148=coder2_NY_MT!R149,1,0))</f>
        <v>1</v>
      </c>
      <c r="Q149" s="20">
        <f>IF(coder1_YH!Y148="","",IF(coder1_YH!Y148=coder2_NY_MT!S149,1,0))</f>
        <v>1</v>
      </c>
      <c r="R149" s="20">
        <f>IF(coder1_YH!Z148="","",IF(coder1_YH!Z148=coder2_NY_MT!T149,1,0))</f>
        <v>1</v>
      </c>
      <c r="S149" s="20">
        <f>IF(R149="","",IF(OR(coder2_NY_MT!U149="", coder1_YH!AA148 = ""),0,1))</f>
        <v>1</v>
      </c>
      <c r="T149" s="20">
        <f>IF(coder1_YH!AB148="","",IF(coder1_YH!AB148=coder2_NY_MT!V149,1,0))</f>
        <v>1</v>
      </c>
      <c r="U149" s="20">
        <f>IF(coder1_YH!AC148="","",IF(coder1_YH!AC148=coder2_NY_MT!W149,1,0))</f>
        <v>1</v>
      </c>
      <c r="V149" s="20">
        <f>IF(coder1_YH!AD148="","",IF(coder1_YH!AD148=coder2_NY_MT!X149,1,0))</f>
        <v>1</v>
      </c>
      <c r="W149" s="20">
        <f>IF(coder1_YH!AE148="","",IF(coder1_YH!AE148=coder2_NY_MT!Y149,1,0))</f>
        <v>1</v>
      </c>
      <c r="X149" s="20">
        <f>IF(coder1_YH!AF148="","",IF(coder1_YH!AF148=coder2_NY_MT!Z149,1,0))</f>
        <v>1</v>
      </c>
      <c r="Y149" s="20">
        <f>IF(coder1_YH!AG148="","",IF(coder1_YH!AG148=coder2_NY_MT!AA149,1,0))</f>
        <v>1</v>
      </c>
      <c r="Z149" s="20">
        <f>IF(coder1_YH!AH148="","",IF(coder1_YH!AH148=coder2_NY_MT!AB149,1,0))</f>
        <v>1</v>
      </c>
      <c r="AA149" s="20">
        <f>IF(coder1_YH!AI148="","",IF(coder1_YH!AI148=coder2_NY_MT!AC149,1,0))</f>
        <v>1</v>
      </c>
      <c r="AB149" s="20">
        <f>IF(OR(coder2_NY_MT!AD148="", coder1_YH!AJ148 = ""),0,1)</f>
        <v>1</v>
      </c>
      <c r="AC149" s="20">
        <f>IF(coder1_YH!AK148="","",IF(coder1_YH!AK148=coder2_NY_MT!AE149,1,0))</f>
        <v>1</v>
      </c>
      <c r="AD149" s="20">
        <f>IF(OR(coder2_NY_MT!AF149="", coder1_YH!AL148 = ""),0,1)</f>
        <v>1</v>
      </c>
      <c r="AF149" s="20">
        <f>IF(coder1_YH!AN148="","",IF(coder1_YH!AN148=coder2_NY_MT!AH149,1,0))</f>
        <v>1</v>
      </c>
      <c r="AG149" s="20">
        <f>IF(coder1_YH!AO148="","",IF(coder1_YH!AO148=coder2_NY_MT!AI149,1,0))</f>
        <v>1</v>
      </c>
      <c r="AH149" s="20">
        <f>IF(coder1_YH!AP148="","",IF(coder1_YH!AP148=coder2_NY_MT!AJ149,1,0))</f>
        <v>1</v>
      </c>
      <c r="AI149" s="20">
        <f>IF(coder1_YH!AQ148="","",IF(coder1_YH!AQ148=coder2_NY_MT!AK149,1,0))</f>
        <v>1</v>
      </c>
      <c r="AJ149" s="20">
        <f>IF(coder1_YH!AR148="","",IF(coder1_YH!AR148=coder2_NY_MT!AL149,1,0))</f>
        <v>1</v>
      </c>
      <c r="AK149" s="20">
        <f>IF(coder1_YH!AS148="","",IF(coder1_YH!AS148=coder2_NY_MT!AM149,1,0))</f>
        <v>1</v>
      </c>
      <c r="AL149" s="20" t="str">
        <f>IF(coder1_YH!AZ148="","",IF(coder1_YH!AZ148=coder2_NY_MT!AT149,1,0))</f>
        <v/>
      </c>
      <c r="AM149" s="20" t="str">
        <f>IF(coder1_YH!BA148="","",IF(coder1_YH!BA148=coder2_NY_MT!AU149,1,0))</f>
        <v/>
      </c>
      <c r="AN149" s="2"/>
    </row>
    <row r="150" spans="1:40" s="20" customFormat="1" ht="17" hidden="1" customHeight="1" x14ac:dyDescent="0.2">
      <c r="A150" s="20" t="str">
        <f>IF(coder1_YH!G149="","",IF(coder1_YH!G149=coder2_NY_MT!A150,1,0))</f>
        <v/>
      </c>
      <c r="B150" s="20" t="str">
        <f>IF(coder1_YH!H149="","",IF(RIGHT(coder1_YH!H149,2)=RIGHT(coder2_NY_MT!B150,2),1,0))</f>
        <v/>
      </c>
      <c r="C150" s="20" t="str">
        <f>IF(coder1_YH!I149="","",IF(coder1_YH!I149=coder2_NY_MT!C150,1,0))</f>
        <v/>
      </c>
      <c r="E150" s="20" t="str">
        <f>IF(coder1_YH!K149="","",IF(coder1_YH!K149=coder2_NY_MT!E150,1,0))</f>
        <v/>
      </c>
      <c r="F150" s="20" t="str">
        <f>IF(coder1_YH!L149="","",IF(coder1_YH!L149=coder2_NY_MT!F150,1,0))</f>
        <v/>
      </c>
      <c r="G150" s="20" t="str">
        <f>IF(coder1_YH!M149="","",IF(coder1_YH!M149=coder2_NY_MT!G150,1,0))</f>
        <v/>
      </c>
      <c r="H150" s="20">
        <f>IF(coder1_YH!P149="","",IF(RIGHT(coder1_YH!P149,3)=RIGHT(coder2_NY_MT!J150,3),1,0))</f>
        <v>0</v>
      </c>
      <c r="I150" s="20">
        <f>IF(H150="","",IF(OR(coder2_NY_MT!K150="", coder1_YH!Q149 = ""),0,1))</f>
        <v>1</v>
      </c>
      <c r="J150" s="20">
        <f>IF(coder1_YH!R149="","",IF(coder1_YH!R149=coder2_NY_MT!L150,1,0))</f>
        <v>1</v>
      </c>
      <c r="K150" s="20">
        <f>IF(coder1_YH!S149="","",IF(coder1_YH!S149=coder2_NY_MT!M150,1,0))</f>
        <v>1</v>
      </c>
      <c r="L150" s="20">
        <f>IF(coder1_YH!T149="","",IF(coder1_YH!T149=coder2_NY_MT!N150,1,0))</f>
        <v>1</v>
      </c>
      <c r="M150" s="20">
        <f>IF(coder1_YH!U149="","",IF(coder1_YH!U149=coder2_NY_MT!O150,1,0))</f>
        <v>1</v>
      </c>
      <c r="N150" s="20">
        <f>IF(coder1_YH!V149="","",IF(coder1_YH!V149=coder2_NY_MT!P150,1,0))</f>
        <v>1</v>
      </c>
      <c r="O150" s="20">
        <f>IF(coder1_YH!W149="","",IF(coder1_YH!W149=coder2_NY_MT!Q150,1,0))</f>
        <v>1</v>
      </c>
      <c r="P150" s="20">
        <f>IF(coder1_YH!X149="","",IF(coder1_YH!X149=coder2_NY_MT!R150,1,0))</f>
        <v>1</v>
      </c>
      <c r="Q150" s="20">
        <f>IF(coder1_YH!Y149="","",IF(coder1_YH!Y149=coder2_NY_MT!S150,1,0))</f>
        <v>1</v>
      </c>
      <c r="R150" s="20">
        <f>IF(coder1_YH!Z149="","",IF(coder1_YH!Z149=coder2_NY_MT!T150,1,0))</f>
        <v>1</v>
      </c>
      <c r="S150" s="20">
        <f>IF(R150="","",IF(OR(coder2_NY_MT!U150="", coder1_YH!AA149 = ""),0,1))</f>
        <v>1</v>
      </c>
      <c r="T150" s="20">
        <f>IF(coder1_YH!AB149="","",IF(coder1_YH!AB149=coder2_NY_MT!V150,1,0))</f>
        <v>1</v>
      </c>
      <c r="U150" s="20">
        <f>IF(coder1_YH!AC149="","",IF(coder1_YH!AC149=coder2_NY_MT!W150,1,0))</f>
        <v>1</v>
      </c>
      <c r="V150" s="20">
        <f>IF(coder1_YH!AD149="","",IF(coder1_YH!AD149=coder2_NY_MT!X150,1,0))</f>
        <v>1</v>
      </c>
      <c r="W150" s="20">
        <f>IF(coder1_YH!AE149="","",IF(coder1_YH!AE149=coder2_NY_MT!Y150,1,0))</f>
        <v>1</v>
      </c>
      <c r="X150" s="20">
        <f>IF(coder1_YH!AF149="","",IF(coder1_YH!AF149=coder2_NY_MT!Z150,1,0))</f>
        <v>1</v>
      </c>
      <c r="Y150" s="20">
        <f>IF(coder1_YH!AG149="","",IF(coder1_YH!AG149=coder2_NY_MT!AA150,1,0))</f>
        <v>1</v>
      </c>
      <c r="Z150" s="20">
        <f>IF(coder1_YH!AH149="","",IF(coder1_YH!AH149=coder2_NY_MT!AB150,1,0))</f>
        <v>1</v>
      </c>
      <c r="AA150" s="20">
        <f>IF(coder1_YH!AI149="","",IF(coder1_YH!AI149=coder2_NY_MT!AC150,1,0))</f>
        <v>1</v>
      </c>
      <c r="AB150" s="20">
        <f>IF(OR(coder2_NY_MT!AD149="", coder1_YH!AJ149 = ""),0,1)</f>
        <v>1</v>
      </c>
      <c r="AC150" s="20">
        <f>IF(coder1_YH!AK149="","",IF(coder1_YH!AK149=coder2_NY_MT!AE150,1,0))</f>
        <v>1</v>
      </c>
      <c r="AD150" s="20">
        <f>IF(OR(coder2_NY_MT!AF150="", coder1_YH!AL149 = ""),0,1)</f>
        <v>1</v>
      </c>
      <c r="AF150" s="20">
        <f>IF(coder1_YH!AN149="","",IF(coder1_YH!AN149=coder2_NY_MT!AH150,1,0))</f>
        <v>1</v>
      </c>
      <c r="AG150" s="20">
        <f>IF(coder1_YH!AO149="","",IF(coder1_YH!AO149=coder2_NY_MT!AI150,1,0))</f>
        <v>1</v>
      </c>
      <c r="AH150" s="20">
        <f>IF(coder1_YH!AP149="","",IF(coder1_YH!AP149=coder2_NY_MT!AJ150,1,0))</f>
        <v>1</v>
      </c>
      <c r="AI150" s="20">
        <f>IF(coder1_YH!AQ149="","",IF(coder1_YH!AQ149=coder2_NY_MT!AK150,1,0))</f>
        <v>1</v>
      </c>
      <c r="AJ150" s="20">
        <f>IF(coder1_YH!AR149="","",IF(coder1_YH!AR149=coder2_NY_MT!AL150,1,0))</f>
        <v>1</v>
      </c>
      <c r="AK150" s="20">
        <f>IF(coder1_YH!AS149="","",IF(coder1_YH!AS149=coder2_NY_MT!AM150,1,0))</f>
        <v>1</v>
      </c>
      <c r="AL150" s="20" t="str">
        <f>IF(coder1_YH!AZ149="","",IF(coder1_YH!AZ149=coder2_NY_MT!AT150,1,0))</f>
        <v/>
      </c>
      <c r="AM150" s="20" t="str">
        <f>IF(coder1_YH!BA149="","",IF(coder1_YH!BA149=coder2_NY_MT!AU150,1,0))</f>
        <v/>
      </c>
      <c r="AN150" s="2"/>
    </row>
    <row r="151" spans="1:40" s="20" customFormat="1" ht="17" hidden="1" customHeight="1" x14ac:dyDescent="0.2">
      <c r="A151" s="20">
        <f>IF(coder1_YH!G150="","",IF(coder1_YH!G150=coder2_NY_MT!A151,1,0))</f>
        <v>0</v>
      </c>
      <c r="B151" s="20">
        <f>IF(coder1_YH!H150="","",IF(RIGHT(coder1_YH!H150,2)=RIGHT(coder2_NY_MT!B151,2),1,0))</f>
        <v>0</v>
      </c>
      <c r="C151" s="20">
        <f>IF(coder1_YH!I150="","",IF(coder1_YH!I150=coder2_NY_MT!C151,1,0))</f>
        <v>0</v>
      </c>
      <c r="E151" s="20">
        <f>IF(coder1_YH!K150="","",IF(coder1_YH!K150=coder2_NY_MT!E151,1,0))</f>
        <v>0</v>
      </c>
      <c r="F151" s="20">
        <f>IF(coder1_YH!L150="","",IF(coder1_YH!L150=coder2_NY_MT!F151,1,0))</f>
        <v>0</v>
      </c>
      <c r="G151" s="20">
        <f>IF(coder1_YH!M150="","",IF(coder1_YH!M150=coder2_NY_MT!G151,1,0))</f>
        <v>0</v>
      </c>
      <c r="H151" s="20">
        <f>IF(coder1_YH!P150="","",IF(RIGHT(coder1_YH!P150,3)=RIGHT(coder2_NY_MT!J151,3),1,0))</f>
        <v>0</v>
      </c>
      <c r="I151" s="20">
        <f>IF(H151="","",IF(OR(coder2_NY_MT!K151="", coder1_YH!Q150 = ""),0,1))</f>
        <v>1</v>
      </c>
      <c r="J151" s="20">
        <f>IF(coder1_YH!R150="","",IF(coder1_YH!R150=coder2_NY_MT!L151,1,0))</f>
        <v>1</v>
      </c>
      <c r="K151" s="20">
        <f>IF(coder1_YH!S150="","",IF(coder1_YH!S150=coder2_NY_MT!M151,1,0))</f>
        <v>1</v>
      </c>
      <c r="L151" s="20">
        <f>IF(coder1_YH!T150="","",IF(coder1_YH!T150=coder2_NY_MT!N151,1,0))</f>
        <v>1</v>
      </c>
      <c r="M151" s="20">
        <f>IF(coder1_YH!U150="","",IF(coder1_YH!U150=coder2_NY_MT!O151,1,0))</f>
        <v>1</v>
      </c>
      <c r="N151" s="20">
        <f>IF(coder1_YH!V150="","",IF(coder1_YH!V150=coder2_NY_MT!P151,1,0))</f>
        <v>1</v>
      </c>
      <c r="O151" s="20">
        <f>IF(coder1_YH!W150="","",IF(coder1_YH!W150=coder2_NY_MT!Q151,1,0))</f>
        <v>1</v>
      </c>
      <c r="P151" s="20">
        <f>IF(coder1_YH!X150="","",IF(coder1_YH!X150=coder2_NY_MT!R151,1,0))</f>
        <v>1</v>
      </c>
      <c r="Q151" s="20">
        <f>IF(coder1_YH!Y150="","",IF(coder1_YH!Y150=coder2_NY_MT!S151,1,0))</f>
        <v>1</v>
      </c>
      <c r="R151" s="20">
        <f>IF(coder1_YH!Z150="","",IF(coder1_YH!Z150=coder2_NY_MT!T151,1,0))</f>
        <v>1</v>
      </c>
      <c r="S151" s="20">
        <f>IF(R151="","",IF(OR(coder2_NY_MT!U151="", coder1_YH!AA150 = ""),0,1))</f>
        <v>1</v>
      </c>
      <c r="T151" s="20">
        <f>IF(coder1_YH!AB150="","",IF(coder1_YH!AB150=coder2_NY_MT!V151,1,0))</f>
        <v>1</v>
      </c>
      <c r="U151" s="20">
        <f>IF(coder1_YH!AC150="","",IF(coder1_YH!AC150=coder2_NY_MT!W151,1,0))</f>
        <v>1</v>
      </c>
      <c r="V151" s="20">
        <f>IF(coder1_YH!AD150="","",IF(coder1_YH!AD150=coder2_NY_MT!X151,1,0))</f>
        <v>1</v>
      </c>
      <c r="W151" s="20">
        <f>IF(coder1_YH!AE150="","",IF(coder1_YH!AE150=coder2_NY_MT!Y151,1,0))</f>
        <v>1</v>
      </c>
      <c r="X151" s="20">
        <f>IF(coder1_YH!AF150="","",IF(coder1_YH!AF150=coder2_NY_MT!Z151,1,0))</f>
        <v>1</v>
      </c>
      <c r="Y151" s="20">
        <f>IF(coder1_YH!AG150="","",IF(coder1_YH!AG150=coder2_NY_MT!AA151,1,0))</f>
        <v>1</v>
      </c>
      <c r="Z151" s="20">
        <f>IF(coder1_YH!AH150="","",IF(coder1_YH!AH150=coder2_NY_MT!AB151,1,0))</f>
        <v>1</v>
      </c>
      <c r="AA151" s="20">
        <f>IF(coder1_YH!AI150="","",IF(coder1_YH!AI150=coder2_NY_MT!AC151,1,0))</f>
        <v>1</v>
      </c>
      <c r="AB151" s="20">
        <f>IF(OR(coder2_NY_MT!AD150="", coder1_YH!AJ150 = ""),0,1)</f>
        <v>1</v>
      </c>
      <c r="AC151" s="20">
        <f>IF(coder1_YH!AK150="","",IF(coder1_YH!AK150=coder2_NY_MT!AE151,1,0))</f>
        <v>1</v>
      </c>
      <c r="AD151" s="20">
        <f>IF(OR(coder2_NY_MT!AF151="", coder1_YH!AL150 = ""),0,1)</f>
        <v>1</v>
      </c>
      <c r="AF151" s="20">
        <f>IF(coder1_YH!AN150="","",IF(coder1_YH!AN150=coder2_NY_MT!AH151,1,0))</f>
        <v>1</v>
      </c>
      <c r="AG151" s="20">
        <f>IF(coder1_YH!AO150="","",IF(coder1_YH!AO150=coder2_NY_MT!AI151,1,0))</f>
        <v>1</v>
      </c>
      <c r="AH151" s="20">
        <f>IF(coder1_YH!AP150="","",IF(coder1_YH!AP150=coder2_NY_MT!AJ151,1,0))</f>
        <v>1</v>
      </c>
      <c r="AI151" s="20">
        <f>IF(coder1_YH!AQ150="","",IF(coder1_YH!AQ150=coder2_NY_MT!AK151,1,0))</f>
        <v>1</v>
      </c>
      <c r="AJ151" s="20">
        <f>IF(coder1_YH!AR150="","",IF(coder1_YH!AR150=coder2_NY_MT!AL151,1,0))</f>
        <v>1</v>
      </c>
      <c r="AK151" s="20">
        <f>IF(coder1_YH!AS150="","",IF(coder1_YH!AS150=coder2_NY_MT!AM151,1,0))</f>
        <v>1</v>
      </c>
      <c r="AL151" s="20" t="str">
        <f>IF(coder1_YH!AZ150="","",IF(coder1_YH!AZ150=coder2_NY_MT!AT151,1,0))</f>
        <v/>
      </c>
      <c r="AM151" s="20" t="str">
        <f>IF(coder1_YH!BA150="","",IF(coder1_YH!BA150=coder2_NY_MT!AU151,1,0))</f>
        <v/>
      </c>
      <c r="AN151" s="2"/>
    </row>
    <row r="152" spans="1:40" s="20" customFormat="1" ht="17" hidden="1" customHeight="1" x14ac:dyDescent="0.2">
      <c r="A152" s="20" t="str">
        <f>IF(coder1_YH!G151="","",IF(coder1_YH!G151=coder2_NY_MT!A152,1,0))</f>
        <v/>
      </c>
      <c r="B152" s="20" t="str">
        <f>IF(coder1_YH!H151="","",IF(RIGHT(coder1_YH!H151,2)=RIGHT(coder2_NY_MT!B152,2),1,0))</f>
        <v/>
      </c>
      <c r="C152" s="20" t="str">
        <f>IF(coder1_YH!I151="","",IF(coder1_YH!I151=coder2_NY_MT!C152,1,0))</f>
        <v/>
      </c>
      <c r="E152" s="20" t="str">
        <f>IF(coder1_YH!K151="","",IF(coder1_YH!K151=coder2_NY_MT!E152,1,0))</f>
        <v/>
      </c>
      <c r="F152" s="20" t="str">
        <f>IF(coder1_YH!L151="","",IF(coder1_YH!L151=coder2_NY_MT!F152,1,0))</f>
        <v/>
      </c>
      <c r="G152" s="20" t="str">
        <f>IF(coder1_YH!M151="","",IF(coder1_YH!M151=coder2_NY_MT!G152,1,0))</f>
        <v/>
      </c>
      <c r="H152" s="20">
        <f>IF(coder1_YH!P151="","",IF(RIGHT(coder1_YH!P151,3)=RIGHT(coder2_NY_MT!J152,3),1,0))</f>
        <v>0</v>
      </c>
      <c r="I152" s="20">
        <f>IF(H152="","",IF(OR(coder2_NY_MT!K152="", coder1_YH!Q151 = ""),0,1))</f>
        <v>1</v>
      </c>
      <c r="J152" s="20">
        <f>IF(coder1_YH!R151="","",IF(coder1_YH!R151=coder2_NY_MT!L152,1,0))</f>
        <v>1</v>
      </c>
      <c r="K152" s="20">
        <f>IF(coder1_YH!S151="","",IF(coder1_YH!S151=coder2_NY_MT!M152,1,0))</f>
        <v>1</v>
      </c>
      <c r="L152" s="20">
        <f>IF(coder1_YH!T151="","",IF(coder1_YH!T151=coder2_NY_MT!N152,1,0))</f>
        <v>1</v>
      </c>
      <c r="M152" s="20">
        <f>IF(coder1_YH!U151="","",IF(coder1_YH!U151=coder2_NY_MT!O152,1,0))</f>
        <v>1</v>
      </c>
      <c r="N152" s="20">
        <f>IF(coder1_YH!V151="","",IF(coder1_YH!V151=coder2_NY_MT!P152,1,0))</f>
        <v>1</v>
      </c>
      <c r="O152" s="20">
        <f>IF(coder1_YH!W151="","",IF(coder1_YH!W151=coder2_NY_MT!Q152,1,0))</f>
        <v>1</v>
      </c>
      <c r="P152" s="20">
        <f>IF(coder1_YH!X151="","",IF(coder1_YH!X151=coder2_NY_MT!R152,1,0))</f>
        <v>1</v>
      </c>
      <c r="Q152" s="20">
        <f>IF(coder1_YH!Y151="","",IF(coder1_YH!Y151=coder2_NY_MT!S152,1,0))</f>
        <v>1</v>
      </c>
      <c r="R152" s="20">
        <f>IF(coder1_YH!Z151="","",IF(coder1_YH!Z151=coder2_NY_MT!T152,1,0))</f>
        <v>1</v>
      </c>
      <c r="S152" s="20">
        <f>IF(R152="","",IF(OR(coder2_NY_MT!U152="", coder1_YH!AA151 = ""),0,1))</f>
        <v>1</v>
      </c>
      <c r="T152" s="20">
        <f>IF(coder1_YH!AB151="","",IF(coder1_YH!AB151=coder2_NY_MT!V152,1,0))</f>
        <v>1</v>
      </c>
      <c r="U152" s="20">
        <f>IF(coder1_YH!AC151="","",IF(coder1_YH!AC151=coder2_NY_MT!W152,1,0))</f>
        <v>1</v>
      </c>
      <c r="V152" s="20">
        <f>IF(coder1_YH!AD151="","",IF(coder1_YH!AD151=coder2_NY_MT!X152,1,0))</f>
        <v>1</v>
      </c>
      <c r="W152" s="20">
        <f>IF(coder1_YH!AE151="","",IF(coder1_YH!AE151=coder2_NY_MT!Y152,1,0))</f>
        <v>1</v>
      </c>
      <c r="X152" s="20">
        <f>IF(coder1_YH!AF151="","",IF(coder1_YH!AF151=coder2_NY_MT!Z152,1,0))</f>
        <v>1</v>
      </c>
      <c r="Y152" s="20">
        <f>IF(coder1_YH!AG151="","",IF(coder1_YH!AG151=coder2_NY_MT!AA152,1,0))</f>
        <v>1</v>
      </c>
      <c r="Z152" s="20">
        <f>IF(coder1_YH!AH151="","",IF(coder1_YH!AH151=coder2_NY_MT!AB152,1,0))</f>
        <v>1</v>
      </c>
      <c r="AA152" s="20">
        <f>IF(coder1_YH!AI151="","",IF(coder1_YH!AI151=coder2_NY_MT!AC152,1,0))</f>
        <v>1</v>
      </c>
      <c r="AB152" s="20">
        <f>IF(OR(coder2_NY_MT!AD151="", coder1_YH!AJ151 = ""),0,1)</f>
        <v>1</v>
      </c>
      <c r="AC152" s="20">
        <f>IF(coder1_YH!AK151="","",IF(coder1_YH!AK151=coder2_NY_MT!AE152,1,0))</f>
        <v>1</v>
      </c>
      <c r="AD152" s="20">
        <f>IF(OR(coder2_NY_MT!AF152="", coder1_YH!AL151 = ""),0,1)</f>
        <v>1</v>
      </c>
      <c r="AF152" s="20">
        <f>IF(coder1_YH!AN151="","",IF(coder1_YH!AN151=coder2_NY_MT!AH152,1,0))</f>
        <v>1</v>
      </c>
      <c r="AG152" s="20">
        <f>IF(coder1_YH!AO151="","",IF(coder1_YH!AO151=coder2_NY_MT!AI152,1,0))</f>
        <v>1</v>
      </c>
      <c r="AH152" s="20">
        <f>IF(coder1_YH!AP151="","",IF(coder1_YH!AP151=coder2_NY_MT!AJ152,1,0))</f>
        <v>1</v>
      </c>
      <c r="AI152" s="20">
        <f>IF(coder1_YH!AQ151="","",IF(coder1_YH!AQ151=coder2_NY_MT!AK152,1,0))</f>
        <v>1</v>
      </c>
      <c r="AJ152" s="20">
        <f>IF(coder1_YH!AR151="","",IF(coder1_YH!AR151=coder2_NY_MT!AL152,1,0))</f>
        <v>1</v>
      </c>
      <c r="AK152" s="20">
        <f>IF(coder1_YH!AS151="","",IF(coder1_YH!AS151=coder2_NY_MT!AM152,1,0))</f>
        <v>1</v>
      </c>
      <c r="AL152" s="20" t="str">
        <f>IF(coder1_YH!AZ151="","",IF(coder1_YH!AZ151=coder2_NY_MT!AT152,1,0))</f>
        <v/>
      </c>
      <c r="AM152" s="20" t="str">
        <f>IF(coder1_YH!BA151="","",IF(coder1_YH!BA151=coder2_NY_MT!AU152,1,0))</f>
        <v/>
      </c>
      <c r="AN152" s="2"/>
    </row>
    <row r="153" spans="1:40" s="20" customFormat="1" ht="17" hidden="1" customHeight="1" x14ac:dyDescent="0.2">
      <c r="A153" s="20">
        <f>IF(coder1_YH!G152="","",IF(coder1_YH!G152=coder2_NY_MT!A153,1,0))</f>
        <v>0</v>
      </c>
      <c r="B153" s="20">
        <f>IF(coder1_YH!H152="","",IF(RIGHT(coder1_YH!H152,2)=RIGHT(coder2_NY_MT!B153,2),1,0))</f>
        <v>0</v>
      </c>
      <c r="C153" s="20">
        <f>IF(coder1_YH!I152="","",IF(coder1_YH!I152=coder2_NY_MT!C153,1,0))</f>
        <v>0</v>
      </c>
      <c r="E153" s="20">
        <f>IF(coder1_YH!K152="","",IF(coder1_YH!K152=coder2_NY_MT!E153,1,0))</f>
        <v>0</v>
      </c>
      <c r="F153" s="20">
        <f>IF(coder1_YH!L152="","",IF(coder1_YH!L152=coder2_NY_MT!F153,1,0))</f>
        <v>0</v>
      </c>
      <c r="G153" s="20">
        <f>IF(coder1_YH!M152="","",IF(coder1_YH!M152=coder2_NY_MT!G153,1,0))</f>
        <v>0</v>
      </c>
      <c r="H153" s="20">
        <f>IF(coder1_YH!P152="","",IF(RIGHT(coder1_YH!P152,3)=RIGHT(coder2_NY_MT!J153,3),1,0))</f>
        <v>0</v>
      </c>
      <c r="I153" s="20">
        <f>IF(H153="","",IF(OR(coder2_NY_MT!K153="", coder1_YH!Q152 = ""),0,1))</f>
        <v>1</v>
      </c>
      <c r="J153" s="20">
        <f>IF(coder1_YH!R152="","",IF(coder1_YH!R152=coder2_NY_MT!L153,1,0))</f>
        <v>1</v>
      </c>
      <c r="K153" s="20">
        <f>IF(coder1_YH!S152="","",IF(coder1_YH!S152=coder2_NY_MT!M153,1,0))</f>
        <v>1</v>
      </c>
      <c r="L153" s="20">
        <f>IF(coder1_YH!T152="","",IF(coder1_YH!T152=coder2_NY_MT!N153,1,0))</f>
        <v>1</v>
      </c>
      <c r="M153" s="20">
        <f>IF(coder1_YH!U152="","",IF(coder1_YH!U152=coder2_NY_MT!O153,1,0))</f>
        <v>1</v>
      </c>
      <c r="N153" s="20">
        <f>IF(coder1_YH!V152="","",IF(coder1_YH!V152=coder2_NY_MT!P153,1,0))</f>
        <v>1</v>
      </c>
      <c r="O153" s="20">
        <f>IF(coder1_YH!W152="","",IF(coder1_YH!W152=coder2_NY_MT!Q153,1,0))</f>
        <v>1</v>
      </c>
      <c r="P153" s="20">
        <f>IF(coder1_YH!X152="","",IF(coder1_YH!X152=coder2_NY_MT!R153,1,0))</f>
        <v>1</v>
      </c>
      <c r="Q153" s="20">
        <f>IF(coder1_YH!Y152="","",IF(coder1_YH!Y152=coder2_NY_MT!S153,1,0))</f>
        <v>1</v>
      </c>
      <c r="R153" s="20">
        <f>IF(coder1_YH!Z152="","",IF(coder1_YH!Z152=coder2_NY_MT!T153,1,0))</f>
        <v>1</v>
      </c>
      <c r="S153" s="20">
        <f>IF(R153="","",IF(OR(coder2_NY_MT!U153="", coder1_YH!AA152 = ""),0,1))</f>
        <v>1</v>
      </c>
      <c r="T153" s="20">
        <f>IF(coder1_YH!AB152="","",IF(coder1_YH!AB152=coder2_NY_MT!V153,1,0))</f>
        <v>1</v>
      </c>
      <c r="U153" s="20">
        <f>IF(coder1_YH!AC152="","",IF(coder1_YH!AC152=coder2_NY_MT!W153,1,0))</f>
        <v>1</v>
      </c>
      <c r="V153" s="20">
        <f>IF(coder1_YH!AD152="","",IF(coder1_YH!AD152=coder2_NY_MT!X153,1,0))</f>
        <v>1</v>
      </c>
      <c r="W153" s="20">
        <f>IF(coder1_YH!AE152="","",IF(coder1_YH!AE152=coder2_NY_MT!Y153,1,0))</f>
        <v>1</v>
      </c>
      <c r="X153" s="20">
        <f>IF(coder1_YH!AF152="","",IF(coder1_YH!AF152=coder2_NY_MT!Z153,1,0))</f>
        <v>1</v>
      </c>
      <c r="Y153" s="20">
        <f>IF(coder1_YH!AG152="","",IF(coder1_YH!AG152=coder2_NY_MT!AA153,1,0))</f>
        <v>1</v>
      </c>
      <c r="Z153" s="20">
        <f>IF(coder1_YH!AH152="","",IF(coder1_YH!AH152=coder2_NY_MT!AB153,1,0))</f>
        <v>1</v>
      </c>
      <c r="AA153" s="20">
        <f>IF(coder1_YH!AI152="","",IF(coder1_YH!AI152=coder2_NY_MT!AC153,1,0))</f>
        <v>1</v>
      </c>
      <c r="AB153" s="20">
        <f>IF(OR(coder2_NY_MT!AD152="", coder1_YH!AJ152 = ""),0,1)</f>
        <v>1</v>
      </c>
      <c r="AC153" s="20">
        <f>IF(coder1_YH!AK152="","",IF(coder1_YH!AK152=coder2_NY_MT!AE153,1,0))</f>
        <v>1</v>
      </c>
      <c r="AD153" s="20">
        <f>IF(OR(coder2_NY_MT!AF153="", coder1_YH!AL152 = ""),0,1)</f>
        <v>1</v>
      </c>
      <c r="AF153" s="20">
        <f>IF(coder1_YH!AN152="","",IF(coder1_YH!AN152=coder2_NY_MT!AH153,1,0))</f>
        <v>1</v>
      </c>
      <c r="AG153" s="20">
        <f>IF(coder1_YH!AO152="","",IF(coder1_YH!AO152=coder2_NY_MT!AI153,1,0))</f>
        <v>1</v>
      </c>
      <c r="AH153" s="20">
        <f>IF(coder1_YH!AP152="","",IF(coder1_YH!AP152=coder2_NY_MT!AJ153,1,0))</f>
        <v>1</v>
      </c>
      <c r="AI153" s="20">
        <f>IF(coder1_YH!AQ152="","",IF(coder1_YH!AQ152=coder2_NY_MT!AK153,1,0))</f>
        <v>1</v>
      </c>
      <c r="AJ153" s="20">
        <f>IF(coder1_YH!AR152="","",IF(coder1_YH!AR152=coder2_NY_MT!AL153,1,0))</f>
        <v>1</v>
      </c>
      <c r="AK153" s="20">
        <f>IF(coder1_YH!AS152="","",IF(coder1_YH!AS152=coder2_NY_MT!AM153,1,0))</f>
        <v>1</v>
      </c>
      <c r="AL153" s="20" t="str">
        <f>IF(coder1_YH!AZ152="","",IF(coder1_YH!AZ152=coder2_NY_MT!AT153,1,0))</f>
        <v/>
      </c>
      <c r="AM153" s="20" t="str">
        <f>IF(coder1_YH!BA152="","",IF(coder1_YH!BA152=coder2_NY_MT!AU153,1,0))</f>
        <v/>
      </c>
      <c r="AN153" s="2"/>
    </row>
    <row r="154" spans="1:40" s="20" customFormat="1" ht="17" hidden="1" customHeight="1" x14ac:dyDescent="0.2">
      <c r="A154" s="20" t="str">
        <f>IF(coder1_YH!G153="","",IF(coder1_YH!G153=coder2_NY_MT!A154,1,0))</f>
        <v/>
      </c>
      <c r="B154" s="20" t="str">
        <f>IF(coder1_YH!H153="","",IF(RIGHT(coder1_YH!H153,2)=RIGHT(coder2_NY_MT!B154,2),1,0))</f>
        <v/>
      </c>
      <c r="C154" s="20" t="str">
        <f>IF(coder1_YH!I153="","",IF(coder1_YH!I153=coder2_NY_MT!C154,1,0))</f>
        <v/>
      </c>
      <c r="E154" s="20" t="str">
        <f>IF(coder1_YH!K153="","",IF(coder1_YH!K153=coder2_NY_MT!E154,1,0))</f>
        <v/>
      </c>
      <c r="F154" s="20" t="str">
        <f>IF(coder1_YH!L153="","",IF(coder1_YH!L153=coder2_NY_MT!F154,1,0))</f>
        <v/>
      </c>
      <c r="G154" s="20" t="str">
        <f>IF(coder1_YH!M153="","",IF(coder1_YH!M153=coder2_NY_MT!G154,1,0))</f>
        <v/>
      </c>
      <c r="H154" s="20">
        <f>IF(coder1_YH!P153="","",IF(RIGHT(coder1_YH!P153,3)=RIGHT(coder2_NY_MT!J154,3),1,0))</f>
        <v>0</v>
      </c>
      <c r="I154" s="20">
        <f>IF(H154="","",IF(OR(coder2_NY_MT!K154="", coder1_YH!Q153 = ""),0,1))</f>
        <v>1</v>
      </c>
      <c r="J154" s="20">
        <f>IF(coder1_YH!R153="","",IF(coder1_YH!R153=coder2_NY_MT!L154,1,0))</f>
        <v>1</v>
      </c>
      <c r="K154" s="20">
        <f>IF(coder1_YH!S153="","",IF(coder1_YH!S153=coder2_NY_MT!M154,1,0))</f>
        <v>1</v>
      </c>
      <c r="L154" s="20">
        <f>IF(coder1_YH!T153="","",IF(coder1_YH!T153=coder2_NY_MT!N154,1,0))</f>
        <v>1</v>
      </c>
      <c r="M154" s="20">
        <f>IF(coder1_YH!U153="","",IF(coder1_YH!U153=coder2_NY_MT!O154,1,0))</f>
        <v>1</v>
      </c>
      <c r="N154" s="20">
        <f>IF(coder1_YH!V153="","",IF(coder1_YH!V153=coder2_NY_MT!P154,1,0))</f>
        <v>1</v>
      </c>
      <c r="O154" s="20">
        <f>IF(coder1_YH!W153="","",IF(coder1_YH!W153=coder2_NY_MT!Q154,1,0))</f>
        <v>1</v>
      </c>
      <c r="P154" s="20">
        <f>IF(coder1_YH!X153="","",IF(coder1_YH!X153=coder2_NY_MT!R154,1,0))</f>
        <v>1</v>
      </c>
      <c r="Q154" s="20">
        <f>IF(coder1_YH!Y153="","",IF(coder1_YH!Y153=coder2_NY_MT!S154,1,0))</f>
        <v>1</v>
      </c>
      <c r="R154" s="20">
        <f>IF(coder1_YH!Z153="","",IF(coder1_YH!Z153=coder2_NY_MT!T154,1,0))</f>
        <v>1</v>
      </c>
      <c r="S154" s="20">
        <f>IF(R154="","",IF(OR(coder2_NY_MT!U154="", coder1_YH!AA153 = ""),0,1))</f>
        <v>1</v>
      </c>
      <c r="T154" s="20">
        <f>IF(coder1_YH!AB153="","",IF(coder1_YH!AB153=coder2_NY_MT!V154,1,0))</f>
        <v>1</v>
      </c>
      <c r="U154" s="20">
        <f>IF(coder1_YH!AC153="","",IF(coder1_YH!AC153=coder2_NY_MT!W154,1,0))</f>
        <v>1</v>
      </c>
      <c r="V154" s="20">
        <f>IF(coder1_YH!AD153="","",IF(coder1_YH!AD153=coder2_NY_MT!X154,1,0))</f>
        <v>1</v>
      </c>
      <c r="W154" s="20">
        <f>IF(coder1_YH!AE153="","",IF(coder1_YH!AE153=coder2_NY_MT!Y154,1,0))</f>
        <v>1</v>
      </c>
      <c r="X154" s="20">
        <f>IF(coder1_YH!AF153="","",IF(coder1_YH!AF153=coder2_NY_MT!Z154,1,0))</f>
        <v>1</v>
      </c>
      <c r="Y154" s="20">
        <f>IF(coder1_YH!AG153="","",IF(coder1_YH!AG153=coder2_NY_MT!AA154,1,0))</f>
        <v>1</v>
      </c>
      <c r="Z154" s="20">
        <f>IF(coder1_YH!AH153="","",IF(coder1_YH!AH153=coder2_NY_MT!AB154,1,0))</f>
        <v>1</v>
      </c>
      <c r="AA154" s="20">
        <f>IF(coder1_YH!AI153="","",IF(coder1_YH!AI153=coder2_NY_MT!AC154,1,0))</f>
        <v>1</v>
      </c>
      <c r="AB154" s="20">
        <f>IF(OR(coder2_NY_MT!AD153="", coder1_YH!AJ153 = ""),0,1)</f>
        <v>1</v>
      </c>
      <c r="AC154" s="20">
        <f>IF(coder1_YH!AK153="","",IF(coder1_YH!AK153=coder2_NY_MT!AE154,1,0))</f>
        <v>1</v>
      </c>
      <c r="AD154" s="20">
        <f>IF(OR(coder2_NY_MT!AF154="", coder1_YH!AL153 = ""),0,1)</f>
        <v>1</v>
      </c>
      <c r="AF154" s="20">
        <f>IF(coder1_YH!AN153="","",IF(coder1_YH!AN153=coder2_NY_MT!AH154,1,0))</f>
        <v>1</v>
      </c>
      <c r="AG154" s="20">
        <f>IF(coder1_YH!AO153="","",IF(coder1_YH!AO153=coder2_NY_MT!AI154,1,0))</f>
        <v>1</v>
      </c>
      <c r="AH154" s="20">
        <f>IF(coder1_YH!AP153="","",IF(coder1_YH!AP153=coder2_NY_MT!AJ154,1,0))</f>
        <v>1</v>
      </c>
      <c r="AI154" s="20">
        <f>IF(coder1_YH!AQ153="","",IF(coder1_YH!AQ153=coder2_NY_MT!AK154,1,0))</f>
        <v>1</v>
      </c>
      <c r="AJ154" s="20">
        <f>IF(coder1_YH!AR153="","",IF(coder1_YH!AR153=coder2_NY_MT!AL154,1,0))</f>
        <v>1</v>
      </c>
      <c r="AK154" s="20">
        <f>IF(coder1_YH!AS153="","",IF(coder1_YH!AS153=coder2_NY_MT!AM154,1,0))</f>
        <v>1</v>
      </c>
      <c r="AL154" s="20" t="str">
        <f>IF(coder1_YH!AZ153="","",IF(coder1_YH!AZ153=coder2_NY_MT!AT154,1,0))</f>
        <v/>
      </c>
      <c r="AM154" s="20" t="str">
        <f>IF(coder1_YH!BA153="","",IF(coder1_YH!BA153=coder2_NY_MT!AU154,1,0))</f>
        <v/>
      </c>
      <c r="AN154" s="2"/>
    </row>
    <row r="155" spans="1:40" s="20" customFormat="1" ht="17" hidden="1" customHeight="1" x14ac:dyDescent="0.2">
      <c r="A155" s="20">
        <f>IF(coder1_YH!G154="","",IF(coder1_YH!G154=coder2_NY_MT!A155,1,0))</f>
        <v>0</v>
      </c>
      <c r="B155" s="20">
        <f>IF(coder1_YH!H154="","",IF(RIGHT(coder1_YH!H154,2)=RIGHT(coder2_NY_MT!B155,2),1,0))</f>
        <v>0</v>
      </c>
      <c r="C155" s="20">
        <f>IF(coder1_YH!I154="","",IF(coder1_YH!I154=coder2_NY_MT!C155,1,0))</f>
        <v>0</v>
      </c>
      <c r="E155" s="20">
        <f>IF(coder1_YH!K154="","",IF(coder1_YH!K154=coder2_NY_MT!E155,1,0))</f>
        <v>0</v>
      </c>
      <c r="F155" s="20">
        <f>IF(coder1_YH!L154="","",IF(coder1_YH!L154=coder2_NY_MT!F155,1,0))</f>
        <v>0</v>
      </c>
      <c r="G155" s="20">
        <f>IF(coder1_YH!M154="","",IF(coder1_YH!M154=coder2_NY_MT!G155,1,0))</f>
        <v>0</v>
      </c>
      <c r="H155" s="20">
        <f>IF(coder1_YH!P154="","",IF(RIGHT(coder1_YH!P154,3)=RIGHT(coder2_NY_MT!J155,3),1,0))</f>
        <v>0</v>
      </c>
      <c r="I155" s="20">
        <f>IF(H155="","",IF(OR(coder2_NY_MT!K155="", coder1_YH!Q154 = ""),0,1))</f>
        <v>1</v>
      </c>
      <c r="J155" s="20">
        <f>IF(coder1_YH!R154="","",IF(coder1_YH!R154=coder2_NY_MT!L155,1,0))</f>
        <v>1</v>
      </c>
      <c r="K155" s="20">
        <f>IF(coder1_YH!S154="","",IF(coder1_YH!S154=coder2_NY_MT!M155,1,0))</f>
        <v>1</v>
      </c>
      <c r="L155" s="20">
        <f>IF(coder1_YH!T154="","",IF(coder1_YH!T154=coder2_NY_MT!N155,1,0))</f>
        <v>1</v>
      </c>
      <c r="M155" s="20">
        <f>IF(coder1_YH!U154="","",IF(coder1_YH!U154=coder2_NY_MT!O155,1,0))</f>
        <v>1</v>
      </c>
      <c r="N155" s="20">
        <f>IF(coder1_YH!V154="","",IF(coder1_YH!V154=coder2_NY_MT!P155,1,0))</f>
        <v>1</v>
      </c>
      <c r="O155" s="20">
        <f>IF(coder1_YH!W154="","",IF(coder1_YH!W154=coder2_NY_MT!Q155,1,0))</f>
        <v>1</v>
      </c>
      <c r="P155" s="20">
        <f>IF(coder1_YH!X154="","",IF(coder1_YH!X154=coder2_NY_MT!R155,1,0))</f>
        <v>1</v>
      </c>
      <c r="Q155" s="20">
        <f>IF(coder1_YH!Y154="","",IF(coder1_YH!Y154=coder2_NY_MT!S155,1,0))</f>
        <v>1</v>
      </c>
      <c r="R155" s="20">
        <f>IF(coder1_YH!Z154="","",IF(coder1_YH!Z154=coder2_NY_MT!T155,1,0))</f>
        <v>1</v>
      </c>
      <c r="S155" s="20">
        <f>IF(R155="","",IF(OR(coder2_NY_MT!U155="", coder1_YH!AA154 = ""),0,1))</f>
        <v>1</v>
      </c>
      <c r="T155" s="20">
        <f>IF(coder1_YH!AB154="","",IF(coder1_YH!AB154=coder2_NY_MT!V155,1,0))</f>
        <v>1</v>
      </c>
      <c r="U155" s="20">
        <f>IF(coder1_YH!AC154="","",IF(coder1_YH!AC154=coder2_NY_MT!W155,1,0))</f>
        <v>1</v>
      </c>
      <c r="V155" s="20">
        <f>IF(coder1_YH!AD154="","",IF(coder1_YH!AD154=coder2_NY_MT!X155,1,0))</f>
        <v>1</v>
      </c>
      <c r="W155" s="20">
        <f>IF(coder1_YH!AE154="","",IF(coder1_YH!AE154=coder2_NY_MT!Y155,1,0))</f>
        <v>1</v>
      </c>
      <c r="X155" s="20">
        <f>IF(coder1_YH!AF154="","",IF(coder1_YH!AF154=coder2_NY_MT!Z155,1,0))</f>
        <v>1</v>
      </c>
      <c r="Y155" s="20">
        <f>IF(coder1_YH!AG154="","",IF(coder1_YH!AG154=coder2_NY_MT!AA155,1,0))</f>
        <v>1</v>
      </c>
      <c r="Z155" s="20">
        <f>IF(coder1_YH!AH154="","",IF(coder1_YH!AH154=coder2_NY_MT!AB155,1,0))</f>
        <v>1</v>
      </c>
      <c r="AA155" s="20">
        <f>IF(coder1_YH!AI154="","",IF(coder1_YH!AI154=coder2_NY_MT!AC155,1,0))</f>
        <v>1</v>
      </c>
      <c r="AB155" s="20">
        <f>IF(OR(coder2_NY_MT!AD154="", coder1_YH!AJ154 = ""),0,1)</f>
        <v>1</v>
      </c>
      <c r="AC155" s="20">
        <f>IF(coder1_YH!AK154="","",IF(coder1_YH!AK154=coder2_NY_MT!AE155,1,0))</f>
        <v>1</v>
      </c>
      <c r="AD155" s="20">
        <f>IF(OR(coder2_NY_MT!AF155="", coder1_YH!AL154 = ""),0,1)</f>
        <v>1</v>
      </c>
      <c r="AF155" s="20">
        <f>IF(coder1_YH!AN154="","",IF(coder1_YH!AN154=coder2_NY_MT!AH155,1,0))</f>
        <v>1</v>
      </c>
      <c r="AG155" s="20">
        <f>IF(coder1_YH!AO154="","",IF(coder1_YH!AO154=coder2_NY_MT!AI155,1,0))</f>
        <v>1</v>
      </c>
      <c r="AH155" s="20">
        <f>IF(coder1_YH!AP154="","",IF(coder1_YH!AP154=coder2_NY_MT!AJ155,1,0))</f>
        <v>1</v>
      </c>
      <c r="AI155" s="20">
        <f>IF(coder1_YH!AQ154="","",IF(coder1_YH!AQ154=coder2_NY_MT!AK155,1,0))</f>
        <v>1</v>
      </c>
      <c r="AJ155" s="20">
        <f>IF(coder1_YH!AR154="","",IF(coder1_YH!AR154=coder2_NY_MT!AL155,1,0))</f>
        <v>1</v>
      </c>
      <c r="AK155" s="20">
        <f>IF(coder1_YH!AS154="","",IF(coder1_YH!AS154=coder2_NY_MT!AM155,1,0))</f>
        <v>1</v>
      </c>
      <c r="AL155" s="20" t="str">
        <f>IF(coder1_YH!AZ154="","",IF(coder1_YH!AZ154=coder2_NY_MT!AT155,1,0))</f>
        <v/>
      </c>
      <c r="AM155" s="20" t="str">
        <f>IF(coder1_YH!BA154="","",IF(coder1_YH!BA154=coder2_NY_MT!AU155,1,0))</f>
        <v/>
      </c>
      <c r="AN155" s="2"/>
    </row>
    <row r="156" spans="1:40" s="20" customFormat="1" ht="17" hidden="1" customHeight="1" x14ac:dyDescent="0.2">
      <c r="A156" s="20" t="str">
        <f>IF(coder1_YH!G155="","",IF(coder1_YH!G155=coder2_NY_MT!A156,1,0))</f>
        <v/>
      </c>
      <c r="B156" s="20" t="str">
        <f>IF(coder1_YH!H155="","",IF(RIGHT(coder1_YH!H155,2)=RIGHT(coder2_NY_MT!B156,2),1,0))</f>
        <v/>
      </c>
      <c r="C156" s="20" t="str">
        <f>IF(coder1_YH!I155="","",IF(coder1_YH!I155=coder2_NY_MT!C156,1,0))</f>
        <v/>
      </c>
      <c r="E156" s="20" t="str">
        <f>IF(coder1_YH!K155="","",IF(coder1_YH!K155=coder2_NY_MT!E156,1,0))</f>
        <v/>
      </c>
      <c r="F156" s="20" t="str">
        <f>IF(coder1_YH!L155="","",IF(coder1_YH!L155=coder2_NY_MT!F156,1,0))</f>
        <v/>
      </c>
      <c r="G156" s="20" t="str">
        <f>IF(coder1_YH!M155="","",IF(coder1_YH!M155=coder2_NY_MT!G156,1,0))</f>
        <v/>
      </c>
      <c r="H156" s="20">
        <f>IF(coder1_YH!P155="","",IF(RIGHT(coder1_YH!P155,3)=RIGHT(coder2_NY_MT!J156,3),1,0))</f>
        <v>0</v>
      </c>
      <c r="I156" s="20">
        <f>IF(H156="","",IF(OR(coder2_NY_MT!K156="", coder1_YH!Q155 = ""),0,1))</f>
        <v>1</v>
      </c>
      <c r="J156" s="20">
        <f>IF(coder1_YH!R155="","",IF(coder1_YH!R155=coder2_NY_MT!L156,1,0))</f>
        <v>1</v>
      </c>
      <c r="K156" s="20">
        <f>IF(coder1_YH!S155="","",IF(coder1_YH!S155=coder2_NY_MT!M156,1,0))</f>
        <v>1</v>
      </c>
      <c r="L156" s="20">
        <f>IF(coder1_YH!T155="","",IF(coder1_YH!T155=coder2_NY_MT!N156,1,0))</f>
        <v>1</v>
      </c>
      <c r="M156" s="20">
        <f>IF(coder1_YH!U155="","",IF(coder1_YH!U155=coder2_NY_MT!O156,1,0))</f>
        <v>1</v>
      </c>
      <c r="N156" s="20">
        <f>IF(coder1_YH!V155="","",IF(coder1_YH!V155=coder2_NY_MT!P156,1,0))</f>
        <v>1</v>
      </c>
      <c r="O156" s="20">
        <f>IF(coder1_YH!W155="","",IF(coder1_YH!W155=coder2_NY_MT!Q156,1,0))</f>
        <v>1</v>
      </c>
      <c r="P156" s="20">
        <f>IF(coder1_YH!X155="","",IF(coder1_YH!X155=coder2_NY_MT!R156,1,0))</f>
        <v>1</v>
      </c>
      <c r="Q156" s="20">
        <f>IF(coder1_YH!Y155="","",IF(coder1_YH!Y155=coder2_NY_MT!S156,1,0))</f>
        <v>1</v>
      </c>
      <c r="R156" s="20">
        <f>IF(coder1_YH!Z155="","",IF(coder1_YH!Z155=coder2_NY_MT!T156,1,0))</f>
        <v>1</v>
      </c>
      <c r="S156" s="20">
        <f>IF(R156="","",IF(OR(coder2_NY_MT!U156="", coder1_YH!AA155 = ""),0,1))</f>
        <v>1</v>
      </c>
      <c r="T156" s="20">
        <f>IF(coder1_YH!AB155="","",IF(coder1_YH!AB155=coder2_NY_MT!V156,1,0))</f>
        <v>1</v>
      </c>
      <c r="U156" s="20">
        <f>IF(coder1_YH!AC155="","",IF(coder1_YH!AC155=coder2_NY_MT!W156,1,0))</f>
        <v>1</v>
      </c>
      <c r="V156" s="20">
        <f>IF(coder1_YH!AD155="","",IF(coder1_YH!AD155=coder2_NY_MT!X156,1,0))</f>
        <v>1</v>
      </c>
      <c r="W156" s="20">
        <f>IF(coder1_YH!AE155="","",IF(coder1_YH!AE155=coder2_NY_MT!Y156,1,0))</f>
        <v>1</v>
      </c>
      <c r="X156" s="20">
        <f>IF(coder1_YH!AF155="","",IF(coder1_YH!AF155=coder2_NY_MT!Z156,1,0))</f>
        <v>1</v>
      </c>
      <c r="Y156" s="20">
        <f>IF(coder1_YH!AG155="","",IF(coder1_YH!AG155=coder2_NY_MT!AA156,1,0))</f>
        <v>1</v>
      </c>
      <c r="Z156" s="20">
        <f>IF(coder1_YH!AH155="","",IF(coder1_YH!AH155=coder2_NY_MT!AB156,1,0))</f>
        <v>1</v>
      </c>
      <c r="AA156" s="20">
        <f>IF(coder1_YH!AI155="","",IF(coder1_YH!AI155=coder2_NY_MT!AC156,1,0))</f>
        <v>1</v>
      </c>
      <c r="AB156" s="20">
        <f>IF(OR(coder2_NY_MT!AD155="", coder1_YH!AJ155 = ""),0,1)</f>
        <v>1</v>
      </c>
      <c r="AC156" s="20">
        <f>IF(coder1_YH!AK155="","",IF(coder1_YH!AK155=coder2_NY_MT!AE156,1,0))</f>
        <v>1</v>
      </c>
      <c r="AD156" s="20">
        <f>IF(OR(coder2_NY_MT!AF156="", coder1_YH!AL155 = ""),0,1)</f>
        <v>1</v>
      </c>
      <c r="AF156" s="20">
        <f>IF(coder1_YH!AN155="","",IF(coder1_YH!AN155=coder2_NY_MT!AH156,1,0))</f>
        <v>1</v>
      </c>
      <c r="AG156" s="20">
        <f>IF(coder1_YH!AO155="","",IF(coder1_YH!AO155=coder2_NY_MT!AI156,1,0))</f>
        <v>1</v>
      </c>
      <c r="AH156" s="20">
        <f>IF(coder1_YH!AP155="","",IF(coder1_YH!AP155=coder2_NY_MT!AJ156,1,0))</f>
        <v>1</v>
      </c>
      <c r="AI156" s="20">
        <f>IF(coder1_YH!AQ155="","",IF(coder1_YH!AQ155=coder2_NY_MT!AK156,1,0))</f>
        <v>1</v>
      </c>
      <c r="AJ156" s="20">
        <f>IF(coder1_YH!AR155="","",IF(coder1_YH!AR155=coder2_NY_MT!AL156,1,0))</f>
        <v>1</v>
      </c>
      <c r="AK156" s="20">
        <f>IF(coder1_YH!AS155="","",IF(coder1_YH!AS155=coder2_NY_MT!AM156,1,0))</f>
        <v>1</v>
      </c>
      <c r="AL156" s="20" t="str">
        <f>IF(coder1_YH!AZ155="","",IF(coder1_YH!AZ155=coder2_NY_MT!AT156,1,0))</f>
        <v/>
      </c>
      <c r="AM156" s="20" t="str">
        <f>IF(coder1_YH!BA155="","",IF(coder1_YH!BA155=coder2_NY_MT!AU156,1,0))</f>
        <v/>
      </c>
      <c r="AN156" s="2"/>
    </row>
    <row r="157" spans="1:40" s="20" customFormat="1" ht="17" hidden="1" customHeight="1" x14ac:dyDescent="0.2">
      <c r="A157" s="20">
        <f>IF(coder1_YH!G156="","",IF(coder1_YH!G156=coder2_NY_MT!A157,1,0))</f>
        <v>0</v>
      </c>
      <c r="B157" s="20">
        <f>IF(coder1_YH!H156="","",IF(RIGHT(coder1_YH!H156,2)=RIGHT(coder2_NY_MT!B157,2),1,0))</f>
        <v>0</v>
      </c>
      <c r="C157" s="20">
        <f>IF(coder1_YH!I156="","",IF(coder1_YH!I156=coder2_NY_MT!C157,1,0))</f>
        <v>0</v>
      </c>
      <c r="E157" s="20">
        <f>IF(coder1_YH!K156="","",IF(coder1_YH!K156=coder2_NY_MT!E157,1,0))</f>
        <v>0</v>
      </c>
      <c r="F157" s="20">
        <f>IF(coder1_YH!L156="","",IF(coder1_YH!L156=coder2_NY_MT!F157,1,0))</f>
        <v>0</v>
      </c>
      <c r="G157" s="20">
        <f>IF(coder1_YH!M156="","",IF(coder1_YH!M156=coder2_NY_MT!G157,1,0))</f>
        <v>0</v>
      </c>
      <c r="H157" s="20">
        <f>IF(coder1_YH!P156="","",IF(RIGHT(coder1_YH!P156,3)=RIGHT(coder2_NY_MT!J157,3),1,0))</f>
        <v>0</v>
      </c>
      <c r="I157" s="20">
        <f>IF(H157="","",IF(OR(coder2_NY_MT!K157="", coder1_YH!Q156 = ""),0,1))</f>
        <v>1</v>
      </c>
      <c r="J157" s="20">
        <f>IF(coder1_YH!R156="","",IF(coder1_YH!R156=coder2_NY_MT!L157,1,0))</f>
        <v>1</v>
      </c>
      <c r="K157" s="20">
        <f>IF(coder1_YH!S156="","",IF(coder1_YH!S156=coder2_NY_MT!M157,1,0))</f>
        <v>1</v>
      </c>
      <c r="L157" s="20">
        <f>IF(coder1_YH!T156="","",IF(coder1_YH!T156=coder2_NY_MT!N157,1,0))</f>
        <v>1</v>
      </c>
      <c r="M157" s="20">
        <f>IF(coder1_YH!U156="","",IF(coder1_YH!U156=coder2_NY_MT!O157,1,0))</f>
        <v>1</v>
      </c>
      <c r="N157" s="20">
        <f>IF(coder1_YH!V156="","",IF(coder1_YH!V156=coder2_NY_MT!P157,1,0))</f>
        <v>1</v>
      </c>
      <c r="O157" s="20">
        <f>IF(coder1_YH!W156="","",IF(coder1_YH!W156=coder2_NY_MT!Q157,1,0))</f>
        <v>1</v>
      </c>
      <c r="P157" s="20">
        <f>IF(coder1_YH!X156="","",IF(coder1_YH!X156=coder2_NY_MT!R157,1,0))</f>
        <v>1</v>
      </c>
      <c r="Q157" s="20">
        <f>IF(coder1_YH!Y156="","",IF(coder1_YH!Y156=coder2_NY_MT!S157,1,0))</f>
        <v>1</v>
      </c>
      <c r="R157" s="20">
        <f>IF(coder1_YH!Z156="","",IF(coder1_YH!Z156=coder2_NY_MT!T157,1,0))</f>
        <v>1</v>
      </c>
      <c r="S157" s="20">
        <f>IF(R157="","",IF(OR(coder2_NY_MT!U157="", coder1_YH!AA156 = ""),0,1))</f>
        <v>1</v>
      </c>
      <c r="T157" s="20">
        <f>IF(coder1_YH!AB156="","",IF(coder1_YH!AB156=coder2_NY_MT!V157,1,0))</f>
        <v>1</v>
      </c>
      <c r="U157" s="20">
        <f>IF(coder1_YH!AC156="","",IF(coder1_YH!AC156=coder2_NY_MT!W157,1,0))</f>
        <v>1</v>
      </c>
      <c r="V157" s="20">
        <f>IF(coder1_YH!AD156="","",IF(coder1_YH!AD156=coder2_NY_MT!X157,1,0))</f>
        <v>1</v>
      </c>
      <c r="W157" s="20">
        <f>IF(coder1_YH!AE156="","",IF(coder1_YH!AE156=coder2_NY_MT!Y157,1,0))</f>
        <v>1</v>
      </c>
      <c r="X157" s="20">
        <f>IF(coder1_YH!AF156="","",IF(coder1_YH!AF156=coder2_NY_MT!Z157,1,0))</f>
        <v>1</v>
      </c>
      <c r="Y157" s="20">
        <f>IF(coder1_YH!AG156="","",IF(coder1_YH!AG156=coder2_NY_MT!AA157,1,0))</f>
        <v>1</v>
      </c>
      <c r="Z157" s="20">
        <f>IF(coder1_YH!AH156="","",IF(coder1_YH!AH156=coder2_NY_MT!AB157,1,0))</f>
        <v>1</v>
      </c>
      <c r="AA157" s="20">
        <f>IF(coder1_YH!AI156="","",IF(coder1_YH!AI156=coder2_NY_MT!AC157,1,0))</f>
        <v>1</v>
      </c>
      <c r="AB157" s="20">
        <f>IF(OR(coder2_NY_MT!AD156="", coder1_YH!AJ156 = ""),0,1)</f>
        <v>1</v>
      </c>
      <c r="AC157" s="20">
        <f>IF(coder1_YH!AK156="","",IF(coder1_YH!AK156=coder2_NY_MT!AE157,1,0))</f>
        <v>1</v>
      </c>
      <c r="AD157" s="20">
        <f>IF(OR(coder2_NY_MT!AF157="", coder1_YH!AL156 = ""),0,1)</f>
        <v>1</v>
      </c>
      <c r="AF157" s="20">
        <f>IF(coder1_YH!AN156="","",IF(coder1_YH!AN156=coder2_NY_MT!AH157,1,0))</f>
        <v>1</v>
      </c>
      <c r="AG157" s="20">
        <f>IF(coder1_YH!AO156="","",IF(coder1_YH!AO156=coder2_NY_MT!AI157,1,0))</f>
        <v>1</v>
      </c>
      <c r="AH157" s="20">
        <f>IF(coder1_YH!AP156="","",IF(coder1_YH!AP156=coder2_NY_MT!AJ157,1,0))</f>
        <v>1</v>
      </c>
      <c r="AI157" s="20">
        <f>IF(coder1_YH!AQ156="","",IF(coder1_YH!AQ156=coder2_NY_MT!AK157,1,0))</f>
        <v>1</v>
      </c>
      <c r="AJ157" s="20">
        <f>IF(coder1_YH!AR156="","",IF(coder1_YH!AR156=coder2_NY_MT!AL157,1,0))</f>
        <v>1</v>
      </c>
      <c r="AK157" s="20">
        <f>IF(coder1_YH!AS156="","",IF(coder1_YH!AS156=coder2_NY_MT!AM157,1,0))</f>
        <v>1</v>
      </c>
      <c r="AL157" s="20" t="str">
        <f>IF(coder1_YH!AZ156="","",IF(coder1_YH!AZ156=coder2_NY_MT!AT157,1,0))</f>
        <v/>
      </c>
      <c r="AM157" s="20" t="str">
        <f>IF(coder1_YH!BA156="","",IF(coder1_YH!BA156=coder2_NY_MT!AU157,1,0))</f>
        <v/>
      </c>
      <c r="AN157" s="2"/>
    </row>
    <row r="158" spans="1:40" s="20" customFormat="1" ht="17" hidden="1" customHeight="1" x14ac:dyDescent="0.2">
      <c r="A158" s="20" t="str">
        <f>IF(coder1_YH!G157="","",IF(coder1_YH!G157=coder2_NY_MT!A158,1,0))</f>
        <v/>
      </c>
      <c r="B158" s="20" t="str">
        <f>IF(coder1_YH!H157="","",IF(RIGHT(coder1_YH!H157,2)=RIGHT(coder2_NY_MT!B158,2),1,0))</f>
        <v/>
      </c>
      <c r="C158" s="20" t="str">
        <f>IF(coder1_YH!I157="","",IF(coder1_YH!I157=coder2_NY_MT!C158,1,0))</f>
        <v/>
      </c>
      <c r="E158" s="20" t="str">
        <f>IF(coder1_YH!K157="","",IF(coder1_YH!K157=coder2_NY_MT!E158,1,0))</f>
        <v/>
      </c>
      <c r="F158" s="20" t="str">
        <f>IF(coder1_YH!L157="","",IF(coder1_YH!L157=coder2_NY_MT!F158,1,0))</f>
        <v/>
      </c>
      <c r="G158" s="20" t="str">
        <f>IF(coder1_YH!M157="","",IF(coder1_YH!M157=coder2_NY_MT!G158,1,0))</f>
        <v/>
      </c>
      <c r="H158" s="20">
        <f>IF(coder1_YH!P157="","",IF(RIGHT(coder1_YH!P157,3)=RIGHT(coder2_NY_MT!J158,3),1,0))</f>
        <v>0</v>
      </c>
      <c r="I158" s="20">
        <f>IF(H158="","",IF(OR(coder2_NY_MT!K158="", coder1_YH!Q157 = ""),0,1))</f>
        <v>1</v>
      </c>
      <c r="J158" s="20">
        <f>IF(coder1_YH!R157="","",IF(coder1_YH!R157=coder2_NY_MT!L158,1,0))</f>
        <v>1</v>
      </c>
      <c r="K158" s="20">
        <f>IF(coder1_YH!S157="","",IF(coder1_YH!S157=coder2_NY_MT!M158,1,0))</f>
        <v>1</v>
      </c>
      <c r="L158" s="20">
        <f>IF(coder1_YH!T157="","",IF(coder1_YH!T157=coder2_NY_MT!N158,1,0))</f>
        <v>1</v>
      </c>
      <c r="M158" s="20">
        <f>IF(coder1_YH!U157="","",IF(coder1_YH!U157=coder2_NY_MT!O158,1,0))</f>
        <v>1</v>
      </c>
      <c r="N158" s="20">
        <f>IF(coder1_YH!V157="","",IF(coder1_YH!V157=coder2_NY_MT!P158,1,0))</f>
        <v>1</v>
      </c>
      <c r="O158" s="20">
        <f>IF(coder1_YH!W157="","",IF(coder1_YH!W157=coder2_NY_MT!Q158,1,0))</f>
        <v>1</v>
      </c>
      <c r="P158" s="20">
        <f>IF(coder1_YH!X157="","",IF(coder1_YH!X157=coder2_NY_MT!R158,1,0))</f>
        <v>1</v>
      </c>
      <c r="Q158" s="20">
        <f>IF(coder1_YH!Y157="","",IF(coder1_YH!Y157=coder2_NY_MT!S158,1,0))</f>
        <v>1</v>
      </c>
      <c r="R158" s="20">
        <f>IF(coder1_YH!Z157="","",IF(coder1_YH!Z157=coder2_NY_MT!T158,1,0))</f>
        <v>1</v>
      </c>
      <c r="S158" s="20">
        <f>IF(R158="","",IF(OR(coder2_NY_MT!U158="", coder1_YH!AA157 = ""),0,1))</f>
        <v>1</v>
      </c>
      <c r="T158" s="20">
        <f>IF(coder1_YH!AB157="","",IF(coder1_YH!AB157=coder2_NY_MT!V158,1,0))</f>
        <v>1</v>
      </c>
      <c r="U158" s="20">
        <f>IF(coder1_YH!AC157="","",IF(coder1_YH!AC157=coder2_NY_MT!W158,1,0))</f>
        <v>1</v>
      </c>
      <c r="V158" s="20">
        <f>IF(coder1_YH!AD157="","",IF(coder1_YH!AD157=coder2_NY_MT!X158,1,0))</f>
        <v>1</v>
      </c>
      <c r="W158" s="20">
        <f>IF(coder1_YH!AE157="","",IF(coder1_YH!AE157=coder2_NY_MT!Y158,1,0))</f>
        <v>1</v>
      </c>
      <c r="X158" s="20">
        <f>IF(coder1_YH!AF157="","",IF(coder1_YH!AF157=coder2_NY_MT!Z158,1,0))</f>
        <v>1</v>
      </c>
      <c r="Y158" s="20">
        <f>IF(coder1_YH!AG157="","",IF(coder1_YH!AG157=coder2_NY_MT!AA158,1,0))</f>
        <v>1</v>
      </c>
      <c r="Z158" s="20">
        <f>IF(coder1_YH!AH157="","",IF(coder1_YH!AH157=coder2_NY_MT!AB158,1,0))</f>
        <v>1</v>
      </c>
      <c r="AA158" s="20">
        <f>IF(coder1_YH!AI157="","",IF(coder1_YH!AI157=coder2_NY_MT!AC158,1,0))</f>
        <v>1</v>
      </c>
      <c r="AB158" s="20">
        <f>IF(OR(coder2_NY_MT!AD157="", coder1_YH!AJ157 = ""),0,1)</f>
        <v>1</v>
      </c>
      <c r="AC158" s="20">
        <f>IF(coder1_YH!AK157="","",IF(coder1_YH!AK157=coder2_NY_MT!AE158,1,0))</f>
        <v>1</v>
      </c>
      <c r="AD158" s="20">
        <f>IF(OR(coder2_NY_MT!AF158="", coder1_YH!AL157 = ""),0,1)</f>
        <v>1</v>
      </c>
      <c r="AF158" s="20">
        <f>IF(coder1_YH!AN157="","",IF(coder1_YH!AN157=coder2_NY_MT!AH158,1,0))</f>
        <v>1</v>
      </c>
      <c r="AG158" s="20">
        <f>IF(coder1_YH!AO157="","",IF(coder1_YH!AO157=coder2_NY_MT!AI158,1,0))</f>
        <v>1</v>
      </c>
      <c r="AH158" s="20">
        <f>IF(coder1_YH!AP157="","",IF(coder1_YH!AP157=coder2_NY_MT!AJ158,1,0))</f>
        <v>1</v>
      </c>
      <c r="AI158" s="20">
        <f>IF(coder1_YH!AQ157="","",IF(coder1_YH!AQ157=coder2_NY_MT!AK158,1,0))</f>
        <v>1</v>
      </c>
      <c r="AJ158" s="20">
        <f>IF(coder1_YH!AR157="","",IF(coder1_YH!AR157=coder2_NY_MT!AL158,1,0))</f>
        <v>1</v>
      </c>
      <c r="AK158" s="20">
        <f>IF(coder1_YH!AS157="","",IF(coder1_YH!AS157=coder2_NY_MT!AM158,1,0))</f>
        <v>1</v>
      </c>
      <c r="AL158" s="20" t="str">
        <f>IF(coder1_YH!AZ157="","",IF(coder1_YH!AZ157=coder2_NY_MT!AT158,1,0))</f>
        <v/>
      </c>
      <c r="AM158" s="20" t="str">
        <f>IF(coder1_YH!BA157="","",IF(coder1_YH!BA157=coder2_NY_MT!AU158,1,0))</f>
        <v/>
      </c>
      <c r="AN158" s="2"/>
    </row>
    <row r="159" spans="1:40" s="20" customFormat="1" ht="17" hidden="1" customHeight="1" x14ac:dyDescent="0.2">
      <c r="A159" s="20">
        <f>IF(coder1_YH!G158="","",IF(coder1_YH!G158=coder2_NY_MT!A159,1,0))</f>
        <v>0</v>
      </c>
      <c r="B159" s="20">
        <f>IF(coder1_YH!H158="","",IF(RIGHT(coder1_YH!H158,2)=RIGHT(coder2_NY_MT!B159,2),1,0))</f>
        <v>0</v>
      </c>
      <c r="C159" s="20">
        <f>IF(coder1_YH!I158="","",IF(coder1_YH!I158=coder2_NY_MT!C159,1,0))</f>
        <v>0</v>
      </c>
      <c r="E159" s="20">
        <f>IF(coder1_YH!K158="","",IF(coder1_YH!K158=coder2_NY_MT!E159,1,0))</f>
        <v>0</v>
      </c>
      <c r="F159" s="20">
        <f>IF(coder1_YH!L158="","",IF(coder1_YH!L158=coder2_NY_MT!F159,1,0))</f>
        <v>0</v>
      </c>
      <c r="G159" s="20">
        <f>IF(coder1_YH!M158="","",IF(coder1_YH!M158=coder2_NY_MT!G159,1,0))</f>
        <v>0</v>
      </c>
      <c r="H159" s="20">
        <f>IF(coder1_YH!P158="","",IF(RIGHT(coder1_YH!P158,3)=RIGHT(coder2_NY_MT!J159,3),1,0))</f>
        <v>0</v>
      </c>
      <c r="I159" s="20">
        <f>IF(H159="","",IF(OR(coder2_NY_MT!K159="", coder1_YH!Q158 = ""),0,1))</f>
        <v>1</v>
      </c>
      <c r="J159" s="20">
        <f>IF(coder1_YH!R158="","",IF(coder1_YH!R158=coder2_NY_MT!L159,1,0))</f>
        <v>1</v>
      </c>
      <c r="K159" s="20">
        <f>IF(coder1_YH!S158="","",IF(coder1_YH!S158=coder2_NY_MT!M159,1,0))</f>
        <v>1</v>
      </c>
      <c r="L159" s="20">
        <f>IF(coder1_YH!T158="","",IF(coder1_YH!T158=coder2_NY_MT!N159,1,0))</f>
        <v>1</v>
      </c>
      <c r="M159" s="20">
        <f>IF(coder1_YH!U158="","",IF(coder1_YH!U158=coder2_NY_MT!O159,1,0))</f>
        <v>1</v>
      </c>
      <c r="N159" s="20">
        <f>IF(coder1_YH!V158="","",IF(coder1_YH!V158=coder2_NY_MT!P159,1,0))</f>
        <v>1</v>
      </c>
      <c r="O159" s="20">
        <f>IF(coder1_YH!W158="","",IF(coder1_YH!W158=coder2_NY_MT!Q159,1,0))</f>
        <v>1</v>
      </c>
      <c r="P159" s="20">
        <f>IF(coder1_YH!X158="","",IF(coder1_YH!X158=coder2_NY_MT!R159,1,0))</f>
        <v>1</v>
      </c>
      <c r="Q159" s="20">
        <f>IF(coder1_YH!Y158="","",IF(coder1_YH!Y158=coder2_NY_MT!S159,1,0))</f>
        <v>1</v>
      </c>
      <c r="R159" s="20">
        <f>IF(coder1_YH!Z158="","",IF(coder1_YH!Z158=coder2_NY_MT!T159,1,0))</f>
        <v>1</v>
      </c>
      <c r="S159" s="20">
        <f>IF(R159="","",IF(OR(coder2_NY_MT!U159="", coder1_YH!AA158 = ""),0,1))</f>
        <v>1</v>
      </c>
      <c r="T159" s="20">
        <f>IF(coder1_YH!AB158="","",IF(coder1_YH!AB158=coder2_NY_MT!V159,1,0))</f>
        <v>1</v>
      </c>
      <c r="U159" s="20">
        <f>IF(coder1_YH!AC158="","",IF(coder1_YH!AC158=coder2_NY_MT!W159,1,0))</f>
        <v>1</v>
      </c>
      <c r="V159" s="20">
        <f>IF(coder1_YH!AD158="","",IF(coder1_YH!AD158=coder2_NY_MT!X159,1,0))</f>
        <v>1</v>
      </c>
      <c r="W159" s="20">
        <f>IF(coder1_YH!AE158="","",IF(coder1_YH!AE158=coder2_NY_MT!Y159,1,0))</f>
        <v>1</v>
      </c>
      <c r="X159" s="20">
        <f>IF(coder1_YH!AF158="","",IF(coder1_YH!AF158=coder2_NY_MT!Z159,1,0))</f>
        <v>1</v>
      </c>
      <c r="Y159" s="20">
        <f>IF(coder1_YH!AG158="","",IF(coder1_YH!AG158=coder2_NY_MT!AA159,1,0))</f>
        <v>1</v>
      </c>
      <c r="Z159" s="20">
        <f>IF(coder1_YH!AH158="","",IF(coder1_YH!AH158=coder2_NY_MT!AB159,1,0))</f>
        <v>1</v>
      </c>
      <c r="AA159" s="20">
        <f>IF(coder1_YH!AI158="","",IF(coder1_YH!AI158=coder2_NY_MT!AC159,1,0))</f>
        <v>1</v>
      </c>
      <c r="AB159" s="20">
        <f>IF(OR(coder2_NY_MT!AD158="", coder1_YH!AJ158 = ""),0,1)</f>
        <v>1</v>
      </c>
      <c r="AC159" s="20">
        <f>IF(coder1_YH!AK158="","",IF(coder1_YH!AK158=coder2_NY_MT!AE159,1,0))</f>
        <v>1</v>
      </c>
      <c r="AD159" s="20">
        <f>IF(OR(coder2_NY_MT!AF159="", coder1_YH!AL158 = ""),0,1)</f>
        <v>1</v>
      </c>
      <c r="AF159" s="20">
        <f>IF(coder1_YH!AN158="","",IF(coder1_YH!AN158=coder2_NY_MT!AH159,1,0))</f>
        <v>1</v>
      </c>
      <c r="AG159" s="20">
        <f>IF(coder1_YH!AO158="","",IF(coder1_YH!AO158=coder2_NY_MT!AI159,1,0))</f>
        <v>1</v>
      </c>
      <c r="AH159" s="20">
        <f>IF(coder1_YH!AP158="","",IF(coder1_YH!AP158=coder2_NY_MT!AJ159,1,0))</f>
        <v>1</v>
      </c>
      <c r="AI159" s="20">
        <f>IF(coder1_YH!AQ158="","",IF(coder1_YH!AQ158=coder2_NY_MT!AK159,1,0))</f>
        <v>1</v>
      </c>
      <c r="AJ159" s="20">
        <f>IF(coder1_YH!AR158="","",IF(coder1_YH!AR158=coder2_NY_MT!AL159,1,0))</f>
        <v>1</v>
      </c>
      <c r="AK159" s="20">
        <f>IF(coder1_YH!AS158="","",IF(coder1_YH!AS158=coder2_NY_MT!AM159,1,0))</f>
        <v>1</v>
      </c>
      <c r="AL159" s="20" t="str">
        <f>IF(coder1_YH!AZ158="","",IF(coder1_YH!AZ158=coder2_NY_MT!AT159,1,0))</f>
        <v/>
      </c>
      <c r="AM159" s="20" t="str">
        <f>IF(coder1_YH!BA158="","",IF(coder1_YH!BA158=coder2_NY_MT!AU159,1,0))</f>
        <v/>
      </c>
      <c r="AN159" s="2"/>
    </row>
    <row r="160" spans="1:40" s="20" customFormat="1" ht="17" hidden="1" customHeight="1" x14ac:dyDescent="0.2">
      <c r="A160" s="20" t="str">
        <f>IF(coder1_YH!G159="","",IF(coder1_YH!G159=coder2_NY_MT!A160,1,0))</f>
        <v/>
      </c>
      <c r="B160" s="20" t="str">
        <f>IF(coder1_YH!H159="","",IF(RIGHT(coder1_YH!H159,2)=RIGHT(coder2_NY_MT!B160,2),1,0))</f>
        <v/>
      </c>
      <c r="C160" s="20" t="str">
        <f>IF(coder1_YH!I159="","",IF(coder1_YH!I159=coder2_NY_MT!C160,1,0))</f>
        <v/>
      </c>
      <c r="E160" s="20" t="str">
        <f>IF(coder1_YH!K159="","",IF(coder1_YH!K159=coder2_NY_MT!E160,1,0))</f>
        <v/>
      </c>
      <c r="F160" s="20" t="str">
        <f>IF(coder1_YH!L159="","",IF(coder1_YH!L159=coder2_NY_MT!F160,1,0))</f>
        <v/>
      </c>
      <c r="G160" s="20" t="str">
        <f>IF(coder1_YH!M159="","",IF(coder1_YH!M159=coder2_NY_MT!G160,1,0))</f>
        <v/>
      </c>
      <c r="H160" s="20">
        <f>IF(coder1_YH!P159="","",IF(RIGHT(coder1_YH!P159,3)=RIGHT(coder2_NY_MT!J160,3),1,0))</f>
        <v>0</v>
      </c>
      <c r="I160" s="20">
        <f>IF(H160="","",IF(OR(coder2_NY_MT!K160="", coder1_YH!Q159 = ""),0,1))</f>
        <v>1</v>
      </c>
      <c r="J160" s="20">
        <f>IF(coder1_YH!R159="","",IF(coder1_YH!R159=coder2_NY_MT!L160,1,0))</f>
        <v>1</v>
      </c>
      <c r="K160" s="20">
        <f>IF(coder1_YH!S159="","",IF(coder1_YH!S159=coder2_NY_MT!M160,1,0))</f>
        <v>1</v>
      </c>
      <c r="L160" s="20">
        <f>IF(coder1_YH!T159="","",IF(coder1_YH!T159=coder2_NY_MT!N160,1,0))</f>
        <v>1</v>
      </c>
      <c r="M160" s="20">
        <f>IF(coder1_YH!U159="","",IF(coder1_YH!U159=coder2_NY_MT!O160,1,0))</f>
        <v>1</v>
      </c>
      <c r="N160" s="20">
        <f>IF(coder1_YH!V159="","",IF(coder1_YH!V159=coder2_NY_MT!P160,1,0))</f>
        <v>1</v>
      </c>
      <c r="O160" s="20">
        <f>IF(coder1_YH!W159="","",IF(coder1_YH!W159=coder2_NY_MT!Q160,1,0))</f>
        <v>1</v>
      </c>
      <c r="P160" s="20">
        <f>IF(coder1_YH!X159="","",IF(coder1_YH!X159=coder2_NY_MT!R160,1,0))</f>
        <v>1</v>
      </c>
      <c r="Q160" s="20">
        <f>IF(coder1_YH!Y159="","",IF(coder1_YH!Y159=coder2_NY_MT!S160,1,0))</f>
        <v>1</v>
      </c>
      <c r="R160" s="20">
        <f>IF(coder1_YH!Z159="","",IF(coder1_YH!Z159=coder2_NY_MT!T160,1,0))</f>
        <v>1</v>
      </c>
      <c r="S160" s="20">
        <f>IF(R160="","",IF(OR(coder2_NY_MT!U160="", coder1_YH!AA159 = ""),0,1))</f>
        <v>1</v>
      </c>
      <c r="T160" s="20">
        <f>IF(coder1_YH!AB159="","",IF(coder1_YH!AB159=coder2_NY_MT!V160,1,0))</f>
        <v>1</v>
      </c>
      <c r="U160" s="20">
        <f>IF(coder1_YH!AC159="","",IF(coder1_YH!AC159=coder2_NY_MT!W160,1,0))</f>
        <v>1</v>
      </c>
      <c r="V160" s="20">
        <f>IF(coder1_YH!AD159="","",IF(coder1_YH!AD159=coder2_NY_MT!X160,1,0))</f>
        <v>1</v>
      </c>
      <c r="W160" s="20">
        <f>IF(coder1_YH!AE159="","",IF(coder1_YH!AE159=coder2_NY_MT!Y160,1,0))</f>
        <v>1</v>
      </c>
      <c r="X160" s="20">
        <f>IF(coder1_YH!AF159="","",IF(coder1_YH!AF159=coder2_NY_MT!Z160,1,0))</f>
        <v>1</v>
      </c>
      <c r="Y160" s="20">
        <f>IF(coder1_YH!AG159="","",IF(coder1_YH!AG159=coder2_NY_MT!AA160,1,0))</f>
        <v>1</v>
      </c>
      <c r="Z160" s="20">
        <f>IF(coder1_YH!AH159="","",IF(coder1_YH!AH159=coder2_NY_MT!AB160,1,0))</f>
        <v>1</v>
      </c>
      <c r="AA160" s="20">
        <f>IF(coder1_YH!AI159="","",IF(coder1_YH!AI159=coder2_NY_MT!AC160,1,0))</f>
        <v>1</v>
      </c>
      <c r="AB160" s="20">
        <f>IF(OR(coder2_NY_MT!AD159="", coder1_YH!AJ159 = ""),0,1)</f>
        <v>1</v>
      </c>
      <c r="AC160" s="20">
        <f>IF(coder1_YH!AK159="","",IF(coder1_YH!AK159=coder2_NY_MT!AE160,1,0))</f>
        <v>1</v>
      </c>
      <c r="AD160" s="20">
        <f>IF(OR(coder2_NY_MT!AF160="", coder1_YH!AL159 = ""),0,1)</f>
        <v>1</v>
      </c>
      <c r="AF160" s="20">
        <f>IF(coder1_YH!AN159="","",IF(coder1_YH!AN159=coder2_NY_MT!AH160,1,0))</f>
        <v>1</v>
      </c>
      <c r="AG160" s="20">
        <f>IF(coder1_YH!AO159="","",IF(coder1_YH!AO159=coder2_NY_MT!AI160,1,0))</f>
        <v>1</v>
      </c>
      <c r="AH160" s="20">
        <f>IF(coder1_YH!AP159="","",IF(coder1_YH!AP159=coder2_NY_MT!AJ160,1,0))</f>
        <v>1</v>
      </c>
      <c r="AI160" s="20">
        <f>IF(coder1_YH!AQ159="","",IF(coder1_YH!AQ159=coder2_NY_MT!AK160,1,0))</f>
        <v>1</v>
      </c>
      <c r="AJ160" s="20">
        <f>IF(coder1_YH!AR159="","",IF(coder1_YH!AR159=coder2_NY_MT!AL160,1,0))</f>
        <v>1</v>
      </c>
      <c r="AK160" s="20">
        <f>IF(coder1_YH!AS159="","",IF(coder1_YH!AS159=coder2_NY_MT!AM160,1,0))</f>
        <v>1</v>
      </c>
      <c r="AL160" s="20" t="str">
        <f>IF(coder1_YH!AZ159="","",IF(coder1_YH!AZ159=coder2_NY_MT!AT160,1,0))</f>
        <v/>
      </c>
      <c r="AM160" s="20" t="str">
        <f>IF(coder1_YH!BA159="","",IF(coder1_YH!BA159=coder2_NY_MT!AU160,1,0))</f>
        <v/>
      </c>
      <c r="AN160" s="2"/>
    </row>
    <row r="161" spans="1:40" s="20" customFormat="1" ht="17" hidden="1" customHeight="1" x14ac:dyDescent="0.2">
      <c r="A161" s="20">
        <f>IF(coder1_YH!G160="","",IF(coder1_YH!G160=coder2_NY_MT!A161,1,0))</f>
        <v>0</v>
      </c>
      <c r="B161" s="20">
        <f>IF(coder1_YH!H160="","",IF(RIGHT(coder1_YH!H160,2)=RIGHT(coder2_NY_MT!B161,2),1,0))</f>
        <v>0</v>
      </c>
      <c r="C161" s="20">
        <f>IF(coder1_YH!I160="","",IF(coder1_YH!I160=coder2_NY_MT!C161,1,0))</f>
        <v>0</v>
      </c>
      <c r="E161" s="20">
        <f>IF(coder1_YH!K160="","",IF(coder1_YH!K160=coder2_NY_MT!E161,1,0))</f>
        <v>0</v>
      </c>
      <c r="F161" s="20">
        <f>IF(coder1_YH!L160="","",IF(coder1_YH!L160=coder2_NY_MT!F161,1,0))</f>
        <v>0</v>
      </c>
      <c r="G161" s="20">
        <f>IF(coder1_YH!M160="","",IF(coder1_YH!M160=coder2_NY_MT!G161,1,0))</f>
        <v>0</v>
      </c>
      <c r="H161" s="20">
        <f>IF(coder1_YH!P160="","",IF(RIGHT(coder1_YH!P160,3)=RIGHT(coder2_NY_MT!J161,3),1,0))</f>
        <v>0</v>
      </c>
      <c r="I161" s="20">
        <f>IF(H161="","",IF(OR(coder2_NY_MT!K161="", coder1_YH!Q160 = ""),0,1))</f>
        <v>1</v>
      </c>
      <c r="J161" s="20">
        <f>IF(coder1_YH!R160="","",IF(coder1_YH!R160=coder2_NY_MT!L161,1,0))</f>
        <v>1</v>
      </c>
      <c r="K161" s="20">
        <f>IF(coder1_YH!S160="","",IF(coder1_YH!S160=coder2_NY_MT!M161,1,0))</f>
        <v>1</v>
      </c>
      <c r="L161" s="20">
        <f>IF(coder1_YH!T160="","",IF(coder1_YH!T160=coder2_NY_MT!N161,1,0))</f>
        <v>1</v>
      </c>
      <c r="M161" s="20">
        <f>IF(coder1_YH!U160="","",IF(coder1_YH!U160=coder2_NY_MT!O161,1,0))</f>
        <v>1</v>
      </c>
      <c r="N161" s="20">
        <f>IF(coder1_YH!V160="","",IF(coder1_YH!V160=coder2_NY_MT!P161,1,0))</f>
        <v>1</v>
      </c>
      <c r="O161" s="20">
        <f>IF(coder1_YH!W160="","",IF(coder1_YH!W160=coder2_NY_MT!Q161,1,0))</f>
        <v>1</v>
      </c>
      <c r="P161" s="20">
        <f>IF(coder1_YH!X160="","",IF(coder1_YH!X160=coder2_NY_MT!R161,1,0))</f>
        <v>1</v>
      </c>
      <c r="Q161" s="20">
        <f>IF(coder1_YH!Y160="","",IF(coder1_YH!Y160=coder2_NY_MT!S161,1,0))</f>
        <v>1</v>
      </c>
      <c r="R161" s="20">
        <f>IF(coder1_YH!Z160="","",IF(coder1_YH!Z160=coder2_NY_MT!T161,1,0))</f>
        <v>1</v>
      </c>
      <c r="S161" s="20">
        <f>IF(R161="","",IF(OR(coder2_NY_MT!U161="", coder1_YH!AA160 = ""),0,1))</f>
        <v>1</v>
      </c>
      <c r="T161" s="20">
        <f>IF(coder1_YH!AB160="","",IF(coder1_YH!AB160=coder2_NY_MT!V161,1,0))</f>
        <v>1</v>
      </c>
      <c r="U161" s="20">
        <f>IF(coder1_YH!AC160="","",IF(coder1_YH!AC160=coder2_NY_MT!W161,1,0))</f>
        <v>1</v>
      </c>
      <c r="V161" s="20">
        <f>IF(coder1_YH!AD160="","",IF(coder1_YH!AD160=coder2_NY_MT!X161,1,0))</f>
        <v>1</v>
      </c>
      <c r="W161" s="20">
        <f>IF(coder1_YH!AE160="","",IF(coder1_YH!AE160=coder2_NY_MT!Y161,1,0))</f>
        <v>1</v>
      </c>
      <c r="X161" s="20">
        <f>IF(coder1_YH!AF160="","",IF(coder1_YH!AF160=coder2_NY_MT!Z161,1,0))</f>
        <v>1</v>
      </c>
      <c r="Y161" s="20">
        <f>IF(coder1_YH!AG160="","",IF(coder1_YH!AG160=coder2_NY_MT!AA161,1,0))</f>
        <v>1</v>
      </c>
      <c r="Z161" s="20">
        <f>IF(coder1_YH!AH160="","",IF(coder1_YH!AH160=coder2_NY_MT!AB161,1,0))</f>
        <v>1</v>
      </c>
      <c r="AA161" s="20">
        <f>IF(coder1_YH!AI160="","",IF(coder1_YH!AI160=coder2_NY_MT!AC161,1,0))</f>
        <v>1</v>
      </c>
      <c r="AB161" s="20">
        <f>IF(OR(coder2_NY_MT!AD160="", coder1_YH!AJ160 = ""),0,1)</f>
        <v>1</v>
      </c>
      <c r="AC161" s="20">
        <f>IF(coder1_YH!AK160="","",IF(coder1_YH!AK160=coder2_NY_MT!AE161,1,0))</f>
        <v>1</v>
      </c>
      <c r="AD161" s="20">
        <f>IF(OR(coder2_NY_MT!AF161="", coder1_YH!AL160 = ""),0,1)</f>
        <v>1</v>
      </c>
      <c r="AF161" s="20">
        <f>IF(coder1_YH!AN160="","",IF(coder1_YH!AN160=coder2_NY_MT!AH161,1,0))</f>
        <v>1</v>
      </c>
      <c r="AG161" s="20">
        <f>IF(coder1_YH!AO160="","",IF(coder1_YH!AO160=coder2_NY_MT!AI161,1,0))</f>
        <v>1</v>
      </c>
      <c r="AH161" s="20">
        <f>IF(coder1_YH!AP160="","",IF(coder1_YH!AP160=coder2_NY_MT!AJ161,1,0))</f>
        <v>1</v>
      </c>
      <c r="AI161" s="20">
        <f>IF(coder1_YH!AQ160="","",IF(coder1_YH!AQ160=coder2_NY_MT!AK161,1,0))</f>
        <v>1</v>
      </c>
      <c r="AJ161" s="20">
        <f>IF(coder1_YH!AR160="","",IF(coder1_YH!AR160=coder2_NY_MT!AL161,1,0))</f>
        <v>1</v>
      </c>
      <c r="AK161" s="20">
        <f>IF(coder1_YH!AS160="","",IF(coder1_YH!AS160=coder2_NY_MT!AM161,1,0))</f>
        <v>1</v>
      </c>
      <c r="AL161" s="20" t="str">
        <f>IF(coder1_YH!AZ160="","",IF(coder1_YH!AZ160=coder2_NY_MT!AT161,1,0))</f>
        <v/>
      </c>
      <c r="AM161" s="20" t="str">
        <f>IF(coder1_YH!BA160="","",IF(coder1_YH!BA160=coder2_NY_MT!AU161,1,0))</f>
        <v/>
      </c>
      <c r="AN161" s="2"/>
    </row>
    <row r="162" spans="1:40" s="20" customFormat="1" ht="17" hidden="1" customHeight="1" x14ac:dyDescent="0.2">
      <c r="A162" s="20" t="str">
        <f>IF(coder1_YH!G161="","",IF(coder1_YH!G161=coder2_NY_MT!A162,1,0))</f>
        <v/>
      </c>
      <c r="B162" s="20" t="str">
        <f>IF(coder1_YH!H161="","",IF(RIGHT(coder1_YH!H161,2)=RIGHT(coder2_NY_MT!B162,2),1,0))</f>
        <v/>
      </c>
      <c r="C162" s="20" t="str">
        <f>IF(coder1_YH!I161="","",IF(coder1_YH!I161=coder2_NY_MT!C162,1,0))</f>
        <v/>
      </c>
      <c r="E162" s="20" t="str">
        <f>IF(coder1_YH!K161="","",IF(coder1_YH!K161=coder2_NY_MT!E162,1,0))</f>
        <v/>
      </c>
      <c r="F162" s="20" t="str">
        <f>IF(coder1_YH!L161="","",IF(coder1_YH!L161=coder2_NY_MT!F162,1,0))</f>
        <v/>
      </c>
      <c r="G162" s="20" t="str">
        <f>IF(coder1_YH!M161="","",IF(coder1_YH!M161=coder2_NY_MT!G162,1,0))</f>
        <v/>
      </c>
      <c r="H162" s="20">
        <f>IF(coder1_YH!P161="","",IF(RIGHT(coder1_YH!P161,3)=RIGHT(coder2_NY_MT!J162,3),1,0))</f>
        <v>0</v>
      </c>
      <c r="I162" s="20">
        <f>IF(H162="","",IF(OR(coder2_NY_MT!K162="", coder1_YH!Q161 = ""),0,1))</f>
        <v>1</v>
      </c>
      <c r="J162" s="20">
        <f>IF(coder1_YH!R161="","",IF(coder1_YH!R161=coder2_NY_MT!L162,1,0))</f>
        <v>1</v>
      </c>
      <c r="K162" s="20">
        <f>IF(coder1_YH!S161="","",IF(coder1_YH!S161=coder2_NY_MT!M162,1,0))</f>
        <v>1</v>
      </c>
      <c r="L162" s="20">
        <f>IF(coder1_YH!T161="","",IF(coder1_YH!T161=coder2_NY_MT!N162,1,0))</f>
        <v>1</v>
      </c>
      <c r="M162" s="20">
        <f>IF(coder1_YH!U161="","",IF(coder1_YH!U161=coder2_NY_MT!O162,1,0))</f>
        <v>1</v>
      </c>
      <c r="N162" s="20">
        <f>IF(coder1_YH!V161="","",IF(coder1_YH!V161=coder2_NY_MT!P162,1,0))</f>
        <v>1</v>
      </c>
      <c r="O162" s="20">
        <f>IF(coder1_YH!W161="","",IF(coder1_YH!W161=coder2_NY_MT!Q162,1,0))</f>
        <v>1</v>
      </c>
      <c r="P162" s="20">
        <f>IF(coder1_YH!X161="","",IF(coder1_YH!X161=coder2_NY_MT!R162,1,0))</f>
        <v>1</v>
      </c>
      <c r="Q162" s="20">
        <f>IF(coder1_YH!Y161="","",IF(coder1_YH!Y161=coder2_NY_MT!S162,1,0))</f>
        <v>1</v>
      </c>
      <c r="R162" s="20">
        <f>IF(coder1_YH!Z161="","",IF(coder1_YH!Z161=coder2_NY_MT!T162,1,0))</f>
        <v>1</v>
      </c>
      <c r="S162" s="20">
        <f>IF(R162="","",IF(OR(coder2_NY_MT!U162="", coder1_YH!AA161 = ""),0,1))</f>
        <v>1</v>
      </c>
      <c r="T162" s="20">
        <f>IF(coder1_YH!AB161="","",IF(coder1_YH!AB161=coder2_NY_MT!V162,1,0))</f>
        <v>1</v>
      </c>
      <c r="U162" s="20">
        <f>IF(coder1_YH!AC161="","",IF(coder1_YH!AC161=coder2_NY_MT!W162,1,0))</f>
        <v>1</v>
      </c>
      <c r="V162" s="20">
        <f>IF(coder1_YH!AD161="","",IF(coder1_YH!AD161=coder2_NY_MT!X162,1,0))</f>
        <v>1</v>
      </c>
      <c r="W162" s="20">
        <f>IF(coder1_YH!AE161="","",IF(coder1_YH!AE161=coder2_NY_MT!Y162,1,0))</f>
        <v>1</v>
      </c>
      <c r="X162" s="20">
        <f>IF(coder1_YH!AF161="","",IF(coder1_YH!AF161=coder2_NY_MT!Z162,1,0))</f>
        <v>1</v>
      </c>
      <c r="Y162" s="20">
        <f>IF(coder1_YH!AG161="","",IF(coder1_YH!AG161=coder2_NY_MT!AA162,1,0))</f>
        <v>1</v>
      </c>
      <c r="Z162" s="20">
        <f>IF(coder1_YH!AH161="","",IF(coder1_YH!AH161=coder2_NY_MT!AB162,1,0))</f>
        <v>1</v>
      </c>
      <c r="AA162" s="20">
        <f>IF(coder1_YH!AI161="","",IF(coder1_YH!AI161=coder2_NY_MT!AC162,1,0))</f>
        <v>1</v>
      </c>
      <c r="AB162" s="20">
        <f>IF(OR(coder2_NY_MT!AD161="", coder1_YH!AJ161 = ""),0,1)</f>
        <v>1</v>
      </c>
      <c r="AC162" s="20">
        <f>IF(coder1_YH!AK161="","",IF(coder1_YH!AK161=coder2_NY_MT!AE162,1,0))</f>
        <v>1</v>
      </c>
      <c r="AD162" s="20">
        <f>IF(OR(coder2_NY_MT!AF162="", coder1_YH!AL161 = ""),0,1)</f>
        <v>1</v>
      </c>
      <c r="AF162" s="20">
        <f>IF(coder1_YH!AN161="","",IF(coder1_YH!AN161=coder2_NY_MT!AH162,1,0))</f>
        <v>1</v>
      </c>
      <c r="AG162" s="20">
        <f>IF(coder1_YH!AO161="","",IF(coder1_YH!AO161=coder2_NY_MT!AI162,1,0))</f>
        <v>1</v>
      </c>
      <c r="AH162" s="20">
        <f>IF(coder1_YH!AP161="","",IF(coder1_YH!AP161=coder2_NY_MT!AJ162,1,0))</f>
        <v>1</v>
      </c>
      <c r="AI162" s="20">
        <f>IF(coder1_YH!AQ161="","",IF(coder1_YH!AQ161=coder2_NY_MT!AK162,1,0))</f>
        <v>1</v>
      </c>
      <c r="AJ162" s="20">
        <f>IF(coder1_YH!AR161="","",IF(coder1_YH!AR161=coder2_NY_MT!AL162,1,0))</f>
        <v>1</v>
      </c>
      <c r="AK162" s="20">
        <f>IF(coder1_YH!AS161="","",IF(coder1_YH!AS161=coder2_NY_MT!AM162,1,0))</f>
        <v>1</v>
      </c>
      <c r="AL162" s="20" t="str">
        <f>IF(coder1_YH!AZ161="","",IF(coder1_YH!AZ161=coder2_NY_MT!AT162,1,0))</f>
        <v/>
      </c>
      <c r="AM162" s="20" t="str">
        <f>IF(coder1_YH!BA161="","",IF(coder1_YH!BA161=coder2_NY_MT!AU162,1,0))</f>
        <v/>
      </c>
      <c r="AN162" s="2"/>
    </row>
    <row r="163" spans="1:40" s="20" customFormat="1" ht="17" hidden="1" customHeight="1" x14ac:dyDescent="0.2">
      <c r="A163" s="20">
        <f>IF(coder1_YH!G162="","",IF(coder1_YH!G162=coder2_NY_MT!A163,1,0))</f>
        <v>0</v>
      </c>
      <c r="B163" s="20">
        <f>IF(coder1_YH!H162="","",IF(RIGHT(coder1_YH!H162,2)=RIGHT(coder2_NY_MT!B163,2),1,0))</f>
        <v>0</v>
      </c>
      <c r="C163" s="20">
        <f>IF(coder1_YH!I162="","",IF(coder1_YH!I162=coder2_NY_MT!C163,1,0))</f>
        <v>0</v>
      </c>
      <c r="E163" s="20">
        <f>IF(coder1_YH!K162="","",IF(coder1_YH!K162=coder2_NY_MT!E163,1,0))</f>
        <v>0</v>
      </c>
      <c r="F163" s="20">
        <f>IF(coder1_YH!L162="","",IF(coder1_YH!L162=coder2_NY_MT!F163,1,0))</f>
        <v>0</v>
      </c>
      <c r="G163" s="20">
        <f>IF(coder1_YH!M162="","",IF(coder1_YH!M162=coder2_NY_MT!G163,1,0))</f>
        <v>0</v>
      </c>
      <c r="H163" s="20">
        <f>IF(coder1_YH!P162="","",IF(RIGHT(coder1_YH!P162,3)=RIGHT(coder2_NY_MT!J163,3),1,0))</f>
        <v>0</v>
      </c>
      <c r="I163" s="20">
        <f>IF(H163="","",IF(OR(coder2_NY_MT!K163="", coder1_YH!Q162 = ""),0,1))</f>
        <v>1</v>
      </c>
      <c r="J163" s="20">
        <f>IF(coder1_YH!R162="","",IF(coder1_YH!R162=coder2_NY_MT!L163,1,0))</f>
        <v>1</v>
      </c>
      <c r="K163" s="20">
        <f>IF(coder1_YH!S162="","",IF(coder1_YH!S162=coder2_NY_MT!M163,1,0))</f>
        <v>1</v>
      </c>
      <c r="L163" s="20">
        <f>IF(coder1_YH!T162="","",IF(coder1_YH!T162=coder2_NY_MT!N163,1,0))</f>
        <v>1</v>
      </c>
      <c r="M163" s="20">
        <f>IF(coder1_YH!U162="","",IF(coder1_YH!U162=coder2_NY_MT!O163,1,0))</f>
        <v>1</v>
      </c>
      <c r="N163" s="20">
        <f>IF(coder1_YH!V162="","",IF(coder1_YH!V162=coder2_NY_MT!P163,1,0))</f>
        <v>1</v>
      </c>
      <c r="O163" s="20">
        <f>IF(coder1_YH!W162="","",IF(coder1_YH!W162=coder2_NY_MT!Q163,1,0))</f>
        <v>1</v>
      </c>
      <c r="P163" s="20">
        <f>IF(coder1_YH!X162="","",IF(coder1_YH!X162=coder2_NY_MT!R163,1,0))</f>
        <v>1</v>
      </c>
      <c r="Q163" s="20">
        <f>IF(coder1_YH!Y162="","",IF(coder1_YH!Y162=coder2_NY_MT!S163,1,0))</f>
        <v>1</v>
      </c>
      <c r="R163" s="20">
        <f>IF(coder1_YH!Z162="","",IF(coder1_YH!Z162=coder2_NY_MT!T163,1,0))</f>
        <v>1</v>
      </c>
      <c r="S163" s="20">
        <f>IF(R163="","",IF(OR(coder2_NY_MT!U163="", coder1_YH!AA162 = ""),0,1))</f>
        <v>1</v>
      </c>
      <c r="T163" s="20">
        <f>IF(coder1_YH!AB162="","",IF(coder1_YH!AB162=coder2_NY_MT!V163,1,0))</f>
        <v>1</v>
      </c>
      <c r="U163" s="20">
        <f>IF(coder1_YH!AC162="","",IF(coder1_YH!AC162=coder2_NY_MT!W163,1,0))</f>
        <v>1</v>
      </c>
      <c r="V163" s="20">
        <f>IF(coder1_YH!AD162="","",IF(coder1_YH!AD162=coder2_NY_MT!X163,1,0))</f>
        <v>1</v>
      </c>
      <c r="W163" s="20">
        <f>IF(coder1_YH!AE162="","",IF(coder1_YH!AE162=coder2_NY_MT!Y163,1,0))</f>
        <v>1</v>
      </c>
      <c r="X163" s="20">
        <f>IF(coder1_YH!AF162="","",IF(coder1_YH!AF162=coder2_NY_MT!Z163,1,0))</f>
        <v>1</v>
      </c>
      <c r="Y163" s="20">
        <f>IF(coder1_YH!AG162="","",IF(coder1_YH!AG162=coder2_NY_MT!AA163,1,0))</f>
        <v>1</v>
      </c>
      <c r="Z163" s="20">
        <f>IF(coder1_YH!AH162="","",IF(coder1_YH!AH162=coder2_NY_MT!AB163,1,0))</f>
        <v>1</v>
      </c>
      <c r="AA163" s="20">
        <f>IF(coder1_YH!AI162="","",IF(coder1_YH!AI162=coder2_NY_MT!AC163,1,0))</f>
        <v>1</v>
      </c>
      <c r="AB163" s="20">
        <f>IF(OR(coder2_NY_MT!AD162="", coder1_YH!AJ162 = ""),0,1)</f>
        <v>1</v>
      </c>
      <c r="AC163" s="20">
        <f>IF(coder1_YH!AK162="","",IF(coder1_YH!AK162=coder2_NY_MT!AE163,1,0))</f>
        <v>1</v>
      </c>
      <c r="AD163" s="20">
        <f>IF(OR(coder2_NY_MT!AF163="", coder1_YH!AL162 = ""),0,1)</f>
        <v>1</v>
      </c>
      <c r="AF163" s="20">
        <f>IF(coder1_YH!AN162="","",IF(coder1_YH!AN162=coder2_NY_MT!AH163,1,0))</f>
        <v>1</v>
      </c>
      <c r="AG163" s="20">
        <f>IF(coder1_YH!AO162="","",IF(coder1_YH!AO162=coder2_NY_MT!AI163,1,0))</f>
        <v>1</v>
      </c>
      <c r="AH163" s="20">
        <f>IF(coder1_YH!AP162="","",IF(coder1_YH!AP162=coder2_NY_MT!AJ163,1,0))</f>
        <v>1</v>
      </c>
      <c r="AI163" s="20">
        <f>IF(coder1_YH!AQ162="","",IF(coder1_YH!AQ162=coder2_NY_MT!AK163,1,0))</f>
        <v>1</v>
      </c>
      <c r="AJ163" s="20">
        <f>IF(coder1_YH!AR162="","",IF(coder1_YH!AR162=coder2_NY_MT!AL163,1,0))</f>
        <v>1</v>
      </c>
      <c r="AK163" s="20">
        <f>IF(coder1_YH!AS162="","",IF(coder1_YH!AS162=coder2_NY_MT!AM163,1,0))</f>
        <v>1</v>
      </c>
      <c r="AL163" s="20" t="str">
        <f>IF(coder1_YH!AZ162="","",IF(coder1_YH!AZ162=coder2_NY_MT!AT163,1,0))</f>
        <v/>
      </c>
      <c r="AM163" s="20" t="str">
        <f>IF(coder1_YH!BA162="","",IF(coder1_YH!BA162=coder2_NY_MT!AU163,1,0))</f>
        <v/>
      </c>
      <c r="AN163" s="2"/>
    </row>
    <row r="164" spans="1:40" s="20" customFormat="1" ht="17" hidden="1" customHeight="1" x14ac:dyDescent="0.2">
      <c r="A164" s="20" t="str">
        <f>IF(coder1_YH!G163="","",IF(coder1_YH!G163=coder2_NY_MT!A164,1,0))</f>
        <v/>
      </c>
      <c r="B164" s="20" t="str">
        <f>IF(coder1_YH!H163="","",IF(RIGHT(coder1_YH!H163,2)=RIGHT(coder2_NY_MT!B164,2),1,0))</f>
        <v/>
      </c>
      <c r="C164" s="20" t="str">
        <f>IF(coder1_YH!I163="","",IF(coder1_YH!I163=coder2_NY_MT!C164,1,0))</f>
        <v/>
      </c>
      <c r="E164" s="20" t="str">
        <f>IF(coder1_YH!K163="","",IF(coder1_YH!K163=coder2_NY_MT!E164,1,0))</f>
        <v/>
      </c>
      <c r="F164" s="20" t="str">
        <f>IF(coder1_YH!L163="","",IF(coder1_YH!L163=coder2_NY_MT!F164,1,0))</f>
        <v/>
      </c>
      <c r="G164" s="20" t="str">
        <f>IF(coder1_YH!M163="","",IF(coder1_YH!M163=coder2_NY_MT!G164,1,0))</f>
        <v/>
      </c>
      <c r="H164" s="20">
        <f>IF(coder1_YH!P163="","",IF(RIGHT(coder1_YH!P163,3)=RIGHT(coder2_NY_MT!J164,3),1,0))</f>
        <v>0</v>
      </c>
      <c r="I164" s="20">
        <f>IF(H164="","",IF(OR(coder2_NY_MT!K164="", coder1_YH!Q163 = ""),0,1))</f>
        <v>1</v>
      </c>
      <c r="J164" s="20">
        <f>IF(coder1_YH!R163="","",IF(coder1_YH!R163=coder2_NY_MT!L164,1,0))</f>
        <v>1</v>
      </c>
      <c r="K164" s="20">
        <f>IF(coder1_YH!S163="","",IF(coder1_YH!S163=coder2_NY_MT!M164,1,0))</f>
        <v>1</v>
      </c>
      <c r="L164" s="20">
        <f>IF(coder1_YH!T163="","",IF(coder1_YH!T163=coder2_NY_MT!N164,1,0))</f>
        <v>1</v>
      </c>
      <c r="M164" s="20">
        <f>IF(coder1_YH!U163="","",IF(coder1_YH!U163=coder2_NY_MT!O164,1,0))</f>
        <v>1</v>
      </c>
      <c r="N164" s="20">
        <f>IF(coder1_YH!V163="","",IF(coder1_YH!V163=coder2_NY_MT!P164,1,0))</f>
        <v>1</v>
      </c>
      <c r="O164" s="20">
        <f>IF(coder1_YH!W163="","",IF(coder1_YH!W163=coder2_NY_MT!Q164,1,0))</f>
        <v>1</v>
      </c>
      <c r="P164" s="20">
        <f>IF(coder1_YH!X163="","",IF(coder1_YH!X163=coder2_NY_MT!R164,1,0))</f>
        <v>1</v>
      </c>
      <c r="Q164" s="20">
        <f>IF(coder1_YH!Y163="","",IF(coder1_YH!Y163=coder2_NY_MT!S164,1,0))</f>
        <v>1</v>
      </c>
      <c r="R164" s="20">
        <f>IF(coder1_YH!Z163="","",IF(coder1_YH!Z163=coder2_NY_MT!T164,1,0))</f>
        <v>1</v>
      </c>
      <c r="S164" s="20">
        <f>IF(R164="","",IF(OR(coder2_NY_MT!U164="", coder1_YH!AA163 = ""),0,1))</f>
        <v>1</v>
      </c>
      <c r="T164" s="20">
        <f>IF(coder1_YH!AB163="","",IF(coder1_YH!AB163=coder2_NY_MT!V164,1,0))</f>
        <v>1</v>
      </c>
      <c r="U164" s="20">
        <f>IF(coder1_YH!AC163="","",IF(coder1_YH!AC163=coder2_NY_MT!W164,1,0))</f>
        <v>1</v>
      </c>
      <c r="V164" s="20">
        <f>IF(coder1_YH!AD163="","",IF(coder1_YH!AD163=coder2_NY_MT!X164,1,0))</f>
        <v>1</v>
      </c>
      <c r="W164" s="20">
        <f>IF(coder1_YH!AE163="","",IF(coder1_YH!AE163=coder2_NY_MT!Y164,1,0))</f>
        <v>1</v>
      </c>
      <c r="X164" s="20">
        <f>IF(coder1_YH!AF163="","",IF(coder1_YH!AF163=coder2_NY_MT!Z164,1,0))</f>
        <v>1</v>
      </c>
      <c r="Y164" s="20">
        <f>IF(coder1_YH!AG163="","",IF(coder1_YH!AG163=coder2_NY_MT!AA164,1,0))</f>
        <v>1</v>
      </c>
      <c r="Z164" s="20">
        <f>IF(coder1_YH!AH163="","",IF(coder1_YH!AH163=coder2_NY_MT!AB164,1,0))</f>
        <v>1</v>
      </c>
      <c r="AA164" s="20">
        <f>IF(coder1_YH!AI163="","",IF(coder1_YH!AI163=coder2_NY_MT!AC164,1,0))</f>
        <v>1</v>
      </c>
      <c r="AB164" s="20">
        <f>IF(OR(coder2_NY_MT!AD163="", coder1_YH!AJ163 = ""),0,1)</f>
        <v>1</v>
      </c>
      <c r="AC164" s="20">
        <f>IF(coder1_YH!AK163="","",IF(coder1_YH!AK163=coder2_NY_MT!AE164,1,0))</f>
        <v>1</v>
      </c>
      <c r="AD164" s="20">
        <f>IF(OR(coder2_NY_MT!AF164="", coder1_YH!AL163 = ""),0,1)</f>
        <v>1</v>
      </c>
      <c r="AF164" s="20">
        <f>IF(coder1_YH!AN163="","",IF(coder1_YH!AN163=coder2_NY_MT!AH164,1,0))</f>
        <v>1</v>
      </c>
      <c r="AG164" s="20">
        <f>IF(coder1_YH!AO163="","",IF(coder1_YH!AO163=coder2_NY_MT!AI164,1,0))</f>
        <v>1</v>
      </c>
      <c r="AH164" s="20">
        <f>IF(coder1_YH!AP163="","",IF(coder1_YH!AP163=coder2_NY_MT!AJ164,1,0))</f>
        <v>1</v>
      </c>
      <c r="AI164" s="20">
        <f>IF(coder1_YH!AQ163="","",IF(coder1_YH!AQ163=coder2_NY_MT!AK164,1,0))</f>
        <v>1</v>
      </c>
      <c r="AJ164" s="20">
        <f>IF(coder1_YH!AR163="","",IF(coder1_YH!AR163=coder2_NY_MT!AL164,1,0))</f>
        <v>1</v>
      </c>
      <c r="AK164" s="20">
        <f>IF(coder1_YH!AS163="","",IF(coder1_YH!AS163=coder2_NY_MT!AM164,1,0))</f>
        <v>1</v>
      </c>
      <c r="AL164" s="20" t="str">
        <f>IF(coder1_YH!AZ163="","",IF(coder1_YH!AZ163=coder2_NY_MT!AT164,1,0))</f>
        <v/>
      </c>
      <c r="AM164" s="20" t="str">
        <f>IF(coder1_YH!BA163="","",IF(coder1_YH!BA163=coder2_NY_MT!AU164,1,0))</f>
        <v/>
      </c>
      <c r="AN164" s="2"/>
    </row>
    <row r="165" spans="1:40" s="20" customFormat="1" ht="17" hidden="1" customHeight="1" x14ac:dyDescent="0.2">
      <c r="A165" s="20">
        <f>IF(coder1_YH!G164="","",IF(coder1_YH!G164=coder2_NY_MT!A165,1,0))</f>
        <v>1</v>
      </c>
      <c r="B165" s="20">
        <f>IF(coder1_YH!H164="","",IF(RIGHT(coder1_YH!H164,2)=RIGHT(coder2_NY_MT!B165,2),1,0))</f>
        <v>1</v>
      </c>
      <c r="C165" s="20">
        <f>IF(coder1_YH!I164="","",IF(coder1_YH!I164=coder2_NY_MT!C165,1,0))</f>
        <v>1</v>
      </c>
      <c r="E165" s="20">
        <f>IF(coder1_YH!K164="","",IF(coder1_YH!K164=coder2_NY_MT!E165,1,0))</f>
        <v>1</v>
      </c>
      <c r="F165" s="20">
        <f>IF(coder1_YH!L164="","",IF(coder1_YH!L164=coder2_NY_MT!F165,1,0))</f>
        <v>1</v>
      </c>
      <c r="G165" s="20">
        <f>IF(coder1_YH!M164="","",IF(coder1_YH!M164=coder2_NY_MT!G165,1,0))</f>
        <v>1</v>
      </c>
      <c r="H165" s="20">
        <f>IF(coder1_YH!P164="","",IF(RIGHT(coder1_YH!P164,3)=RIGHT(coder2_NY_MT!J165,3),1,0))</f>
        <v>1</v>
      </c>
      <c r="I165" s="20">
        <f>IF(H165="","",IF(OR(coder2_NY_MT!K165="", coder1_YH!Q164 = ""),0,1))</f>
        <v>1</v>
      </c>
      <c r="J165" s="20">
        <f>IF(coder1_YH!R164="","",IF(coder1_YH!R164=coder2_NY_MT!L165,1,0))</f>
        <v>1</v>
      </c>
      <c r="K165" s="20">
        <f>IF(coder1_YH!S164="","",IF(coder1_YH!S164=coder2_NY_MT!M165,1,0))</f>
        <v>1</v>
      </c>
      <c r="L165" s="20">
        <f>IF(coder1_YH!T164="","",IF(coder1_YH!T164=coder2_NY_MT!N165,1,0))</f>
        <v>1</v>
      </c>
      <c r="M165" s="20">
        <f>IF(coder1_YH!U164="","",IF(coder1_YH!U164=coder2_NY_MT!O165,1,0))</f>
        <v>1</v>
      </c>
      <c r="N165" s="20">
        <f>IF(coder1_YH!V164="","",IF(coder1_YH!V164=coder2_NY_MT!P165,1,0))</f>
        <v>1</v>
      </c>
      <c r="O165" s="20">
        <f>IF(coder1_YH!W164="","",IF(coder1_YH!W164=coder2_NY_MT!Q165,1,0))</f>
        <v>1</v>
      </c>
      <c r="P165" s="20">
        <f>IF(coder1_YH!X164="","",IF(coder1_YH!X164=coder2_NY_MT!R165,1,0))</f>
        <v>1</v>
      </c>
      <c r="Q165" s="20">
        <f>IF(coder1_YH!Y164="","",IF(coder1_YH!Y164=coder2_NY_MT!S165,1,0))</f>
        <v>1</v>
      </c>
      <c r="R165" s="20">
        <f>IF(coder1_YH!Z164="","",IF(coder1_YH!Z164=coder2_NY_MT!T165,1,0))</f>
        <v>1</v>
      </c>
      <c r="S165" s="20">
        <f>IF(R165="","",IF(OR(coder2_NY_MT!U165="", coder1_YH!AA164 = ""),0,1))</f>
        <v>1</v>
      </c>
      <c r="T165" s="20">
        <f>IF(coder1_YH!AB164="","",IF(coder1_YH!AB164=coder2_NY_MT!V165,1,0))</f>
        <v>1</v>
      </c>
      <c r="U165" s="20">
        <f>IF(coder1_YH!AC164="","",IF(coder1_YH!AC164=coder2_NY_MT!W165,1,0))</f>
        <v>1</v>
      </c>
      <c r="V165" s="20">
        <f>IF(coder1_YH!AD164="","",IF(coder1_YH!AD164=coder2_NY_MT!X165,1,0))</f>
        <v>1</v>
      </c>
      <c r="W165" s="20">
        <f>IF(coder1_YH!AE164="","",IF(coder1_YH!AE164=coder2_NY_MT!Y165,1,0))</f>
        <v>1</v>
      </c>
      <c r="X165" s="20">
        <f>IF(coder1_YH!AF164="","",IF(coder1_YH!AF164=coder2_NY_MT!Z165,1,0))</f>
        <v>1</v>
      </c>
      <c r="Y165" s="20">
        <f>IF(coder1_YH!AG164="","",IF(coder1_YH!AG164=coder2_NY_MT!AA165,1,0))</f>
        <v>1</v>
      </c>
      <c r="Z165" s="20">
        <f>IF(coder1_YH!AH164="","",IF(coder1_YH!AH164=coder2_NY_MT!AB165,1,0))</f>
        <v>1</v>
      </c>
      <c r="AA165" s="20">
        <f>IF(coder1_YH!AI164="","",IF(coder1_YH!AI164=coder2_NY_MT!AC165,1,0))</f>
        <v>1</v>
      </c>
      <c r="AB165" s="20">
        <f>IF(OR(coder2_NY_MT!AD164="", coder1_YH!AJ164 = ""),0,1)</f>
        <v>1</v>
      </c>
      <c r="AC165" s="20">
        <f>IF(coder1_YH!AK164="","",IF(coder1_YH!AK164=coder2_NY_MT!AE165,1,0))</f>
        <v>1</v>
      </c>
      <c r="AD165" s="20">
        <f>IF(OR(coder2_NY_MT!AF165="", coder1_YH!AL164 = ""),0,1)</f>
        <v>1</v>
      </c>
      <c r="AF165" s="20">
        <f>IF(coder1_YH!AN164="","",IF(coder1_YH!AN164=coder2_NY_MT!AH165,1,0))</f>
        <v>1</v>
      </c>
      <c r="AG165" s="20">
        <f>IF(coder1_YH!AO164="","",IF(coder1_YH!AO164=coder2_NY_MT!AI165,1,0))</f>
        <v>1</v>
      </c>
      <c r="AH165" s="20">
        <f>IF(coder1_YH!AP164="","",IF(coder1_YH!AP164=coder2_NY_MT!AJ165,1,0))</f>
        <v>1</v>
      </c>
      <c r="AI165" s="20">
        <f>IF(coder1_YH!AQ164="","",IF(coder1_YH!AQ164=coder2_NY_MT!AK165,1,0))</f>
        <v>1</v>
      </c>
      <c r="AJ165" s="20">
        <f>IF(coder1_YH!AR164="","",IF(coder1_YH!AR164=coder2_NY_MT!AL165,1,0))</f>
        <v>1</v>
      </c>
      <c r="AK165" s="20">
        <f>IF(coder1_YH!AS164="","",IF(coder1_YH!AS164=coder2_NY_MT!AM165,1,0))</f>
        <v>1</v>
      </c>
      <c r="AL165" s="20" t="str">
        <f>IF(coder1_YH!AZ164="","",IF(coder1_YH!AZ164=coder2_NY_MT!AT165,1,0))</f>
        <v/>
      </c>
      <c r="AM165" s="20" t="str">
        <f>IF(coder1_YH!BA164="","",IF(coder1_YH!BA164=coder2_NY_MT!AU165,1,0))</f>
        <v/>
      </c>
      <c r="AN165" s="2"/>
    </row>
    <row r="166" spans="1:40" s="20" customFormat="1" ht="17" hidden="1" customHeight="1" x14ac:dyDescent="0.2">
      <c r="A166" s="20" t="str">
        <f>IF(coder1_YH!G165="","",IF(coder1_YH!G165=coder2_NY_MT!A166,1,0))</f>
        <v/>
      </c>
      <c r="B166" s="20" t="str">
        <f>IF(coder1_YH!H165="","",IF(RIGHT(coder1_YH!H165,2)=RIGHT(coder2_NY_MT!B166,2),1,0))</f>
        <v/>
      </c>
      <c r="C166" s="20" t="str">
        <f>IF(coder1_YH!I165="","",IF(coder1_YH!I165=coder2_NY_MT!C166,1,0))</f>
        <v/>
      </c>
      <c r="E166" s="20" t="str">
        <f>IF(coder1_YH!K165="","",IF(coder1_YH!K165=coder2_NY_MT!E166,1,0))</f>
        <v/>
      </c>
      <c r="F166" s="20" t="str">
        <f>IF(coder1_YH!L165="","",IF(coder1_YH!L165=coder2_NY_MT!F166,1,0))</f>
        <v/>
      </c>
      <c r="G166" s="20" t="str">
        <f>IF(coder1_YH!M165="","",IF(coder1_YH!M165=coder2_NY_MT!G166,1,0))</f>
        <v/>
      </c>
      <c r="H166" s="20">
        <f>IF(coder1_YH!P165="","",IF(RIGHT(coder1_YH!P165,3)=RIGHT(coder2_NY_MT!J166,3),1,0))</f>
        <v>0</v>
      </c>
      <c r="I166" s="20">
        <f>IF(H166="","",IF(OR(coder2_NY_MT!K166="", coder1_YH!Q165 = ""),0,1))</f>
        <v>1</v>
      </c>
      <c r="J166" s="20">
        <f>IF(coder1_YH!R165="","",IF(coder1_YH!R165=coder2_NY_MT!L166,1,0))</f>
        <v>1</v>
      </c>
      <c r="K166" s="20">
        <f>IF(coder1_YH!S165="","",IF(coder1_YH!S165=coder2_NY_MT!M166,1,0))</f>
        <v>1</v>
      </c>
      <c r="L166" s="20">
        <f>IF(coder1_YH!T165="","",IF(coder1_YH!T165=coder2_NY_MT!N166,1,0))</f>
        <v>1</v>
      </c>
      <c r="M166" s="20">
        <f>IF(coder1_YH!U165="","",IF(coder1_YH!U165=coder2_NY_MT!O166,1,0))</f>
        <v>1</v>
      </c>
      <c r="N166" s="20">
        <f>IF(coder1_YH!V165="","",IF(coder1_YH!V165=coder2_NY_MT!P166,1,0))</f>
        <v>1</v>
      </c>
      <c r="O166" s="20">
        <f>IF(coder1_YH!W165="","",IF(coder1_YH!W165=coder2_NY_MT!Q166,1,0))</f>
        <v>1</v>
      </c>
      <c r="P166" s="20">
        <f>IF(coder1_YH!X165="","",IF(coder1_YH!X165=coder2_NY_MT!R166,1,0))</f>
        <v>1</v>
      </c>
      <c r="Q166" s="20">
        <f>IF(coder1_YH!Y165="","",IF(coder1_YH!Y165=coder2_NY_MT!S166,1,0))</f>
        <v>1</v>
      </c>
      <c r="R166" s="20">
        <f>IF(coder1_YH!Z165="","",IF(coder1_YH!Z165=coder2_NY_MT!T166,1,0))</f>
        <v>1</v>
      </c>
      <c r="S166" s="20">
        <f>IF(R166="","",IF(OR(coder2_NY_MT!U166="", coder1_YH!AA165 = ""),0,1))</f>
        <v>1</v>
      </c>
      <c r="T166" s="20">
        <f>IF(coder1_YH!AB165="","",IF(coder1_YH!AB165=coder2_NY_MT!V166,1,0))</f>
        <v>1</v>
      </c>
      <c r="U166" s="20">
        <f>IF(coder1_YH!AC165="","",IF(coder1_YH!AC165=coder2_NY_MT!W166,1,0))</f>
        <v>1</v>
      </c>
      <c r="V166" s="20">
        <f>IF(coder1_YH!AD165="","",IF(coder1_YH!AD165=coder2_NY_MT!X166,1,0))</f>
        <v>1</v>
      </c>
      <c r="W166" s="20">
        <f>IF(coder1_YH!AE165="","",IF(coder1_YH!AE165=coder2_NY_MT!Y166,1,0))</f>
        <v>1</v>
      </c>
      <c r="X166" s="20">
        <f>IF(coder1_YH!AF165="","",IF(coder1_YH!AF165=coder2_NY_MT!Z166,1,0))</f>
        <v>1</v>
      </c>
      <c r="Y166" s="20">
        <f>IF(coder1_YH!AG165="","",IF(coder1_YH!AG165=coder2_NY_MT!AA166,1,0))</f>
        <v>1</v>
      </c>
      <c r="Z166" s="20">
        <f>IF(coder1_YH!AH165="","",IF(coder1_YH!AH165=coder2_NY_MT!AB166,1,0))</f>
        <v>1</v>
      </c>
      <c r="AA166" s="20">
        <f>IF(coder1_YH!AI165="","",IF(coder1_YH!AI165=coder2_NY_MT!AC166,1,0))</f>
        <v>1</v>
      </c>
      <c r="AB166" s="20">
        <f>IF(OR(coder2_NY_MT!AD165="", coder1_YH!AJ165 = ""),0,1)</f>
        <v>1</v>
      </c>
      <c r="AC166" s="20">
        <f>IF(coder1_YH!AK165="","",IF(coder1_YH!AK165=coder2_NY_MT!AE166,1,0))</f>
        <v>1</v>
      </c>
      <c r="AD166" s="20">
        <f>IF(OR(coder2_NY_MT!AF166="", coder1_YH!AL165 = ""),0,1)</f>
        <v>1</v>
      </c>
      <c r="AF166" s="20">
        <f>IF(coder1_YH!AN165="","",IF(coder1_YH!AN165=coder2_NY_MT!AH166,1,0))</f>
        <v>1</v>
      </c>
      <c r="AG166" s="20">
        <f>IF(coder1_YH!AO165="","",IF(coder1_YH!AO165=coder2_NY_MT!AI166,1,0))</f>
        <v>1</v>
      </c>
      <c r="AH166" s="20">
        <f>IF(coder1_YH!AP165="","",IF(coder1_YH!AP165=coder2_NY_MT!AJ166,1,0))</f>
        <v>1</v>
      </c>
      <c r="AI166" s="20">
        <f>IF(coder1_YH!AQ165="","",IF(coder1_YH!AQ165=coder2_NY_MT!AK166,1,0))</f>
        <v>1</v>
      </c>
      <c r="AJ166" s="20">
        <f>IF(coder1_YH!AR165="","",IF(coder1_YH!AR165=coder2_NY_MT!AL166,1,0))</f>
        <v>1</v>
      </c>
      <c r="AK166" s="20">
        <f>IF(coder1_YH!AS165="","",IF(coder1_YH!AS165=coder2_NY_MT!AM166,1,0))</f>
        <v>1</v>
      </c>
      <c r="AL166" s="20" t="str">
        <f>IF(coder1_YH!AZ165="","",IF(coder1_YH!AZ165=coder2_NY_MT!AT166,1,0))</f>
        <v/>
      </c>
      <c r="AM166" s="20" t="str">
        <f>IF(coder1_YH!BA165="","",IF(coder1_YH!BA165=coder2_NY_MT!AU166,1,0))</f>
        <v/>
      </c>
      <c r="AN166" s="2"/>
    </row>
    <row r="167" spans="1:40" s="20" customFormat="1" ht="17" hidden="1" customHeight="1" x14ac:dyDescent="0.2">
      <c r="A167" s="20">
        <f>IF(coder1_YH!G166="","",IF(coder1_YH!G166=coder2_NY_MT!A167,1,0))</f>
        <v>1</v>
      </c>
      <c r="B167" s="20">
        <f>IF(coder1_YH!H166="","",IF(RIGHT(coder1_YH!H166,2)=RIGHT(coder2_NY_MT!B167,2),1,0))</f>
        <v>0</v>
      </c>
      <c r="C167" s="20">
        <f>IF(coder1_YH!I166="","",IF(coder1_YH!I166=coder2_NY_MT!C167,1,0))</f>
        <v>1</v>
      </c>
      <c r="E167" s="20">
        <f>IF(coder1_YH!K166="","",IF(coder1_YH!K166=coder2_NY_MT!E167,1,0))</f>
        <v>1</v>
      </c>
      <c r="F167" s="20">
        <f>IF(coder1_YH!L166="","",IF(coder1_YH!L166=coder2_NY_MT!F167,1,0))</f>
        <v>1</v>
      </c>
      <c r="G167" s="20">
        <f>IF(coder1_YH!M166="","",IF(coder1_YH!M166=coder2_NY_MT!G167,1,0))</f>
        <v>1</v>
      </c>
      <c r="H167" s="20">
        <f>IF(coder1_YH!P166="","",IF(RIGHT(coder1_YH!P166,3)=RIGHT(coder2_NY_MT!J167,3),1,0))</f>
        <v>0</v>
      </c>
      <c r="I167" s="20">
        <f>IF(H167="","",IF(OR(coder2_NY_MT!K167="", coder1_YH!Q166 = ""),0,1))</f>
        <v>1</v>
      </c>
      <c r="J167" s="20">
        <f>IF(coder1_YH!R166="","",IF(coder1_YH!R166=coder2_NY_MT!L167,1,0))</f>
        <v>1</v>
      </c>
      <c r="K167" s="20">
        <f>IF(coder1_YH!S166="","",IF(coder1_YH!S166=coder2_NY_MT!M167,1,0))</f>
        <v>1</v>
      </c>
      <c r="L167" s="20">
        <f>IF(coder1_YH!T166="","",IF(coder1_YH!T166=coder2_NY_MT!N167,1,0))</f>
        <v>1</v>
      </c>
      <c r="M167" s="20">
        <f>IF(coder1_YH!U166="","",IF(coder1_YH!U166=coder2_NY_MT!O167,1,0))</f>
        <v>1</v>
      </c>
      <c r="N167" s="20">
        <f>IF(coder1_YH!V166="","",IF(coder1_YH!V166=coder2_NY_MT!P167,1,0))</f>
        <v>1</v>
      </c>
      <c r="O167" s="20">
        <f>IF(coder1_YH!W166="","",IF(coder1_YH!W166=coder2_NY_MT!Q167,1,0))</f>
        <v>1</v>
      </c>
      <c r="P167" s="20">
        <f>IF(coder1_YH!X166="","",IF(coder1_YH!X166=coder2_NY_MT!R167,1,0))</f>
        <v>1</v>
      </c>
      <c r="Q167" s="20">
        <f>IF(coder1_YH!Y166="","",IF(coder1_YH!Y166=coder2_NY_MT!S167,1,0))</f>
        <v>1</v>
      </c>
      <c r="R167" s="20">
        <f>IF(coder1_YH!Z166="","",IF(coder1_YH!Z166=coder2_NY_MT!T167,1,0))</f>
        <v>1</v>
      </c>
      <c r="S167" s="20">
        <f>IF(R167="","",IF(OR(coder2_NY_MT!U167="", coder1_YH!AA166 = ""),0,1))</f>
        <v>1</v>
      </c>
      <c r="T167" s="20">
        <f>IF(coder1_YH!AB166="","",IF(coder1_YH!AB166=coder2_NY_MT!V167,1,0))</f>
        <v>1</v>
      </c>
      <c r="U167" s="20">
        <f>IF(coder1_YH!AC166="","",IF(coder1_YH!AC166=coder2_NY_MT!W167,1,0))</f>
        <v>1</v>
      </c>
      <c r="V167" s="20">
        <f>IF(coder1_YH!AD166="","",IF(coder1_YH!AD166=coder2_NY_MT!X167,1,0))</f>
        <v>1</v>
      </c>
      <c r="W167" s="20">
        <f>IF(coder1_YH!AE166="","",IF(coder1_YH!AE166=coder2_NY_MT!Y167,1,0))</f>
        <v>1</v>
      </c>
      <c r="X167" s="20">
        <f>IF(coder1_YH!AF166="","",IF(coder1_YH!AF166=coder2_NY_MT!Z167,1,0))</f>
        <v>1</v>
      </c>
      <c r="Y167" s="20">
        <f>IF(coder1_YH!AG166="","",IF(coder1_YH!AG166=coder2_NY_MT!AA167,1,0))</f>
        <v>1</v>
      </c>
      <c r="Z167" s="20">
        <f>IF(coder1_YH!AH166="","",IF(coder1_YH!AH166=coder2_NY_MT!AB167,1,0))</f>
        <v>1</v>
      </c>
      <c r="AA167" s="20">
        <f>IF(coder1_YH!AI166="","",IF(coder1_YH!AI166=coder2_NY_MT!AC167,1,0))</f>
        <v>1</v>
      </c>
      <c r="AB167" s="20">
        <f>IF(OR(coder2_NY_MT!AD166="", coder1_YH!AJ166 = ""),0,1)</f>
        <v>1</v>
      </c>
      <c r="AC167" s="20">
        <f>IF(coder1_YH!AK166="","",IF(coder1_YH!AK166=coder2_NY_MT!AE167,1,0))</f>
        <v>1</v>
      </c>
      <c r="AD167" s="20">
        <f>IF(OR(coder2_NY_MT!AF167="", coder1_YH!AL166 = ""),0,1)</f>
        <v>1</v>
      </c>
      <c r="AF167" s="20">
        <f>IF(coder1_YH!AN166="","",IF(coder1_YH!AN166=coder2_NY_MT!AH167,1,0))</f>
        <v>1</v>
      </c>
      <c r="AG167" s="20">
        <f>IF(coder1_YH!AO166="","",IF(coder1_YH!AO166=coder2_NY_MT!AI167,1,0))</f>
        <v>1</v>
      </c>
      <c r="AH167" s="20">
        <f>IF(coder1_YH!AP166="","",IF(coder1_YH!AP166=coder2_NY_MT!AJ167,1,0))</f>
        <v>1</v>
      </c>
      <c r="AI167" s="20">
        <f>IF(coder1_YH!AQ166="","",IF(coder1_YH!AQ166=coder2_NY_MT!AK167,1,0))</f>
        <v>1</v>
      </c>
      <c r="AJ167" s="20">
        <f>IF(coder1_YH!AR166="","",IF(coder1_YH!AR166=coder2_NY_MT!AL167,1,0))</f>
        <v>1</v>
      </c>
      <c r="AK167" s="20">
        <f>IF(coder1_YH!AS166="","",IF(coder1_YH!AS166=coder2_NY_MT!AM167,1,0))</f>
        <v>1</v>
      </c>
      <c r="AL167" s="20" t="str">
        <f>IF(coder1_YH!AZ166="","",IF(coder1_YH!AZ166=coder2_NY_MT!AT167,1,0))</f>
        <v/>
      </c>
      <c r="AM167" s="20" t="str">
        <f>IF(coder1_YH!BA166="","",IF(coder1_YH!BA166=coder2_NY_MT!AU167,1,0))</f>
        <v/>
      </c>
      <c r="AN167" s="2"/>
    </row>
    <row r="168" spans="1:40" s="20" customFormat="1" ht="17" hidden="1" customHeight="1" x14ac:dyDescent="0.2">
      <c r="A168" s="20" t="str">
        <f>IF(coder1_YH!G167="","",IF(coder1_YH!G167=coder2_NY_MT!A168,1,0))</f>
        <v/>
      </c>
      <c r="B168" s="20" t="str">
        <f>IF(coder1_YH!H167="","",IF(RIGHT(coder1_YH!H167,2)=RIGHT(coder2_NY_MT!B168,2),1,0))</f>
        <v/>
      </c>
      <c r="C168" s="20" t="str">
        <f>IF(coder1_YH!I167="","",IF(coder1_YH!I167=coder2_NY_MT!C168,1,0))</f>
        <v/>
      </c>
      <c r="E168" s="20" t="str">
        <f>IF(coder1_YH!K167="","",IF(coder1_YH!K167=coder2_NY_MT!E168,1,0))</f>
        <v/>
      </c>
      <c r="F168" s="20" t="str">
        <f>IF(coder1_YH!L167="","",IF(coder1_YH!L167=coder2_NY_MT!F168,1,0))</f>
        <v/>
      </c>
      <c r="G168" s="20" t="str">
        <f>IF(coder1_YH!M167="","",IF(coder1_YH!M167=coder2_NY_MT!G168,1,0))</f>
        <v/>
      </c>
      <c r="H168" s="20" t="str">
        <f>IF(coder1_YH!P167="","",IF(RIGHT(coder1_YH!P167,3)=RIGHT(coder2_NY_MT!J168,3),1,0))</f>
        <v/>
      </c>
      <c r="I168" s="20" t="str">
        <f>IF(H168="","",IF(OR(coder2_NY_MT!K168="", coder1_YH!Q167 = ""),0,1))</f>
        <v/>
      </c>
      <c r="J168" s="20" t="str">
        <f>IF(coder1_YH!R167="","",IF(coder1_YH!R167=coder2_NY_MT!L168,1,0))</f>
        <v/>
      </c>
      <c r="K168" s="20" t="str">
        <f>IF(coder1_YH!S167="","",IF(coder1_YH!S167=coder2_NY_MT!M168,1,0))</f>
        <v/>
      </c>
      <c r="L168" s="20" t="str">
        <f>IF(coder1_YH!T167="","",IF(coder1_YH!T167=coder2_NY_MT!N168,1,0))</f>
        <v/>
      </c>
      <c r="M168" s="20" t="str">
        <f>IF(coder1_YH!U167="","",IF(coder1_YH!U167=coder2_NY_MT!O168,1,0))</f>
        <v/>
      </c>
      <c r="N168" s="20" t="str">
        <f>IF(coder1_YH!V167="","",IF(coder1_YH!V167=coder2_NY_MT!P168,1,0))</f>
        <v/>
      </c>
      <c r="O168" s="20" t="str">
        <f>IF(coder1_YH!W167="","",IF(coder1_YH!W167=coder2_NY_MT!Q168,1,0))</f>
        <v/>
      </c>
      <c r="P168" s="20" t="str">
        <f>IF(coder1_YH!X167="","",IF(coder1_YH!X167=coder2_NY_MT!R168,1,0))</f>
        <v/>
      </c>
      <c r="Q168" s="20" t="str">
        <f>IF(coder1_YH!Y167="","",IF(coder1_YH!Y167=coder2_NY_MT!S168,1,0))</f>
        <v/>
      </c>
      <c r="R168" s="20" t="str">
        <f>IF(coder1_YH!Z167="","",IF(coder1_YH!Z167=coder2_NY_MT!T168,1,0))</f>
        <v/>
      </c>
      <c r="S168" s="20" t="str">
        <f>IF(R168="","",IF(OR(coder2_NY_MT!U168="", coder1_YH!AA167 = ""),0,1))</f>
        <v/>
      </c>
      <c r="T168" s="20" t="str">
        <f>IF(coder1_YH!AB167="","",IF(coder1_YH!AB167=coder2_NY_MT!V168,1,0))</f>
        <v/>
      </c>
      <c r="U168" s="20" t="str">
        <f>IF(coder1_YH!AC167="","",IF(coder1_YH!AC167=coder2_NY_MT!W168,1,0))</f>
        <v/>
      </c>
      <c r="V168" s="20" t="str">
        <f>IF(coder1_YH!AD167="","",IF(coder1_YH!AD167=coder2_NY_MT!X168,1,0))</f>
        <v/>
      </c>
      <c r="W168" s="20" t="str">
        <f>IF(coder1_YH!AE167="","",IF(coder1_YH!AE167=coder2_NY_MT!Y168,1,0))</f>
        <v/>
      </c>
      <c r="X168" s="20" t="str">
        <f>IF(coder1_YH!AF167="","",IF(coder1_YH!AF167=coder2_NY_MT!Z168,1,0))</f>
        <v/>
      </c>
      <c r="Y168" s="20" t="str">
        <f>IF(coder1_YH!AG167="","",IF(coder1_YH!AG167=coder2_NY_MT!AA168,1,0))</f>
        <v/>
      </c>
      <c r="Z168" s="20" t="str">
        <f>IF(coder1_YH!AH167="","",IF(coder1_YH!AH167=coder2_NY_MT!AB168,1,0))</f>
        <v/>
      </c>
      <c r="AA168" s="20" t="str">
        <f>IF(coder1_YH!AI167="","",IF(coder1_YH!AI167=coder2_NY_MT!AC168,1,0))</f>
        <v/>
      </c>
      <c r="AB168" s="20">
        <f>IF(OR(coder2_NY_MT!AD167="", coder1_YH!AJ167 = ""),0,1)</f>
        <v>1</v>
      </c>
      <c r="AC168" s="20">
        <f>IF(coder1_YH!AK167="","",IF(coder1_YH!AK167=coder2_NY_MT!AE168,1,0))</f>
        <v>1</v>
      </c>
      <c r="AD168" s="20">
        <f>IF(OR(coder2_NY_MT!AF168="", coder1_YH!AL167 = ""),0,1)</f>
        <v>1</v>
      </c>
      <c r="AF168" s="20">
        <f>IF(coder1_YH!AN167="","",IF(coder1_YH!AN167=coder2_NY_MT!AH168,1,0))</f>
        <v>1</v>
      </c>
      <c r="AG168" s="20">
        <f>IF(coder1_YH!AO167="","",IF(coder1_YH!AO167=coder2_NY_MT!AI168,1,0))</f>
        <v>1</v>
      </c>
      <c r="AH168" s="20">
        <f>IF(coder1_YH!AP167="","",IF(coder1_YH!AP167=coder2_NY_MT!AJ168,1,0))</f>
        <v>1</v>
      </c>
      <c r="AI168" s="20">
        <f>IF(coder1_YH!AQ167="","",IF(coder1_YH!AQ167=coder2_NY_MT!AK168,1,0))</f>
        <v>1</v>
      </c>
      <c r="AJ168" s="20">
        <f>IF(coder1_YH!AR167="","",IF(coder1_YH!AR167=coder2_NY_MT!AL168,1,0))</f>
        <v>1</v>
      </c>
      <c r="AK168" s="20">
        <f>IF(coder1_YH!AS167="","",IF(coder1_YH!AS167=coder2_NY_MT!AM168,1,0))</f>
        <v>1</v>
      </c>
      <c r="AL168" s="20" t="str">
        <f>IF(coder1_YH!AZ167="","",IF(coder1_YH!AZ167=coder2_NY_MT!AT168,1,0))</f>
        <v/>
      </c>
      <c r="AM168" s="20" t="str">
        <f>IF(coder1_YH!BA167="","",IF(coder1_YH!BA167=coder2_NY_MT!AU168,1,0))</f>
        <v/>
      </c>
      <c r="AN168" s="2"/>
    </row>
    <row r="169" spans="1:40" s="20" customFormat="1" ht="17" hidden="1" customHeight="1" x14ac:dyDescent="0.2">
      <c r="A169" s="20" t="str">
        <f>IF(coder1_YH!G168="","",IF(coder1_YH!G168=coder2_NY_MT!A169,1,0))</f>
        <v/>
      </c>
      <c r="B169" s="20" t="str">
        <f>IF(coder1_YH!H168="","",IF(RIGHT(coder1_YH!H168,2)=RIGHT(coder2_NY_MT!B169,2),1,0))</f>
        <v/>
      </c>
      <c r="C169" s="20" t="str">
        <f>IF(coder1_YH!I168="","",IF(coder1_YH!I168=coder2_NY_MT!C169,1,0))</f>
        <v/>
      </c>
      <c r="E169" s="20" t="str">
        <f>IF(coder1_YH!K168="","",IF(coder1_YH!K168=coder2_NY_MT!E169,1,0))</f>
        <v/>
      </c>
      <c r="F169" s="20" t="str">
        <f>IF(coder1_YH!L168="","",IF(coder1_YH!L168=coder2_NY_MT!F169,1,0))</f>
        <v/>
      </c>
      <c r="G169" s="20" t="str">
        <f>IF(coder1_YH!M168="","",IF(coder1_YH!M168=coder2_NY_MT!G169,1,0))</f>
        <v/>
      </c>
      <c r="H169" s="20" t="str">
        <f>IF(coder1_YH!P168="","",IF(RIGHT(coder1_YH!P168,3)=RIGHT(coder2_NY_MT!J169,3),1,0))</f>
        <v/>
      </c>
      <c r="I169" s="20" t="str">
        <f>IF(H169="","",IF(OR(coder2_NY_MT!K169="", coder1_YH!Q168 = ""),0,1))</f>
        <v/>
      </c>
      <c r="J169" s="20" t="str">
        <f>IF(coder1_YH!R168="","",IF(coder1_YH!R168=coder2_NY_MT!L169,1,0))</f>
        <v/>
      </c>
      <c r="K169" s="20" t="str">
        <f>IF(coder1_YH!S168="","",IF(coder1_YH!S168=coder2_NY_MT!M169,1,0))</f>
        <v/>
      </c>
      <c r="L169" s="20" t="str">
        <f>IF(coder1_YH!T168="","",IF(coder1_YH!T168=coder2_NY_MT!N169,1,0))</f>
        <v/>
      </c>
      <c r="M169" s="20" t="str">
        <f>IF(coder1_YH!U168="","",IF(coder1_YH!U168=coder2_NY_MT!O169,1,0))</f>
        <v/>
      </c>
      <c r="N169" s="20" t="str">
        <f>IF(coder1_YH!V168="","",IF(coder1_YH!V168=coder2_NY_MT!P169,1,0))</f>
        <v/>
      </c>
      <c r="O169" s="20" t="str">
        <f>IF(coder1_YH!W168="","",IF(coder1_YH!W168=coder2_NY_MT!Q169,1,0))</f>
        <v/>
      </c>
      <c r="P169" s="20" t="str">
        <f>IF(coder1_YH!X168="","",IF(coder1_YH!X168=coder2_NY_MT!R169,1,0))</f>
        <v/>
      </c>
      <c r="Q169" s="20" t="str">
        <f>IF(coder1_YH!Y168="","",IF(coder1_YH!Y168=coder2_NY_MT!S169,1,0))</f>
        <v/>
      </c>
      <c r="R169" s="20" t="str">
        <f>IF(coder1_YH!Z168="","",IF(coder1_YH!Z168=coder2_NY_MT!T169,1,0))</f>
        <v/>
      </c>
      <c r="S169" s="20" t="str">
        <f>IF(R169="","",IF(OR(coder2_NY_MT!U169="", coder1_YH!AA168 = ""),0,1))</f>
        <v/>
      </c>
      <c r="T169" s="20" t="str">
        <f>IF(coder1_YH!AB168="","",IF(coder1_YH!AB168=coder2_NY_MT!V169,1,0))</f>
        <v/>
      </c>
      <c r="U169" s="20" t="str">
        <f>IF(coder1_YH!AC168="","",IF(coder1_YH!AC168=coder2_NY_MT!W169,1,0))</f>
        <v/>
      </c>
      <c r="V169" s="20" t="str">
        <f>IF(coder1_YH!AD168="","",IF(coder1_YH!AD168=coder2_NY_MT!X169,1,0))</f>
        <v/>
      </c>
      <c r="W169" s="20" t="str">
        <f>IF(coder1_YH!AE168="","",IF(coder1_YH!AE168=coder2_NY_MT!Y169,1,0))</f>
        <v/>
      </c>
      <c r="X169" s="20" t="str">
        <f>IF(coder1_YH!AF168="","",IF(coder1_YH!AF168=coder2_NY_MT!Z169,1,0))</f>
        <v/>
      </c>
      <c r="Y169" s="20" t="str">
        <f>IF(coder1_YH!AG168="","",IF(coder1_YH!AG168=coder2_NY_MT!AA169,1,0))</f>
        <v/>
      </c>
      <c r="Z169" s="20" t="str">
        <f>IF(coder1_YH!AH168="","",IF(coder1_YH!AH168=coder2_NY_MT!AB169,1,0))</f>
        <v/>
      </c>
      <c r="AA169" s="20" t="str">
        <f>IF(coder1_YH!AI168="","",IF(coder1_YH!AI168=coder2_NY_MT!AC169,1,0))</f>
        <v/>
      </c>
      <c r="AB169" s="20">
        <f>IF(OR(coder2_NY_MT!AD168="", coder1_YH!AJ168 = ""),0,1)</f>
        <v>1</v>
      </c>
      <c r="AC169" s="20">
        <f>IF(coder1_YH!AK168="","",IF(coder1_YH!AK168=coder2_NY_MT!AE169,1,0))</f>
        <v>1</v>
      </c>
      <c r="AD169" s="20">
        <f>IF(OR(coder2_NY_MT!AF169="", coder1_YH!AL168 = ""),0,1)</f>
        <v>1</v>
      </c>
      <c r="AF169" s="20">
        <f>IF(coder1_YH!AN168="","",IF(coder1_YH!AN168=coder2_NY_MT!AH169,1,0))</f>
        <v>1</v>
      </c>
      <c r="AG169" s="20">
        <f>IF(coder1_YH!AO168="","",IF(coder1_YH!AO168=coder2_NY_MT!AI169,1,0))</f>
        <v>1</v>
      </c>
      <c r="AH169" s="20">
        <f>IF(coder1_YH!AP168="","",IF(coder1_YH!AP168=coder2_NY_MT!AJ169,1,0))</f>
        <v>1</v>
      </c>
      <c r="AI169" s="20">
        <f>IF(coder1_YH!AQ168="","",IF(coder1_YH!AQ168=coder2_NY_MT!AK169,1,0))</f>
        <v>1</v>
      </c>
      <c r="AJ169" s="20">
        <f>IF(coder1_YH!AR168="","",IF(coder1_YH!AR168=coder2_NY_MT!AL169,1,0))</f>
        <v>1</v>
      </c>
      <c r="AK169" s="20">
        <f>IF(coder1_YH!AS168="","",IF(coder1_YH!AS168=coder2_NY_MT!AM169,1,0))</f>
        <v>1</v>
      </c>
      <c r="AL169" s="20" t="str">
        <f>IF(coder1_YH!AZ168="","",IF(coder1_YH!AZ168=coder2_NY_MT!AT169,1,0))</f>
        <v/>
      </c>
      <c r="AM169" s="20" t="str">
        <f>IF(coder1_YH!BA168="","",IF(coder1_YH!BA168=coder2_NY_MT!AU169,1,0))</f>
        <v/>
      </c>
      <c r="AN169" s="2"/>
    </row>
    <row r="170" spans="1:40" s="20" customFormat="1" ht="17" hidden="1" customHeight="1" x14ac:dyDescent="0.2">
      <c r="A170" s="20" t="str">
        <f>IF(coder1_YH!G169="","",IF(coder1_YH!G169=coder2_NY_MT!A170,1,0))</f>
        <v/>
      </c>
      <c r="B170" s="20" t="str">
        <f>IF(coder1_YH!H169="","",IF(RIGHT(coder1_YH!H169,2)=RIGHT(coder2_NY_MT!B170,2),1,0))</f>
        <v/>
      </c>
      <c r="C170" s="20" t="str">
        <f>IF(coder1_YH!I169="","",IF(coder1_YH!I169=coder2_NY_MT!C170,1,0))</f>
        <v/>
      </c>
      <c r="E170" s="20" t="str">
        <f>IF(coder1_YH!K169="","",IF(coder1_YH!K169=coder2_NY_MT!E170,1,0))</f>
        <v/>
      </c>
      <c r="F170" s="20" t="str">
        <f>IF(coder1_YH!L169="","",IF(coder1_YH!L169=coder2_NY_MT!F170,1,0))</f>
        <v/>
      </c>
      <c r="G170" s="20" t="str">
        <f>IF(coder1_YH!M169="","",IF(coder1_YH!M169=coder2_NY_MT!G170,1,0))</f>
        <v/>
      </c>
      <c r="H170" s="20" t="str">
        <f>IF(coder1_YH!P169="","",IF(RIGHT(coder1_YH!P169,3)=RIGHT(coder2_NY_MT!J170,3),1,0))</f>
        <v/>
      </c>
      <c r="I170" s="20" t="str">
        <f>IF(H170="","",IF(OR(coder2_NY_MT!K170="", coder1_YH!Q169 = ""),0,1))</f>
        <v/>
      </c>
      <c r="J170" s="20" t="str">
        <f>IF(coder1_YH!R169="","",IF(coder1_YH!R169=coder2_NY_MT!L170,1,0))</f>
        <v/>
      </c>
      <c r="K170" s="20" t="str">
        <f>IF(coder1_YH!S169="","",IF(coder1_YH!S169=coder2_NY_MT!M170,1,0))</f>
        <v/>
      </c>
      <c r="L170" s="20" t="str">
        <f>IF(coder1_YH!T169="","",IF(coder1_YH!T169=coder2_NY_MT!N170,1,0))</f>
        <v/>
      </c>
      <c r="M170" s="20" t="str">
        <f>IF(coder1_YH!U169="","",IF(coder1_YH!U169=coder2_NY_MT!O170,1,0))</f>
        <v/>
      </c>
      <c r="N170" s="20" t="str">
        <f>IF(coder1_YH!V169="","",IF(coder1_YH!V169=coder2_NY_MT!P170,1,0))</f>
        <v/>
      </c>
      <c r="O170" s="20" t="str">
        <f>IF(coder1_YH!W169="","",IF(coder1_YH!W169=coder2_NY_MT!Q170,1,0))</f>
        <v/>
      </c>
      <c r="P170" s="20" t="str">
        <f>IF(coder1_YH!X169="","",IF(coder1_YH!X169=coder2_NY_MT!R170,1,0))</f>
        <v/>
      </c>
      <c r="Q170" s="20" t="str">
        <f>IF(coder1_YH!Y169="","",IF(coder1_YH!Y169=coder2_NY_MT!S170,1,0))</f>
        <v/>
      </c>
      <c r="R170" s="20" t="str">
        <f>IF(coder1_YH!Z169="","",IF(coder1_YH!Z169=coder2_NY_MT!T170,1,0))</f>
        <v/>
      </c>
      <c r="S170" s="20" t="str">
        <f>IF(R170="","",IF(OR(coder2_NY_MT!U170="", coder1_YH!AA169 = ""),0,1))</f>
        <v/>
      </c>
      <c r="T170" s="20" t="str">
        <f>IF(coder1_YH!AB169="","",IF(coder1_YH!AB169=coder2_NY_MT!V170,1,0))</f>
        <v/>
      </c>
      <c r="U170" s="20" t="str">
        <f>IF(coder1_YH!AC169="","",IF(coder1_YH!AC169=coder2_NY_MT!W170,1,0))</f>
        <v/>
      </c>
      <c r="V170" s="20" t="str">
        <f>IF(coder1_YH!AD169="","",IF(coder1_YH!AD169=coder2_NY_MT!X170,1,0))</f>
        <v/>
      </c>
      <c r="W170" s="20" t="str">
        <f>IF(coder1_YH!AE169="","",IF(coder1_YH!AE169=coder2_NY_MT!Y170,1,0))</f>
        <v/>
      </c>
      <c r="X170" s="20" t="str">
        <f>IF(coder1_YH!AF169="","",IF(coder1_YH!AF169=coder2_NY_MT!Z170,1,0))</f>
        <v/>
      </c>
      <c r="Y170" s="20" t="str">
        <f>IF(coder1_YH!AG169="","",IF(coder1_YH!AG169=coder2_NY_MT!AA170,1,0))</f>
        <v/>
      </c>
      <c r="Z170" s="20" t="str">
        <f>IF(coder1_YH!AH169="","",IF(coder1_YH!AH169=coder2_NY_MT!AB170,1,0))</f>
        <v/>
      </c>
      <c r="AA170" s="20" t="str">
        <f>IF(coder1_YH!AI169="","",IF(coder1_YH!AI169=coder2_NY_MT!AC170,1,0))</f>
        <v/>
      </c>
      <c r="AB170" s="20">
        <f>IF(OR(coder2_NY_MT!AD169="", coder1_YH!AJ169 = ""),0,1)</f>
        <v>1</v>
      </c>
      <c r="AC170" s="20">
        <f>IF(coder1_YH!AK169="","",IF(coder1_YH!AK169=coder2_NY_MT!AE170,1,0))</f>
        <v>1</v>
      </c>
      <c r="AD170" s="20">
        <f>IF(OR(coder2_NY_MT!AF170="", coder1_YH!AL169 = ""),0,1)</f>
        <v>1</v>
      </c>
      <c r="AF170" s="20">
        <f>IF(coder1_YH!AN169="","",IF(coder1_YH!AN169=coder2_NY_MT!AH170,1,0))</f>
        <v>1</v>
      </c>
      <c r="AG170" s="20">
        <f>IF(coder1_YH!AO169="","",IF(coder1_YH!AO169=coder2_NY_MT!AI170,1,0))</f>
        <v>1</v>
      </c>
      <c r="AH170" s="20">
        <f>IF(coder1_YH!AP169="","",IF(coder1_YH!AP169=coder2_NY_MT!AJ170,1,0))</f>
        <v>1</v>
      </c>
      <c r="AI170" s="20">
        <f>IF(coder1_YH!AQ169="","",IF(coder1_YH!AQ169=coder2_NY_MT!AK170,1,0))</f>
        <v>1</v>
      </c>
      <c r="AJ170" s="20">
        <f>IF(coder1_YH!AR169="","",IF(coder1_YH!AR169=coder2_NY_MT!AL170,1,0))</f>
        <v>1</v>
      </c>
      <c r="AK170" s="20">
        <f>IF(coder1_YH!AS169="","",IF(coder1_YH!AS169=coder2_NY_MT!AM170,1,0))</f>
        <v>1</v>
      </c>
      <c r="AL170" s="20" t="str">
        <f>IF(coder1_YH!AZ169="","",IF(coder1_YH!AZ169=coder2_NY_MT!AT170,1,0))</f>
        <v/>
      </c>
      <c r="AM170" s="20" t="str">
        <f>IF(coder1_YH!BA169="","",IF(coder1_YH!BA169=coder2_NY_MT!AU170,1,0))</f>
        <v/>
      </c>
      <c r="AN170" s="2"/>
    </row>
    <row r="171" spans="1:40" s="20" customFormat="1" ht="17" hidden="1" customHeight="1" x14ac:dyDescent="0.2">
      <c r="A171" s="20" t="str">
        <f>IF(coder1_YH!G170="","",IF(coder1_YH!G170=coder2_NY_MT!A171,1,0))</f>
        <v/>
      </c>
      <c r="B171" s="20" t="str">
        <f>IF(coder1_YH!H170="","",IF(RIGHT(coder1_YH!H170,2)=RIGHT(coder2_NY_MT!B171,2),1,0))</f>
        <v/>
      </c>
      <c r="C171" s="20" t="str">
        <f>IF(coder1_YH!I170="","",IF(coder1_YH!I170=coder2_NY_MT!C171,1,0))</f>
        <v/>
      </c>
      <c r="E171" s="20" t="str">
        <f>IF(coder1_YH!K170="","",IF(coder1_YH!K170=coder2_NY_MT!E171,1,0))</f>
        <v/>
      </c>
      <c r="F171" s="20" t="str">
        <f>IF(coder1_YH!L170="","",IF(coder1_YH!L170=coder2_NY_MT!F171,1,0))</f>
        <v/>
      </c>
      <c r="G171" s="20" t="str">
        <f>IF(coder1_YH!M170="","",IF(coder1_YH!M170=coder2_NY_MT!G171,1,0))</f>
        <v/>
      </c>
      <c r="H171" s="20" t="str">
        <f>IF(coder1_YH!P170="","",IF(RIGHT(coder1_YH!P170,3)=RIGHT(coder2_NY_MT!J171,3),1,0))</f>
        <v/>
      </c>
      <c r="I171" s="20" t="str">
        <f>IF(H171="","",IF(OR(coder2_NY_MT!K171="", coder1_YH!Q170 = ""),0,1))</f>
        <v/>
      </c>
      <c r="J171" s="20" t="str">
        <f>IF(coder1_YH!R170="","",IF(coder1_YH!R170=coder2_NY_MT!L171,1,0))</f>
        <v/>
      </c>
      <c r="K171" s="20" t="str">
        <f>IF(coder1_YH!S170="","",IF(coder1_YH!S170=coder2_NY_MT!M171,1,0))</f>
        <v/>
      </c>
      <c r="L171" s="20" t="str">
        <f>IF(coder1_YH!T170="","",IF(coder1_YH!T170=coder2_NY_MT!N171,1,0))</f>
        <v/>
      </c>
      <c r="M171" s="20" t="str">
        <f>IF(coder1_YH!U170="","",IF(coder1_YH!U170=coder2_NY_MT!O171,1,0))</f>
        <v/>
      </c>
      <c r="N171" s="20" t="str">
        <f>IF(coder1_YH!V170="","",IF(coder1_YH!V170=coder2_NY_MT!P171,1,0))</f>
        <v/>
      </c>
      <c r="O171" s="20" t="str">
        <f>IF(coder1_YH!W170="","",IF(coder1_YH!W170=coder2_NY_MT!Q171,1,0))</f>
        <v/>
      </c>
      <c r="P171" s="20" t="str">
        <f>IF(coder1_YH!X170="","",IF(coder1_YH!X170=coder2_NY_MT!R171,1,0))</f>
        <v/>
      </c>
      <c r="Q171" s="20" t="str">
        <f>IF(coder1_YH!Y170="","",IF(coder1_YH!Y170=coder2_NY_MT!S171,1,0))</f>
        <v/>
      </c>
      <c r="R171" s="20" t="str">
        <f>IF(coder1_YH!Z170="","",IF(coder1_YH!Z170=coder2_NY_MT!T171,1,0))</f>
        <v/>
      </c>
      <c r="S171" s="20" t="str">
        <f>IF(R171="","",IF(OR(coder2_NY_MT!U171="", coder1_YH!AA170 = ""),0,1))</f>
        <v/>
      </c>
      <c r="T171" s="20" t="str">
        <f>IF(coder1_YH!AB170="","",IF(coder1_YH!AB170=coder2_NY_MT!V171,1,0))</f>
        <v/>
      </c>
      <c r="U171" s="20" t="str">
        <f>IF(coder1_YH!AC170="","",IF(coder1_YH!AC170=coder2_NY_MT!W171,1,0))</f>
        <v/>
      </c>
      <c r="V171" s="20" t="str">
        <f>IF(coder1_YH!AD170="","",IF(coder1_YH!AD170=coder2_NY_MT!X171,1,0))</f>
        <v/>
      </c>
      <c r="W171" s="20" t="str">
        <f>IF(coder1_YH!AE170="","",IF(coder1_YH!AE170=coder2_NY_MT!Y171,1,0))</f>
        <v/>
      </c>
      <c r="X171" s="20" t="str">
        <f>IF(coder1_YH!AF170="","",IF(coder1_YH!AF170=coder2_NY_MT!Z171,1,0))</f>
        <v/>
      </c>
      <c r="Y171" s="20" t="str">
        <f>IF(coder1_YH!AG170="","",IF(coder1_YH!AG170=coder2_NY_MT!AA171,1,0))</f>
        <v/>
      </c>
      <c r="Z171" s="20" t="str">
        <f>IF(coder1_YH!AH170="","",IF(coder1_YH!AH170=coder2_NY_MT!AB171,1,0))</f>
        <v/>
      </c>
      <c r="AA171" s="20" t="str">
        <f>IF(coder1_YH!AI170="","",IF(coder1_YH!AI170=coder2_NY_MT!AC171,1,0))</f>
        <v/>
      </c>
      <c r="AB171" s="20">
        <f>IF(OR(coder2_NY_MT!AD170="", coder1_YH!AJ170 = ""),0,1)</f>
        <v>1</v>
      </c>
      <c r="AC171" s="20">
        <f>IF(coder1_YH!AK170="","",IF(coder1_YH!AK170=coder2_NY_MT!AE171,1,0))</f>
        <v>1</v>
      </c>
      <c r="AD171" s="20">
        <f>IF(OR(coder2_NY_MT!AF171="", coder1_YH!AL170 = ""),0,1)</f>
        <v>1</v>
      </c>
      <c r="AF171" s="20">
        <f>IF(coder1_YH!AN170="","",IF(coder1_YH!AN170=coder2_NY_MT!AH171,1,0))</f>
        <v>1</v>
      </c>
      <c r="AG171" s="20">
        <f>IF(coder1_YH!AO170="","",IF(coder1_YH!AO170=coder2_NY_MT!AI171,1,0))</f>
        <v>1</v>
      </c>
      <c r="AH171" s="20">
        <f>IF(coder1_YH!AP170="","",IF(coder1_YH!AP170=coder2_NY_MT!AJ171,1,0))</f>
        <v>1</v>
      </c>
      <c r="AI171" s="20">
        <f>IF(coder1_YH!AQ170="","",IF(coder1_YH!AQ170=coder2_NY_MT!AK171,1,0))</f>
        <v>1</v>
      </c>
      <c r="AJ171" s="20">
        <f>IF(coder1_YH!AR170="","",IF(coder1_YH!AR170=coder2_NY_MT!AL171,1,0))</f>
        <v>1</v>
      </c>
      <c r="AK171" s="20">
        <f>IF(coder1_YH!AS170="","",IF(coder1_YH!AS170=coder2_NY_MT!AM171,1,0))</f>
        <v>1</v>
      </c>
      <c r="AL171" s="20" t="str">
        <f>IF(coder1_YH!AZ170="","",IF(coder1_YH!AZ170=coder2_NY_MT!AT171,1,0))</f>
        <v/>
      </c>
      <c r="AM171" s="20" t="str">
        <f>IF(coder1_YH!BA170="","",IF(coder1_YH!BA170=coder2_NY_MT!AU171,1,0))</f>
        <v/>
      </c>
      <c r="AN171" s="2"/>
    </row>
    <row r="172" spans="1:40" s="20" customFormat="1" ht="17" hidden="1" customHeight="1" x14ac:dyDescent="0.2">
      <c r="A172" s="20" t="str">
        <f>IF(coder1_YH!G171="","",IF(coder1_YH!G171=coder2_NY_MT!A172,1,0))</f>
        <v/>
      </c>
      <c r="B172" s="20" t="str">
        <f>IF(coder1_YH!H171="","",IF(RIGHT(coder1_YH!H171,2)=RIGHT(coder2_NY_MT!B172,2),1,0))</f>
        <v/>
      </c>
      <c r="C172" s="20" t="str">
        <f>IF(coder1_YH!I171="","",IF(coder1_YH!I171=coder2_NY_MT!C172,1,0))</f>
        <v/>
      </c>
      <c r="E172" s="20" t="str">
        <f>IF(coder1_YH!K171="","",IF(coder1_YH!K171=coder2_NY_MT!E172,1,0))</f>
        <v/>
      </c>
      <c r="F172" s="20" t="str">
        <f>IF(coder1_YH!L171="","",IF(coder1_YH!L171=coder2_NY_MT!F172,1,0))</f>
        <v/>
      </c>
      <c r="G172" s="20" t="str">
        <f>IF(coder1_YH!M171="","",IF(coder1_YH!M171=coder2_NY_MT!G172,1,0))</f>
        <v/>
      </c>
      <c r="H172" s="20">
        <f>IF(coder1_YH!P171="","",IF(RIGHT(coder1_YH!P171,3)=RIGHT(coder2_NY_MT!J172,3),1,0))</f>
        <v>0</v>
      </c>
      <c r="I172" s="20">
        <f>IF(H172="","",IF(OR(coder2_NY_MT!K172="", coder1_YH!Q171 = ""),0,1))</f>
        <v>1</v>
      </c>
      <c r="J172" s="20">
        <f>IF(coder1_YH!R171="","",IF(coder1_YH!R171=coder2_NY_MT!L172,1,0))</f>
        <v>1</v>
      </c>
      <c r="K172" s="20">
        <f>IF(coder1_YH!S171="","",IF(coder1_YH!S171=coder2_NY_MT!M172,1,0))</f>
        <v>1</v>
      </c>
      <c r="L172" s="20">
        <f>IF(coder1_YH!T171="","",IF(coder1_YH!T171=coder2_NY_MT!N172,1,0))</f>
        <v>1</v>
      </c>
      <c r="M172" s="20">
        <f>IF(coder1_YH!U171="","",IF(coder1_YH!U171=coder2_NY_MT!O172,1,0))</f>
        <v>1</v>
      </c>
      <c r="N172" s="20">
        <f>IF(coder1_YH!V171="","",IF(coder1_YH!V171=coder2_NY_MT!P172,1,0))</f>
        <v>1</v>
      </c>
      <c r="O172" s="20">
        <f>IF(coder1_YH!W171="","",IF(coder1_YH!W171=coder2_NY_MT!Q172,1,0))</f>
        <v>1</v>
      </c>
      <c r="P172" s="20">
        <f>IF(coder1_YH!X171="","",IF(coder1_YH!X171=coder2_NY_MT!R172,1,0))</f>
        <v>1</v>
      </c>
      <c r="Q172" s="20">
        <f>IF(coder1_YH!Y171="","",IF(coder1_YH!Y171=coder2_NY_MT!S172,1,0))</f>
        <v>1</v>
      </c>
      <c r="R172" s="20">
        <f>IF(coder1_YH!Z171="","",IF(coder1_YH!Z171=coder2_NY_MT!T172,1,0))</f>
        <v>1</v>
      </c>
      <c r="S172" s="20">
        <f>IF(R172="","",IF(OR(coder2_NY_MT!U172="", coder1_YH!AA171 = ""),0,1))</f>
        <v>1</v>
      </c>
      <c r="T172" s="20">
        <f>IF(coder1_YH!AB171="","",IF(coder1_YH!AB171=coder2_NY_MT!V172,1,0))</f>
        <v>1</v>
      </c>
      <c r="U172" s="20">
        <f>IF(coder1_YH!AC171="","",IF(coder1_YH!AC171=coder2_NY_MT!W172,1,0))</f>
        <v>1</v>
      </c>
      <c r="V172" s="20">
        <f>IF(coder1_YH!AD171="","",IF(coder1_YH!AD171=coder2_NY_MT!X172,1,0))</f>
        <v>1</v>
      </c>
      <c r="W172" s="20">
        <f>IF(coder1_YH!AE171="","",IF(coder1_YH!AE171=coder2_NY_MT!Y172,1,0))</f>
        <v>1</v>
      </c>
      <c r="X172" s="20">
        <f>IF(coder1_YH!AF171="","",IF(coder1_YH!AF171=coder2_NY_MT!Z172,1,0))</f>
        <v>1</v>
      </c>
      <c r="Y172" s="20">
        <f>IF(coder1_YH!AG171="","",IF(coder1_YH!AG171=coder2_NY_MT!AA172,1,0))</f>
        <v>1</v>
      </c>
      <c r="Z172" s="20">
        <f>IF(coder1_YH!AH171="","",IF(coder1_YH!AH171=coder2_NY_MT!AB172,1,0))</f>
        <v>1</v>
      </c>
      <c r="AA172" s="20">
        <f>IF(coder1_YH!AI171="","",IF(coder1_YH!AI171=coder2_NY_MT!AC172,1,0))</f>
        <v>1</v>
      </c>
      <c r="AB172" s="20">
        <f>IF(OR(coder2_NY_MT!AD171="", coder1_YH!AJ171 = ""),0,1)</f>
        <v>1</v>
      </c>
      <c r="AC172" s="20">
        <f>IF(coder1_YH!AK171="","",IF(coder1_YH!AK171=coder2_NY_MT!AE172,1,0))</f>
        <v>1</v>
      </c>
      <c r="AD172" s="20">
        <f>IF(OR(coder2_NY_MT!AF172="", coder1_YH!AL171 = ""),0,1)</f>
        <v>1</v>
      </c>
      <c r="AF172" s="20">
        <f>IF(coder1_YH!AN171="","",IF(coder1_YH!AN171=coder2_NY_MT!AH172,1,0))</f>
        <v>1</v>
      </c>
      <c r="AG172" s="20">
        <f>IF(coder1_YH!AO171="","",IF(coder1_YH!AO171=coder2_NY_MT!AI172,1,0))</f>
        <v>1</v>
      </c>
      <c r="AH172" s="20">
        <f>IF(coder1_YH!AP171="","",IF(coder1_YH!AP171=coder2_NY_MT!AJ172,1,0))</f>
        <v>1</v>
      </c>
      <c r="AI172" s="20">
        <f>IF(coder1_YH!AQ171="","",IF(coder1_YH!AQ171=coder2_NY_MT!AK172,1,0))</f>
        <v>1</v>
      </c>
      <c r="AJ172" s="20">
        <f>IF(coder1_YH!AR171="","",IF(coder1_YH!AR171=coder2_NY_MT!AL172,1,0))</f>
        <v>1</v>
      </c>
      <c r="AK172" s="20">
        <f>IF(coder1_YH!AS171="","",IF(coder1_YH!AS171=coder2_NY_MT!AM172,1,0))</f>
        <v>1</v>
      </c>
      <c r="AL172" s="20" t="str">
        <f>IF(coder1_YH!AZ171="","",IF(coder1_YH!AZ171=coder2_NY_MT!AT172,1,0))</f>
        <v/>
      </c>
      <c r="AM172" s="20" t="str">
        <f>IF(coder1_YH!BA171="","",IF(coder1_YH!BA171=coder2_NY_MT!AU172,1,0))</f>
        <v/>
      </c>
      <c r="AN172" s="2"/>
    </row>
    <row r="173" spans="1:40" s="20" customFormat="1" ht="17" hidden="1" customHeight="1" x14ac:dyDescent="0.2">
      <c r="A173" s="20" t="str">
        <f>IF(coder1_YH!G172="","",IF(coder1_YH!G172=coder2_NY_MT!A173,1,0))</f>
        <v/>
      </c>
      <c r="B173" s="20" t="str">
        <f>IF(coder1_YH!H172="","",IF(RIGHT(coder1_YH!H172,2)=RIGHT(coder2_NY_MT!B173,2),1,0))</f>
        <v/>
      </c>
      <c r="C173" s="20" t="str">
        <f>IF(coder1_YH!I172="","",IF(coder1_YH!I172=coder2_NY_MT!C173,1,0))</f>
        <v/>
      </c>
      <c r="E173" s="20" t="str">
        <f>IF(coder1_YH!K172="","",IF(coder1_YH!K172=coder2_NY_MT!E173,1,0))</f>
        <v/>
      </c>
      <c r="F173" s="20" t="str">
        <f>IF(coder1_YH!L172="","",IF(coder1_YH!L172=coder2_NY_MT!F173,1,0))</f>
        <v/>
      </c>
      <c r="G173" s="20" t="str">
        <f>IF(coder1_YH!M172="","",IF(coder1_YH!M172=coder2_NY_MT!G173,1,0))</f>
        <v/>
      </c>
      <c r="H173" s="20" t="str">
        <f>IF(coder1_YH!P172="","",IF(RIGHT(coder1_YH!P172,3)=RIGHT(coder2_NY_MT!J173,3),1,0))</f>
        <v/>
      </c>
      <c r="I173" s="20" t="str">
        <f>IF(H173="","",IF(OR(coder2_NY_MT!K173="", coder1_YH!Q172 = ""),0,1))</f>
        <v/>
      </c>
      <c r="J173" s="20" t="str">
        <f>IF(coder1_YH!R172="","",IF(coder1_YH!R172=coder2_NY_MT!L173,1,0))</f>
        <v/>
      </c>
      <c r="K173" s="20" t="str">
        <f>IF(coder1_YH!S172="","",IF(coder1_YH!S172=coder2_NY_MT!M173,1,0))</f>
        <v/>
      </c>
      <c r="L173" s="20" t="str">
        <f>IF(coder1_YH!T172="","",IF(coder1_YH!T172=coder2_NY_MT!N173,1,0))</f>
        <v/>
      </c>
      <c r="M173" s="20" t="str">
        <f>IF(coder1_YH!U172="","",IF(coder1_YH!U172=coder2_NY_MT!O173,1,0))</f>
        <v/>
      </c>
      <c r="N173" s="20" t="str">
        <f>IF(coder1_YH!V172="","",IF(coder1_YH!V172=coder2_NY_MT!P173,1,0))</f>
        <v/>
      </c>
      <c r="O173" s="20" t="str">
        <f>IF(coder1_YH!W172="","",IF(coder1_YH!W172=coder2_NY_MT!Q173,1,0))</f>
        <v/>
      </c>
      <c r="P173" s="20" t="str">
        <f>IF(coder1_YH!X172="","",IF(coder1_YH!X172=coder2_NY_MT!R173,1,0))</f>
        <v/>
      </c>
      <c r="Q173" s="20" t="str">
        <f>IF(coder1_YH!Y172="","",IF(coder1_YH!Y172=coder2_NY_MT!S173,1,0))</f>
        <v/>
      </c>
      <c r="R173" s="20" t="str">
        <f>IF(coder1_YH!Z172="","",IF(coder1_YH!Z172=coder2_NY_MT!T173,1,0))</f>
        <v/>
      </c>
      <c r="S173" s="20" t="str">
        <f>IF(R173="","",IF(OR(coder2_NY_MT!U173="", coder1_YH!AA172 = ""),0,1))</f>
        <v/>
      </c>
      <c r="T173" s="20" t="str">
        <f>IF(coder1_YH!AB172="","",IF(coder1_YH!AB172=coder2_NY_MT!V173,1,0))</f>
        <v/>
      </c>
      <c r="U173" s="20" t="str">
        <f>IF(coder1_YH!AC172="","",IF(coder1_YH!AC172=coder2_NY_MT!W173,1,0))</f>
        <v/>
      </c>
      <c r="V173" s="20" t="str">
        <f>IF(coder1_YH!AD172="","",IF(coder1_YH!AD172=coder2_NY_MT!X173,1,0))</f>
        <v/>
      </c>
      <c r="W173" s="20" t="str">
        <f>IF(coder1_YH!AE172="","",IF(coder1_YH!AE172=coder2_NY_MT!Y173,1,0))</f>
        <v/>
      </c>
      <c r="X173" s="20" t="str">
        <f>IF(coder1_YH!AF172="","",IF(coder1_YH!AF172=coder2_NY_MT!Z173,1,0))</f>
        <v/>
      </c>
      <c r="Y173" s="20" t="str">
        <f>IF(coder1_YH!AG172="","",IF(coder1_YH!AG172=coder2_NY_MT!AA173,1,0))</f>
        <v/>
      </c>
      <c r="Z173" s="20" t="str">
        <f>IF(coder1_YH!AH172="","",IF(coder1_YH!AH172=coder2_NY_MT!AB173,1,0))</f>
        <v/>
      </c>
      <c r="AA173" s="20" t="str">
        <f>IF(coder1_YH!AI172="","",IF(coder1_YH!AI172=coder2_NY_MT!AC173,1,0))</f>
        <v/>
      </c>
      <c r="AB173" s="20">
        <f>IF(OR(coder2_NY_MT!AD172="", coder1_YH!AJ172 = ""),0,1)</f>
        <v>1</v>
      </c>
      <c r="AC173" s="20">
        <f>IF(coder1_YH!AK172="","",IF(coder1_YH!AK172=coder2_NY_MT!AE173,1,0))</f>
        <v>1</v>
      </c>
      <c r="AD173" s="20">
        <f>IF(OR(coder2_NY_MT!AF173="", coder1_YH!AL172 = ""),0,1)</f>
        <v>1</v>
      </c>
      <c r="AF173" s="20">
        <f>IF(coder1_YH!AN172="","",IF(coder1_YH!AN172=coder2_NY_MT!AH173,1,0))</f>
        <v>1</v>
      </c>
      <c r="AG173" s="20">
        <f>IF(coder1_YH!AO172="","",IF(coder1_YH!AO172=coder2_NY_MT!AI173,1,0))</f>
        <v>1</v>
      </c>
      <c r="AH173" s="20">
        <f>IF(coder1_YH!AP172="","",IF(coder1_YH!AP172=coder2_NY_MT!AJ173,1,0))</f>
        <v>1</v>
      </c>
      <c r="AI173" s="20">
        <f>IF(coder1_YH!AQ172="","",IF(coder1_YH!AQ172=coder2_NY_MT!AK173,1,0))</f>
        <v>1</v>
      </c>
      <c r="AJ173" s="20">
        <f>IF(coder1_YH!AR172="","",IF(coder1_YH!AR172=coder2_NY_MT!AL173,1,0))</f>
        <v>1</v>
      </c>
      <c r="AK173" s="20">
        <f>IF(coder1_YH!AS172="","",IF(coder1_YH!AS172=coder2_NY_MT!AM173,1,0))</f>
        <v>1</v>
      </c>
      <c r="AL173" s="20" t="str">
        <f>IF(coder1_YH!AZ172="","",IF(coder1_YH!AZ172=coder2_NY_MT!AT173,1,0))</f>
        <v/>
      </c>
      <c r="AM173" s="20" t="str">
        <f>IF(coder1_YH!BA172="","",IF(coder1_YH!BA172=coder2_NY_MT!AU173,1,0))</f>
        <v/>
      </c>
      <c r="AN173" s="2"/>
    </row>
    <row r="174" spans="1:40" s="20" customFormat="1" ht="17" hidden="1" customHeight="1" x14ac:dyDescent="0.2">
      <c r="A174" s="20" t="str">
        <f>IF(coder1_YH!G173="","",IF(coder1_YH!G173=coder2_NY_MT!A174,1,0))</f>
        <v/>
      </c>
      <c r="B174" s="20" t="str">
        <f>IF(coder1_YH!H173="","",IF(RIGHT(coder1_YH!H173,2)=RIGHT(coder2_NY_MT!B174,2),1,0))</f>
        <v/>
      </c>
      <c r="C174" s="20" t="str">
        <f>IF(coder1_YH!I173="","",IF(coder1_YH!I173=coder2_NY_MT!C174,1,0))</f>
        <v/>
      </c>
      <c r="E174" s="20" t="str">
        <f>IF(coder1_YH!K173="","",IF(coder1_YH!K173=coder2_NY_MT!E174,1,0))</f>
        <v/>
      </c>
      <c r="F174" s="20" t="str">
        <f>IF(coder1_YH!L173="","",IF(coder1_YH!L173=coder2_NY_MT!F174,1,0))</f>
        <v/>
      </c>
      <c r="G174" s="20" t="str">
        <f>IF(coder1_YH!M173="","",IF(coder1_YH!M173=coder2_NY_MT!G174,1,0))</f>
        <v/>
      </c>
      <c r="H174" s="20" t="str">
        <f>IF(coder1_YH!P173="","",IF(RIGHT(coder1_YH!P173,3)=RIGHT(coder2_NY_MT!J174,3),1,0))</f>
        <v/>
      </c>
      <c r="I174" s="20" t="str">
        <f>IF(H174="","",IF(OR(coder2_NY_MT!K174="", coder1_YH!Q173 = ""),0,1))</f>
        <v/>
      </c>
      <c r="J174" s="20" t="str">
        <f>IF(coder1_YH!R173="","",IF(coder1_YH!R173=coder2_NY_MT!L174,1,0))</f>
        <v/>
      </c>
      <c r="K174" s="20" t="str">
        <f>IF(coder1_YH!S173="","",IF(coder1_YH!S173=coder2_NY_MT!M174,1,0))</f>
        <v/>
      </c>
      <c r="L174" s="20" t="str">
        <f>IF(coder1_YH!T173="","",IF(coder1_YH!T173=coder2_NY_MT!N174,1,0))</f>
        <v/>
      </c>
      <c r="M174" s="20" t="str">
        <f>IF(coder1_YH!U173="","",IF(coder1_YH!U173=coder2_NY_MT!O174,1,0))</f>
        <v/>
      </c>
      <c r="N174" s="20" t="str">
        <f>IF(coder1_YH!V173="","",IF(coder1_YH!V173=coder2_NY_MT!P174,1,0))</f>
        <v/>
      </c>
      <c r="O174" s="20" t="str">
        <f>IF(coder1_YH!W173="","",IF(coder1_YH!W173=coder2_NY_MT!Q174,1,0))</f>
        <v/>
      </c>
      <c r="P174" s="20" t="str">
        <f>IF(coder1_YH!X173="","",IF(coder1_YH!X173=coder2_NY_MT!R174,1,0))</f>
        <v/>
      </c>
      <c r="Q174" s="20" t="str">
        <f>IF(coder1_YH!Y173="","",IF(coder1_YH!Y173=coder2_NY_MT!S174,1,0))</f>
        <v/>
      </c>
      <c r="R174" s="20" t="str">
        <f>IF(coder1_YH!Z173="","",IF(coder1_YH!Z173=coder2_NY_MT!T174,1,0))</f>
        <v/>
      </c>
      <c r="S174" s="20" t="str">
        <f>IF(R174="","",IF(OR(coder2_NY_MT!U174="", coder1_YH!AA173 = ""),0,1))</f>
        <v/>
      </c>
      <c r="T174" s="20" t="str">
        <f>IF(coder1_YH!AB173="","",IF(coder1_YH!AB173=coder2_NY_MT!V174,1,0))</f>
        <v/>
      </c>
      <c r="U174" s="20" t="str">
        <f>IF(coder1_YH!AC173="","",IF(coder1_YH!AC173=coder2_NY_MT!W174,1,0))</f>
        <v/>
      </c>
      <c r="V174" s="20" t="str">
        <f>IF(coder1_YH!AD173="","",IF(coder1_YH!AD173=coder2_NY_MT!X174,1,0))</f>
        <v/>
      </c>
      <c r="W174" s="20" t="str">
        <f>IF(coder1_YH!AE173="","",IF(coder1_YH!AE173=coder2_NY_MT!Y174,1,0))</f>
        <v/>
      </c>
      <c r="X174" s="20" t="str">
        <f>IF(coder1_YH!AF173="","",IF(coder1_YH!AF173=coder2_NY_MT!Z174,1,0))</f>
        <v/>
      </c>
      <c r="Y174" s="20" t="str">
        <f>IF(coder1_YH!AG173="","",IF(coder1_YH!AG173=coder2_NY_MT!AA174,1,0))</f>
        <v/>
      </c>
      <c r="Z174" s="20" t="str">
        <f>IF(coder1_YH!AH173="","",IF(coder1_YH!AH173=coder2_NY_MT!AB174,1,0))</f>
        <v/>
      </c>
      <c r="AA174" s="20" t="str">
        <f>IF(coder1_YH!AI173="","",IF(coder1_YH!AI173=coder2_NY_MT!AC174,1,0))</f>
        <v/>
      </c>
      <c r="AB174" s="20">
        <f>IF(OR(coder2_NY_MT!AD173="", coder1_YH!AJ173 = ""),0,1)</f>
        <v>1</v>
      </c>
      <c r="AC174" s="20">
        <f>IF(coder1_YH!AK173="","",IF(coder1_YH!AK173=coder2_NY_MT!AE174,1,0))</f>
        <v>1</v>
      </c>
      <c r="AD174" s="20">
        <f>IF(OR(coder2_NY_MT!AF174="", coder1_YH!AL173 = ""),0,1)</f>
        <v>1</v>
      </c>
      <c r="AF174" s="20">
        <f>IF(coder1_YH!AN173="","",IF(coder1_YH!AN173=coder2_NY_MT!AH174,1,0))</f>
        <v>1</v>
      </c>
      <c r="AG174" s="20">
        <f>IF(coder1_YH!AO173="","",IF(coder1_YH!AO173=coder2_NY_MT!AI174,1,0))</f>
        <v>1</v>
      </c>
      <c r="AH174" s="20">
        <f>IF(coder1_YH!AP173="","",IF(coder1_YH!AP173=coder2_NY_MT!AJ174,1,0))</f>
        <v>1</v>
      </c>
      <c r="AI174" s="20">
        <f>IF(coder1_YH!AQ173="","",IF(coder1_YH!AQ173=coder2_NY_MT!AK174,1,0))</f>
        <v>1</v>
      </c>
      <c r="AJ174" s="20">
        <f>IF(coder1_YH!AR173="","",IF(coder1_YH!AR173=coder2_NY_MT!AL174,1,0))</f>
        <v>1</v>
      </c>
      <c r="AK174" s="20">
        <f>IF(coder1_YH!AS173="","",IF(coder1_YH!AS173=coder2_NY_MT!AM174,1,0))</f>
        <v>1</v>
      </c>
      <c r="AL174" s="20" t="str">
        <f>IF(coder1_YH!AZ173="","",IF(coder1_YH!AZ173=coder2_NY_MT!AT174,1,0))</f>
        <v/>
      </c>
      <c r="AM174" s="20" t="str">
        <f>IF(coder1_YH!BA173="","",IF(coder1_YH!BA173=coder2_NY_MT!AU174,1,0))</f>
        <v/>
      </c>
      <c r="AN174" s="2"/>
    </row>
    <row r="175" spans="1:40" s="20" customFormat="1" ht="17" hidden="1" customHeight="1" x14ac:dyDescent="0.2">
      <c r="A175" s="20" t="str">
        <f>IF(coder1_YH!G174="","",IF(coder1_YH!G174=coder2_NY_MT!A175,1,0))</f>
        <v/>
      </c>
      <c r="B175" s="20" t="str">
        <f>IF(coder1_YH!H174="","",IF(RIGHT(coder1_YH!H174,2)=RIGHT(coder2_NY_MT!B175,2),1,0))</f>
        <v/>
      </c>
      <c r="C175" s="20" t="str">
        <f>IF(coder1_YH!I174="","",IF(coder1_YH!I174=coder2_NY_MT!C175,1,0))</f>
        <v/>
      </c>
      <c r="E175" s="20" t="str">
        <f>IF(coder1_YH!K174="","",IF(coder1_YH!K174=coder2_NY_MT!E175,1,0))</f>
        <v/>
      </c>
      <c r="F175" s="20" t="str">
        <f>IF(coder1_YH!L174="","",IF(coder1_YH!L174=coder2_NY_MT!F175,1,0))</f>
        <v/>
      </c>
      <c r="G175" s="20" t="str">
        <f>IF(coder1_YH!M174="","",IF(coder1_YH!M174=coder2_NY_MT!G175,1,0))</f>
        <v/>
      </c>
      <c r="H175" s="20" t="str">
        <f>IF(coder1_YH!P174="","",IF(RIGHT(coder1_YH!P174,3)=RIGHT(coder2_NY_MT!J175,3),1,0))</f>
        <v/>
      </c>
      <c r="I175" s="20" t="str">
        <f>IF(H175="","",IF(OR(coder2_NY_MT!K175="", coder1_YH!Q174 = ""),0,1))</f>
        <v/>
      </c>
      <c r="J175" s="20" t="str">
        <f>IF(coder1_YH!R174="","",IF(coder1_YH!R174=coder2_NY_MT!L175,1,0))</f>
        <v/>
      </c>
      <c r="K175" s="20" t="str">
        <f>IF(coder1_YH!S174="","",IF(coder1_YH!S174=coder2_NY_MT!M175,1,0))</f>
        <v/>
      </c>
      <c r="L175" s="20" t="str">
        <f>IF(coder1_YH!T174="","",IF(coder1_YH!T174=coder2_NY_MT!N175,1,0))</f>
        <v/>
      </c>
      <c r="M175" s="20" t="str">
        <f>IF(coder1_YH!U174="","",IF(coder1_YH!U174=coder2_NY_MT!O175,1,0))</f>
        <v/>
      </c>
      <c r="N175" s="20" t="str">
        <f>IF(coder1_YH!V174="","",IF(coder1_YH!V174=coder2_NY_MT!P175,1,0))</f>
        <v/>
      </c>
      <c r="O175" s="20" t="str">
        <f>IF(coder1_YH!W174="","",IF(coder1_YH!W174=coder2_NY_MT!Q175,1,0))</f>
        <v/>
      </c>
      <c r="P175" s="20" t="str">
        <f>IF(coder1_YH!X174="","",IF(coder1_YH!X174=coder2_NY_MT!R175,1,0))</f>
        <v/>
      </c>
      <c r="Q175" s="20" t="str">
        <f>IF(coder1_YH!Y174="","",IF(coder1_YH!Y174=coder2_NY_MT!S175,1,0))</f>
        <v/>
      </c>
      <c r="R175" s="20" t="str">
        <f>IF(coder1_YH!Z174="","",IF(coder1_YH!Z174=coder2_NY_MT!T175,1,0))</f>
        <v/>
      </c>
      <c r="S175" s="20" t="str">
        <f>IF(R175="","",IF(OR(coder2_NY_MT!U175="", coder1_YH!AA174 = ""),0,1))</f>
        <v/>
      </c>
      <c r="T175" s="20" t="str">
        <f>IF(coder1_YH!AB174="","",IF(coder1_YH!AB174=coder2_NY_MT!V175,1,0))</f>
        <v/>
      </c>
      <c r="U175" s="20" t="str">
        <f>IF(coder1_YH!AC174="","",IF(coder1_YH!AC174=coder2_NY_MT!W175,1,0))</f>
        <v/>
      </c>
      <c r="V175" s="20" t="str">
        <f>IF(coder1_YH!AD174="","",IF(coder1_YH!AD174=coder2_NY_MT!X175,1,0))</f>
        <v/>
      </c>
      <c r="W175" s="20" t="str">
        <f>IF(coder1_YH!AE174="","",IF(coder1_YH!AE174=coder2_NY_MT!Y175,1,0))</f>
        <v/>
      </c>
      <c r="X175" s="20" t="str">
        <f>IF(coder1_YH!AF174="","",IF(coder1_YH!AF174=coder2_NY_MT!Z175,1,0))</f>
        <v/>
      </c>
      <c r="Y175" s="20" t="str">
        <f>IF(coder1_YH!AG174="","",IF(coder1_YH!AG174=coder2_NY_MT!AA175,1,0))</f>
        <v/>
      </c>
      <c r="Z175" s="20" t="str">
        <f>IF(coder1_YH!AH174="","",IF(coder1_YH!AH174=coder2_NY_MT!AB175,1,0))</f>
        <v/>
      </c>
      <c r="AA175" s="20" t="str">
        <f>IF(coder1_YH!AI174="","",IF(coder1_YH!AI174=coder2_NY_MT!AC175,1,0))</f>
        <v/>
      </c>
      <c r="AB175" s="20">
        <f>IF(OR(coder2_NY_MT!AD174="", coder1_YH!AJ174 = ""),0,1)</f>
        <v>1</v>
      </c>
      <c r="AC175" s="20">
        <f>IF(coder1_YH!AK174="","",IF(coder1_YH!AK174=coder2_NY_MT!AE175,1,0))</f>
        <v>1</v>
      </c>
      <c r="AD175" s="20">
        <f>IF(OR(coder2_NY_MT!AF175="", coder1_YH!AL174 = ""),0,1)</f>
        <v>1</v>
      </c>
      <c r="AF175" s="20">
        <f>IF(coder1_YH!AN174="","",IF(coder1_YH!AN174=coder2_NY_MT!AH175,1,0))</f>
        <v>1</v>
      </c>
      <c r="AG175" s="20">
        <f>IF(coder1_YH!AO174="","",IF(coder1_YH!AO174=coder2_NY_MT!AI175,1,0))</f>
        <v>1</v>
      </c>
      <c r="AH175" s="20">
        <f>IF(coder1_YH!AP174="","",IF(coder1_YH!AP174=coder2_NY_MT!AJ175,1,0))</f>
        <v>1</v>
      </c>
      <c r="AI175" s="20">
        <f>IF(coder1_YH!AQ174="","",IF(coder1_YH!AQ174=coder2_NY_MT!AK175,1,0))</f>
        <v>1</v>
      </c>
      <c r="AJ175" s="20">
        <f>IF(coder1_YH!AR174="","",IF(coder1_YH!AR174=coder2_NY_MT!AL175,1,0))</f>
        <v>1</v>
      </c>
      <c r="AK175" s="20">
        <f>IF(coder1_YH!AS174="","",IF(coder1_YH!AS174=coder2_NY_MT!AM175,1,0))</f>
        <v>1</v>
      </c>
      <c r="AL175" s="20" t="str">
        <f>IF(coder1_YH!AZ174="","",IF(coder1_YH!AZ174=coder2_NY_MT!AT175,1,0))</f>
        <v/>
      </c>
      <c r="AM175" s="20" t="str">
        <f>IF(coder1_YH!BA174="","",IF(coder1_YH!BA174=coder2_NY_MT!AU175,1,0))</f>
        <v/>
      </c>
      <c r="AN175" s="2"/>
    </row>
    <row r="176" spans="1:40" s="20" customFormat="1" ht="17" hidden="1" customHeight="1" x14ac:dyDescent="0.2">
      <c r="A176" s="20" t="str">
        <f>IF(coder1_YH!G175="","",IF(coder1_YH!G175=coder2_NY_MT!A176,1,0))</f>
        <v/>
      </c>
      <c r="B176" s="20" t="str">
        <f>IF(coder1_YH!H175="","",IF(RIGHT(coder1_YH!H175,2)=RIGHT(coder2_NY_MT!B176,2),1,0))</f>
        <v/>
      </c>
      <c r="C176" s="20" t="str">
        <f>IF(coder1_YH!I175="","",IF(coder1_YH!I175=coder2_NY_MT!C176,1,0))</f>
        <v/>
      </c>
      <c r="E176" s="20" t="str">
        <f>IF(coder1_YH!K175="","",IF(coder1_YH!K175=coder2_NY_MT!E176,1,0))</f>
        <v/>
      </c>
      <c r="F176" s="20" t="str">
        <f>IF(coder1_YH!L175="","",IF(coder1_YH!L175=coder2_NY_MT!F176,1,0))</f>
        <v/>
      </c>
      <c r="G176" s="20" t="str">
        <f>IF(coder1_YH!M175="","",IF(coder1_YH!M175=coder2_NY_MT!G176,1,0))</f>
        <v/>
      </c>
      <c r="H176" s="20" t="str">
        <f>IF(coder1_YH!P175="","",IF(RIGHT(coder1_YH!P175,3)=RIGHT(coder2_NY_MT!J176,3),1,0))</f>
        <v/>
      </c>
      <c r="I176" s="20" t="str">
        <f>IF(H176="","",IF(OR(coder2_NY_MT!K176="", coder1_YH!Q175 = ""),0,1))</f>
        <v/>
      </c>
      <c r="J176" s="20" t="str">
        <f>IF(coder1_YH!R175="","",IF(coder1_YH!R175=coder2_NY_MT!L176,1,0))</f>
        <v/>
      </c>
      <c r="K176" s="20" t="str">
        <f>IF(coder1_YH!S175="","",IF(coder1_YH!S175=coder2_NY_MT!M176,1,0))</f>
        <v/>
      </c>
      <c r="L176" s="20" t="str">
        <f>IF(coder1_YH!T175="","",IF(coder1_YH!T175=coder2_NY_MT!N176,1,0))</f>
        <v/>
      </c>
      <c r="M176" s="20" t="str">
        <f>IF(coder1_YH!U175="","",IF(coder1_YH!U175=coder2_NY_MT!O176,1,0))</f>
        <v/>
      </c>
      <c r="N176" s="20" t="str">
        <f>IF(coder1_YH!V175="","",IF(coder1_YH!V175=coder2_NY_MT!P176,1,0))</f>
        <v/>
      </c>
      <c r="O176" s="20" t="str">
        <f>IF(coder1_YH!W175="","",IF(coder1_YH!W175=coder2_NY_MT!Q176,1,0))</f>
        <v/>
      </c>
      <c r="P176" s="20" t="str">
        <f>IF(coder1_YH!X175="","",IF(coder1_YH!X175=coder2_NY_MT!R176,1,0))</f>
        <v/>
      </c>
      <c r="Q176" s="20" t="str">
        <f>IF(coder1_YH!Y175="","",IF(coder1_YH!Y175=coder2_NY_MT!S176,1,0))</f>
        <v/>
      </c>
      <c r="R176" s="20" t="str">
        <f>IF(coder1_YH!Z175="","",IF(coder1_YH!Z175=coder2_NY_MT!T176,1,0))</f>
        <v/>
      </c>
      <c r="S176" s="20" t="str">
        <f>IF(R176="","",IF(OR(coder2_NY_MT!U176="", coder1_YH!AA175 = ""),0,1))</f>
        <v/>
      </c>
      <c r="T176" s="20" t="str">
        <f>IF(coder1_YH!AB175="","",IF(coder1_YH!AB175=coder2_NY_MT!V176,1,0))</f>
        <v/>
      </c>
      <c r="U176" s="20" t="str">
        <f>IF(coder1_YH!AC175="","",IF(coder1_YH!AC175=coder2_NY_MT!W176,1,0))</f>
        <v/>
      </c>
      <c r="V176" s="20" t="str">
        <f>IF(coder1_YH!AD175="","",IF(coder1_YH!AD175=coder2_NY_MT!X176,1,0))</f>
        <v/>
      </c>
      <c r="W176" s="20" t="str">
        <f>IF(coder1_YH!AE175="","",IF(coder1_YH!AE175=coder2_NY_MT!Y176,1,0))</f>
        <v/>
      </c>
      <c r="X176" s="20" t="str">
        <f>IF(coder1_YH!AF175="","",IF(coder1_YH!AF175=coder2_NY_MT!Z176,1,0))</f>
        <v/>
      </c>
      <c r="Y176" s="20" t="str">
        <f>IF(coder1_YH!AG175="","",IF(coder1_YH!AG175=coder2_NY_MT!AA176,1,0))</f>
        <v/>
      </c>
      <c r="Z176" s="20" t="str">
        <f>IF(coder1_YH!AH175="","",IF(coder1_YH!AH175=coder2_NY_MT!AB176,1,0))</f>
        <v/>
      </c>
      <c r="AA176" s="20" t="str">
        <f>IF(coder1_YH!AI175="","",IF(coder1_YH!AI175=coder2_NY_MT!AC176,1,0))</f>
        <v/>
      </c>
      <c r="AB176" s="20">
        <f>IF(OR(coder2_NY_MT!AD175="", coder1_YH!AJ175 = ""),0,1)</f>
        <v>1</v>
      </c>
      <c r="AC176" s="20">
        <f>IF(coder1_YH!AK175="","",IF(coder1_YH!AK175=coder2_NY_MT!AE176,1,0))</f>
        <v>1</v>
      </c>
      <c r="AD176" s="20">
        <f>IF(OR(coder2_NY_MT!AF176="", coder1_YH!AL175 = ""),0,1)</f>
        <v>1</v>
      </c>
      <c r="AF176" s="20">
        <f>IF(coder1_YH!AN175="","",IF(coder1_YH!AN175=coder2_NY_MT!AH176,1,0))</f>
        <v>1</v>
      </c>
      <c r="AG176" s="20">
        <f>IF(coder1_YH!AO175="","",IF(coder1_YH!AO175=coder2_NY_MT!AI176,1,0))</f>
        <v>1</v>
      </c>
      <c r="AH176" s="20">
        <f>IF(coder1_YH!AP175="","",IF(coder1_YH!AP175=coder2_NY_MT!AJ176,1,0))</f>
        <v>1</v>
      </c>
      <c r="AI176" s="20">
        <f>IF(coder1_YH!AQ175="","",IF(coder1_YH!AQ175=coder2_NY_MT!AK176,1,0))</f>
        <v>1</v>
      </c>
      <c r="AJ176" s="20">
        <f>IF(coder1_YH!AR175="","",IF(coder1_YH!AR175=coder2_NY_MT!AL176,1,0))</f>
        <v>1</v>
      </c>
      <c r="AK176" s="20">
        <f>IF(coder1_YH!AS175="","",IF(coder1_YH!AS175=coder2_NY_MT!AM176,1,0))</f>
        <v>1</v>
      </c>
      <c r="AL176" s="20" t="str">
        <f>IF(coder1_YH!AZ175="","",IF(coder1_YH!AZ175=coder2_NY_MT!AT176,1,0))</f>
        <v/>
      </c>
      <c r="AM176" s="20" t="str">
        <f>IF(coder1_YH!BA175="","",IF(coder1_YH!BA175=coder2_NY_MT!AU176,1,0))</f>
        <v/>
      </c>
      <c r="AN176" s="2"/>
    </row>
    <row r="177" spans="1:40" s="20" customFormat="1" ht="17" hidden="1" customHeight="1" x14ac:dyDescent="0.2">
      <c r="A177" s="20">
        <f>IF(coder1_YH!G176="","",IF(coder1_YH!G176=coder2_NY_MT!A177,1,0))</f>
        <v>0</v>
      </c>
      <c r="B177" s="20">
        <f>IF(coder1_YH!H176="","",IF(RIGHT(coder1_YH!H176,2)=RIGHT(coder2_NY_MT!B177,2),1,0))</f>
        <v>0</v>
      </c>
      <c r="C177" s="20">
        <f>IF(coder1_YH!I176="","",IF(coder1_YH!I176=coder2_NY_MT!C177,1,0))</f>
        <v>0</v>
      </c>
      <c r="E177" s="20">
        <f>IF(coder1_YH!K176="","",IF(coder1_YH!K176=coder2_NY_MT!E177,1,0))</f>
        <v>0</v>
      </c>
      <c r="F177" s="20">
        <f>IF(coder1_YH!L176="","",IF(coder1_YH!L176=coder2_NY_MT!F177,1,0))</f>
        <v>0</v>
      </c>
      <c r="G177" s="20">
        <f>IF(coder1_YH!M176="","",IF(coder1_YH!M176=coder2_NY_MT!G177,1,0))</f>
        <v>0</v>
      </c>
      <c r="H177" s="20">
        <f>IF(coder1_YH!P176="","",IF(RIGHT(coder1_YH!P176,3)=RIGHT(coder2_NY_MT!J177,3),1,0))</f>
        <v>0</v>
      </c>
      <c r="I177" s="20">
        <f>IF(H177="","",IF(OR(coder2_NY_MT!K177="", coder1_YH!Q176 = ""),0,1))</f>
        <v>1</v>
      </c>
      <c r="J177" s="20">
        <f>IF(coder1_YH!R176="","",IF(coder1_YH!R176=coder2_NY_MT!L177,1,0))</f>
        <v>1</v>
      </c>
      <c r="K177" s="20">
        <f>IF(coder1_YH!S176="","",IF(coder1_YH!S176=coder2_NY_MT!M177,1,0))</f>
        <v>1</v>
      </c>
      <c r="L177" s="20">
        <f>IF(coder1_YH!T176="","",IF(coder1_YH!T176=coder2_NY_MT!N177,1,0))</f>
        <v>1</v>
      </c>
      <c r="M177" s="20">
        <f>IF(coder1_YH!U176="","",IF(coder1_YH!U176=coder2_NY_MT!O177,1,0))</f>
        <v>1</v>
      </c>
      <c r="N177" s="20">
        <f>IF(coder1_YH!V176="","",IF(coder1_YH!V176=coder2_NY_MT!P177,1,0))</f>
        <v>1</v>
      </c>
      <c r="O177" s="20">
        <f>IF(coder1_YH!W176="","",IF(coder1_YH!W176=coder2_NY_MT!Q177,1,0))</f>
        <v>1</v>
      </c>
      <c r="P177" s="20">
        <f>IF(coder1_YH!X176="","",IF(coder1_YH!X176=coder2_NY_MT!R177,1,0))</f>
        <v>1</v>
      </c>
      <c r="Q177" s="20">
        <f>IF(coder1_YH!Y176="","",IF(coder1_YH!Y176=coder2_NY_MT!S177,1,0))</f>
        <v>1</v>
      </c>
      <c r="R177" s="20">
        <f>IF(coder1_YH!Z176="","",IF(coder1_YH!Z176=coder2_NY_MT!T177,1,0))</f>
        <v>1</v>
      </c>
      <c r="S177" s="20">
        <f>IF(R177="","",IF(OR(coder2_NY_MT!U177="", coder1_YH!AA176 = ""),0,1))</f>
        <v>1</v>
      </c>
      <c r="T177" s="20">
        <f>IF(coder1_YH!AB176="","",IF(coder1_YH!AB176=coder2_NY_MT!V177,1,0))</f>
        <v>1</v>
      </c>
      <c r="U177" s="20">
        <f>IF(coder1_YH!AC176="","",IF(coder1_YH!AC176=coder2_NY_MT!W177,1,0))</f>
        <v>1</v>
      </c>
      <c r="V177" s="20">
        <f>IF(coder1_YH!AD176="","",IF(coder1_YH!AD176=coder2_NY_MT!X177,1,0))</f>
        <v>1</v>
      </c>
      <c r="W177" s="20">
        <f>IF(coder1_YH!AE176="","",IF(coder1_YH!AE176=coder2_NY_MT!Y177,1,0))</f>
        <v>1</v>
      </c>
      <c r="X177" s="20">
        <f>IF(coder1_YH!AF176="","",IF(coder1_YH!AF176=coder2_NY_MT!Z177,1,0))</f>
        <v>1</v>
      </c>
      <c r="Y177" s="20">
        <f>IF(coder1_YH!AG176="","",IF(coder1_YH!AG176=coder2_NY_MT!AA177,1,0))</f>
        <v>1</v>
      </c>
      <c r="Z177" s="20">
        <f>IF(coder1_YH!AH176="","",IF(coder1_YH!AH176=coder2_NY_MT!AB177,1,0))</f>
        <v>1</v>
      </c>
      <c r="AA177" s="20">
        <f>IF(coder1_YH!AI176="","",IF(coder1_YH!AI176=coder2_NY_MT!AC177,1,0))</f>
        <v>1</v>
      </c>
      <c r="AB177" s="20">
        <f>IF(OR(coder2_NY_MT!AD176="", coder1_YH!AJ176 = ""),0,1)</f>
        <v>1</v>
      </c>
      <c r="AC177" s="20">
        <f>IF(coder1_YH!AK176="","",IF(coder1_YH!AK176=coder2_NY_MT!AE177,1,0))</f>
        <v>1</v>
      </c>
      <c r="AD177" s="20">
        <f>IF(OR(coder2_NY_MT!AF177="", coder1_YH!AL176 = ""),0,1)</f>
        <v>1</v>
      </c>
      <c r="AF177" s="20">
        <f>IF(coder1_YH!AN176="","",IF(coder1_YH!AN176=coder2_NY_MT!AH177,1,0))</f>
        <v>1</v>
      </c>
      <c r="AG177" s="20">
        <f>IF(coder1_YH!AO176="","",IF(coder1_YH!AO176=coder2_NY_MT!AI177,1,0))</f>
        <v>1</v>
      </c>
      <c r="AH177" s="20">
        <f>IF(coder1_YH!AP176="","",IF(coder1_YH!AP176=coder2_NY_MT!AJ177,1,0))</f>
        <v>1</v>
      </c>
      <c r="AI177" s="20">
        <f>IF(coder1_YH!AQ176="","",IF(coder1_YH!AQ176=coder2_NY_MT!AK177,1,0))</f>
        <v>1</v>
      </c>
      <c r="AJ177" s="20">
        <f>IF(coder1_YH!AR176="","",IF(coder1_YH!AR176=coder2_NY_MT!AL177,1,0))</f>
        <v>1</v>
      </c>
      <c r="AK177" s="20">
        <f>IF(coder1_YH!AS176="","",IF(coder1_YH!AS176=coder2_NY_MT!AM177,1,0))</f>
        <v>1</v>
      </c>
      <c r="AL177" s="20" t="str">
        <f>IF(coder1_YH!AZ176="","",IF(coder1_YH!AZ176=coder2_NY_MT!AT177,1,0))</f>
        <v/>
      </c>
      <c r="AM177" s="20" t="str">
        <f>IF(coder1_YH!BA176="","",IF(coder1_YH!BA176=coder2_NY_MT!AU177,1,0))</f>
        <v/>
      </c>
      <c r="AN177" s="2"/>
    </row>
    <row r="178" spans="1:40" s="20" customFormat="1" ht="17" hidden="1" customHeight="1" x14ac:dyDescent="0.2">
      <c r="A178" s="20" t="str">
        <f>IF(coder1_YH!G177="","",IF(coder1_YH!G177=coder2_NY_MT!A178,1,0))</f>
        <v/>
      </c>
      <c r="B178" s="20" t="str">
        <f>IF(coder1_YH!H177="","",IF(RIGHT(coder1_YH!H177,2)=RIGHT(coder2_NY_MT!B178,2),1,0))</f>
        <v/>
      </c>
      <c r="C178" s="20" t="str">
        <f>IF(coder1_YH!I177="","",IF(coder1_YH!I177=coder2_NY_MT!C178,1,0))</f>
        <v/>
      </c>
      <c r="E178" s="20" t="str">
        <f>IF(coder1_YH!K177="","",IF(coder1_YH!K177=coder2_NY_MT!E178,1,0))</f>
        <v/>
      </c>
      <c r="F178" s="20" t="str">
        <f>IF(coder1_YH!L177="","",IF(coder1_YH!L177=coder2_NY_MT!F178,1,0))</f>
        <v/>
      </c>
      <c r="G178" s="20" t="str">
        <f>IF(coder1_YH!M177="","",IF(coder1_YH!M177=coder2_NY_MT!G178,1,0))</f>
        <v/>
      </c>
      <c r="H178" s="20" t="str">
        <f>IF(coder1_YH!P177="","",IF(RIGHT(coder1_YH!P177,3)=RIGHT(coder2_NY_MT!J178,3),1,0))</f>
        <v/>
      </c>
      <c r="I178" s="20" t="str">
        <f>IF(H178="","",IF(OR(coder2_NY_MT!K178="", coder1_YH!Q177 = ""),0,1))</f>
        <v/>
      </c>
      <c r="J178" s="20" t="str">
        <f>IF(coder1_YH!R177="","",IF(coder1_YH!R177=coder2_NY_MT!L178,1,0))</f>
        <v/>
      </c>
      <c r="K178" s="20" t="str">
        <f>IF(coder1_YH!S177="","",IF(coder1_YH!S177=coder2_NY_MT!M178,1,0))</f>
        <v/>
      </c>
      <c r="L178" s="20" t="str">
        <f>IF(coder1_YH!T177="","",IF(coder1_YH!T177=coder2_NY_MT!N178,1,0))</f>
        <v/>
      </c>
      <c r="M178" s="20" t="str">
        <f>IF(coder1_YH!U177="","",IF(coder1_YH!U177=coder2_NY_MT!O178,1,0))</f>
        <v/>
      </c>
      <c r="N178" s="20" t="str">
        <f>IF(coder1_YH!V177="","",IF(coder1_YH!V177=coder2_NY_MT!P178,1,0))</f>
        <v/>
      </c>
      <c r="O178" s="20" t="str">
        <f>IF(coder1_YH!W177="","",IF(coder1_YH!W177=coder2_NY_MT!Q178,1,0))</f>
        <v/>
      </c>
      <c r="P178" s="20" t="str">
        <f>IF(coder1_YH!X177="","",IF(coder1_YH!X177=coder2_NY_MT!R178,1,0))</f>
        <v/>
      </c>
      <c r="Q178" s="20" t="str">
        <f>IF(coder1_YH!Y177="","",IF(coder1_YH!Y177=coder2_NY_MT!S178,1,0))</f>
        <v/>
      </c>
      <c r="R178" s="20" t="str">
        <f>IF(coder1_YH!Z177="","",IF(coder1_YH!Z177=coder2_NY_MT!T178,1,0))</f>
        <v/>
      </c>
      <c r="S178" s="20" t="str">
        <f>IF(R178="","",IF(OR(coder2_NY_MT!U178="", coder1_YH!AA177 = ""),0,1))</f>
        <v/>
      </c>
      <c r="T178" s="20" t="str">
        <f>IF(coder1_YH!AB177="","",IF(coder1_YH!AB177=coder2_NY_MT!V178,1,0))</f>
        <v/>
      </c>
      <c r="U178" s="20" t="str">
        <f>IF(coder1_YH!AC177="","",IF(coder1_YH!AC177=coder2_NY_MT!W178,1,0))</f>
        <v/>
      </c>
      <c r="V178" s="20" t="str">
        <f>IF(coder1_YH!AD177="","",IF(coder1_YH!AD177=coder2_NY_MT!X178,1,0))</f>
        <v/>
      </c>
      <c r="W178" s="20" t="str">
        <f>IF(coder1_YH!AE177="","",IF(coder1_YH!AE177=coder2_NY_MT!Y178,1,0))</f>
        <v/>
      </c>
      <c r="X178" s="20" t="str">
        <f>IF(coder1_YH!AF177="","",IF(coder1_YH!AF177=coder2_NY_MT!Z178,1,0))</f>
        <v/>
      </c>
      <c r="Y178" s="20" t="str">
        <f>IF(coder1_YH!AG177="","",IF(coder1_YH!AG177=coder2_NY_MT!AA178,1,0))</f>
        <v/>
      </c>
      <c r="Z178" s="20" t="str">
        <f>IF(coder1_YH!AH177="","",IF(coder1_YH!AH177=coder2_NY_MT!AB178,1,0))</f>
        <v/>
      </c>
      <c r="AA178" s="20" t="str">
        <f>IF(coder1_YH!AI177="","",IF(coder1_YH!AI177=coder2_NY_MT!AC178,1,0))</f>
        <v/>
      </c>
      <c r="AB178" s="20">
        <f>IF(OR(coder2_NY_MT!AD177="", coder1_YH!AJ177 = ""),0,1)</f>
        <v>1</v>
      </c>
      <c r="AC178" s="20">
        <f>IF(coder1_YH!AK177="","",IF(coder1_YH!AK177=coder2_NY_MT!AE178,1,0))</f>
        <v>1</v>
      </c>
      <c r="AD178" s="20">
        <f>IF(OR(coder2_NY_MT!AF178="", coder1_YH!AL177 = ""),0,1)</f>
        <v>1</v>
      </c>
      <c r="AF178" s="20">
        <f>IF(coder1_YH!AN177="","",IF(coder1_YH!AN177=coder2_NY_MT!AH178,1,0))</f>
        <v>1</v>
      </c>
      <c r="AG178" s="20">
        <f>IF(coder1_YH!AO177="","",IF(coder1_YH!AO177=coder2_NY_MT!AI178,1,0))</f>
        <v>1</v>
      </c>
      <c r="AH178" s="20">
        <f>IF(coder1_YH!AP177="","",IF(coder1_YH!AP177=coder2_NY_MT!AJ178,1,0))</f>
        <v>1</v>
      </c>
      <c r="AI178" s="20">
        <f>IF(coder1_YH!AQ177="","",IF(coder1_YH!AQ177=coder2_NY_MT!AK178,1,0))</f>
        <v>1</v>
      </c>
      <c r="AJ178" s="20">
        <f>IF(coder1_YH!AR177="","",IF(coder1_YH!AR177=coder2_NY_MT!AL178,1,0))</f>
        <v>1</v>
      </c>
      <c r="AK178" s="20">
        <f>IF(coder1_YH!AS177="","",IF(coder1_YH!AS177=coder2_NY_MT!AM178,1,0))</f>
        <v>1</v>
      </c>
      <c r="AL178" s="20" t="str">
        <f>IF(coder1_YH!AZ177="","",IF(coder1_YH!AZ177=coder2_NY_MT!AT178,1,0))</f>
        <v/>
      </c>
      <c r="AM178" s="20" t="str">
        <f>IF(coder1_YH!BA177="","",IF(coder1_YH!BA177=coder2_NY_MT!AU178,1,0))</f>
        <v/>
      </c>
      <c r="AN178" s="2"/>
    </row>
    <row r="179" spans="1:40" s="20" customFormat="1" ht="17" hidden="1" customHeight="1" x14ac:dyDescent="0.2">
      <c r="A179" s="20" t="str">
        <f>IF(coder1_YH!G178="","",IF(coder1_YH!G178=coder2_NY_MT!A179,1,0))</f>
        <v/>
      </c>
      <c r="B179" s="20" t="str">
        <f>IF(coder1_YH!H178="","",IF(RIGHT(coder1_YH!H178,2)=RIGHT(coder2_NY_MT!B179,2),1,0))</f>
        <v/>
      </c>
      <c r="C179" s="20" t="str">
        <f>IF(coder1_YH!I178="","",IF(coder1_YH!I178=coder2_NY_MT!C179,1,0))</f>
        <v/>
      </c>
      <c r="E179" s="20" t="str">
        <f>IF(coder1_YH!K178="","",IF(coder1_YH!K178=coder2_NY_MT!E179,1,0))</f>
        <v/>
      </c>
      <c r="F179" s="20" t="str">
        <f>IF(coder1_YH!L178="","",IF(coder1_YH!L178=coder2_NY_MT!F179,1,0))</f>
        <v/>
      </c>
      <c r="G179" s="20" t="str">
        <f>IF(coder1_YH!M178="","",IF(coder1_YH!M178=coder2_NY_MT!G179,1,0))</f>
        <v/>
      </c>
      <c r="H179" s="20" t="str">
        <f>IF(coder1_YH!P178="","",IF(RIGHT(coder1_YH!P178,3)=RIGHT(coder2_NY_MT!J179,3),1,0))</f>
        <v/>
      </c>
      <c r="I179" s="20" t="str">
        <f>IF(H179="","",IF(OR(coder2_NY_MT!K179="", coder1_YH!Q178 = ""),0,1))</f>
        <v/>
      </c>
      <c r="J179" s="20" t="str">
        <f>IF(coder1_YH!R178="","",IF(coder1_YH!R178=coder2_NY_MT!L179,1,0))</f>
        <v/>
      </c>
      <c r="K179" s="20" t="str">
        <f>IF(coder1_YH!S178="","",IF(coder1_YH!S178=coder2_NY_MT!M179,1,0))</f>
        <v/>
      </c>
      <c r="L179" s="20" t="str">
        <f>IF(coder1_YH!T178="","",IF(coder1_YH!T178=coder2_NY_MT!N179,1,0))</f>
        <v/>
      </c>
      <c r="M179" s="20" t="str">
        <f>IF(coder1_YH!U178="","",IF(coder1_YH!U178=coder2_NY_MT!O179,1,0))</f>
        <v/>
      </c>
      <c r="N179" s="20" t="str">
        <f>IF(coder1_YH!V178="","",IF(coder1_YH!V178=coder2_NY_MT!P179,1,0))</f>
        <v/>
      </c>
      <c r="O179" s="20" t="str">
        <f>IF(coder1_YH!W178="","",IF(coder1_YH!W178=coder2_NY_MT!Q179,1,0))</f>
        <v/>
      </c>
      <c r="P179" s="20" t="str">
        <f>IF(coder1_YH!X178="","",IF(coder1_YH!X178=coder2_NY_MT!R179,1,0))</f>
        <v/>
      </c>
      <c r="Q179" s="20" t="str">
        <f>IF(coder1_YH!Y178="","",IF(coder1_YH!Y178=coder2_NY_MT!S179,1,0))</f>
        <v/>
      </c>
      <c r="R179" s="20" t="str">
        <f>IF(coder1_YH!Z178="","",IF(coder1_YH!Z178=coder2_NY_MT!T179,1,0))</f>
        <v/>
      </c>
      <c r="S179" s="20" t="str">
        <f>IF(R179="","",IF(OR(coder2_NY_MT!U179="", coder1_YH!AA178 = ""),0,1))</f>
        <v/>
      </c>
      <c r="T179" s="20" t="str">
        <f>IF(coder1_YH!AB178="","",IF(coder1_YH!AB178=coder2_NY_MT!V179,1,0))</f>
        <v/>
      </c>
      <c r="U179" s="20" t="str">
        <f>IF(coder1_YH!AC178="","",IF(coder1_YH!AC178=coder2_NY_MT!W179,1,0))</f>
        <v/>
      </c>
      <c r="V179" s="20" t="str">
        <f>IF(coder1_YH!AD178="","",IF(coder1_YH!AD178=coder2_NY_MT!X179,1,0))</f>
        <v/>
      </c>
      <c r="W179" s="20" t="str">
        <f>IF(coder1_YH!AE178="","",IF(coder1_YH!AE178=coder2_NY_MT!Y179,1,0))</f>
        <v/>
      </c>
      <c r="X179" s="20" t="str">
        <f>IF(coder1_YH!AF178="","",IF(coder1_YH!AF178=coder2_NY_MT!Z179,1,0))</f>
        <v/>
      </c>
      <c r="Y179" s="20" t="str">
        <f>IF(coder1_YH!AG178="","",IF(coder1_YH!AG178=coder2_NY_MT!AA179,1,0))</f>
        <v/>
      </c>
      <c r="Z179" s="20" t="str">
        <f>IF(coder1_YH!AH178="","",IF(coder1_YH!AH178=coder2_NY_MT!AB179,1,0))</f>
        <v/>
      </c>
      <c r="AA179" s="20" t="str">
        <f>IF(coder1_YH!AI178="","",IF(coder1_YH!AI178=coder2_NY_MT!AC179,1,0))</f>
        <v/>
      </c>
      <c r="AB179" s="20">
        <f>IF(OR(coder2_NY_MT!AD178="", coder1_YH!AJ178 = ""),0,1)</f>
        <v>1</v>
      </c>
      <c r="AC179" s="20">
        <f>IF(coder1_YH!AK178="","",IF(coder1_YH!AK178=coder2_NY_MT!AE179,1,0))</f>
        <v>1</v>
      </c>
      <c r="AD179" s="20">
        <f>IF(OR(coder2_NY_MT!AF179="", coder1_YH!AL178 = ""),0,1)</f>
        <v>1</v>
      </c>
      <c r="AF179" s="20">
        <f>IF(coder1_YH!AN178="","",IF(coder1_YH!AN178=coder2_NY_MT!AH179,1,0))</f>
        <v>1</v>
      </c>
      <c r="AG179" s="20">
        <f>IF(coder1_YH!AO178="","",IF(coder1_YH!AO178=coder2_NY_MT!AI179,1,0))</f>
        <v>1</v>
      </c>
      <c r="AH179" s="20">
        <f>IF(coder1_YH!AP178="","",IF(coder1_YH!AP178=coder2_NY_MT!AJ179,1,0))</f>
        <v>1</v>
      </c>
      <c r="AI179" s="20">
        <f>IF(coder1_YH!AQ178="","",IF(coder1_YH!AQ178=coder2_NY_MT!AK179,1,0))</f>
        <v>1</v>
      </c>
      <c r="AJ179" s="20">
        <f>IF(coder1_YH!AR178="","",IF(coder1_YH!AR178=coder2_NY_MT!AL179,1,0))</f>
        <v>1</v>
      </c>
      <c r="AK179" s="20">
        <f>IF(coder1_YH!AS178="","",IF(coder1_YH!AS178=coder2_NY_MT!AM179,1,0))</f>
        <v>1</v>
      </c>
      <c r="AL179" s="20" t="str">
        <f>IF(coder1_YH!AZ178="","",IF(coder1_YH!AZ178=coder2_NY_MT!AT179,1,0))</f>
        <v/>
      </c>
      <c r="AM179" s="20" t="str">
        <f>IF(coder1_YH!BA178="","",IF(coder1_YH!BA178=coder2_NY_MT!AU179,1,0))</f>
        <v/>
      </c>
      <c r="AN179" s="2"/>
    </row>
    <row r="180" spans="1:40" s="20" customFormat="1" ht="17" hidden="1" customHeight="1" x14ac:dyDescent="0.2">
      <c r="A180" s="20" t="str">
        <f>IF(coder1_YH!G179="","",IF(coder1_YH!G179=coder2_NY_MT!A180,1,0))</f>
        <v/>
      </c>
      <c r="B180" s="20" t="str">
        <f>IF(coder1_YH!H179="","",IF(RIGHT(coder1_YH!H179,2)=RIGHT(coder2_NY_MT!B180,2),1,0))</f>
        <v/>
      </c>
      <c r="C180" s="20" t="str">
        <f>IF(coder1_YH!I179="","",IF(coder1_YH!I179=coder2_NY_MT!C180,1,0))</f>
        <v/>
      </c>
      <c r="E180" s="20" t="str">
        <f>IF(coder1_YH!K179="","",IF(coder1_YH!K179=coder2_NY_MT!E180,1,0))</f>
        <v/>
      </c>
      <c r="F180" s="20" t="str">
        <f>IF(coder1_YH!L179="","",IF(coder1_YH!L179=coder2_NY_MT!F180,1,0))</f>
        <v/>
      </c>
      <c r="G180" s="20" t="str">
        <f>IF(coder1_YH!M179="","",IF(coder1_YH!M179=coder2_NY_MT!G180,1,0))</f>
        <v/>
      </c>
      <c r="H180" s="20" t="str">
        <f>IF(coder1_YH!P179="","",IF(RIGHT(coder1_YH!P179,3)=RIGHT(coder2_NY_MT!J180,3),1,0))</f>
        <v/>
      </c>
      <c r="I180" s="20" t="str">
        <f>IF(H180="","",IF(OR(coder2_NY_MT!K180="", coder1_YH!Q179 = ""),0,1))</f>
        <v/>
      </c>
      <c r="J180" s="20" t="str">
        <f>IF(coder1_YH!R179="","",IF(coder1_YH!R179=coder2_NY_MT!L180,1,0))</f>
        <v/>
      </c>
      <c r="K180" s="20" t="str">
        <f>IF(coder1_YH!S179="","",IF(coder1_YH!S179=coder2_NY_MT!M180,1,0))</f>
        <v/>
      </c>
      <c r="L180" s="20" t="str">
        <f>IF(coder1_YH!T179="","",IF(coder1_YH!T179=coder2_NY_MT!N180,1,0))</f>
        <v/>
      </c>
      <c r="M180" s="20" t="str">
        <f>IF(coder1_YH!U179="","",IF(coder1_YH!U179=coder2_NY_MT!O180,1,0))</f>
        <v/>
      </c>
      <c r="N180" s="20" t="str">
        <f>IF(coder1_YH!V179="","",IF(coder1_YH!V179=coder2_NY_MT!P180,1,0))</f>
        <v/>
      </c>
      <c r="O180" s="20" t="str">
        <f>IF(coder1_YH!W179="","",IF(coder1_YH!W179=coder2_NY_MT!Q180,1,0))</f>
        <v/>
      </c>
      <c r="P180" s="20" t="str">
        <f>IF(coder1_YH!X179="","",IF(coder1_YH!X179=coder2_NY_MT!R180,1,0))</f>
        <v/>
      </c>
      <c r="Q180" s="20" t="str">
        <f>IF(coder1_YH!Y179="","",IF(coder1_YH!Y179=coder2_NY_MT!S180,1,0))</f>
        <v/>
      </c>
      <c r="R180" s="20" t="str">
        <f>IF(coder1_YH!Z179="","",IF(coder1_YH!Z179=coder2_NY_MT!T180,1,0))</f>
        <v/>
      </c>
      <c r="S180" s="20" t="str">
        <f>IF(R180="","",IF(OR(coder2_NY_MT!U180="", coder1_YH!AA179 = ""),0,1))</f>
        <v/>
      </c>
      <c r="T180" s="20" t="str">
        <f>IF(coder1_YH!AB179="","",IF(coder1_YH!AB179=coder2_NY_MT!V180,1,0))</f>
        <v/>
      </c>
      <c r="U180" s="20" t="str">
        <f>IF(coder1_YH!AC179="","",IF(coder1_YH!AC179=coder2_NY_MT!W180,1,0))</f>
        <v/>
      </c>
      <c r="V180" s="20" t="str">
        <f>IF(coder1_YH!AD179="","",IF(coder1_YH!AD179=coder2_NY_MT!X180,1,0))</f>
        <v/>
      </c>
      <c r="W180" s="20" t="str">
        <f>IF(coder1_YH!AE179="","",IF(coder1_YH!AE179=coder2_NY_MT!Y180,1,0))</f>
        <v/>
      </c>
      <c r="X180" s="20" t="str">
        <f>IF(coder1_YH!AF179="","",IF(coder1_YH!AF179=coder2_NY_MT!Z180,1,0))</f>
        <v/>
      </c>
      <c r="Y180" s="20" t="str">
        <f>IF(coder1_YH!AG179="","",IF(coder1_YH!AG179=coder2_NY_MT!AA180,1,0))</f>
        <v/>
      </c>
      <c r="Z180" s="20" t="str">
        <f>IF(coder1_YH!AH179="","",IF(coder1_YH!AH179=coder2_NY_MT!AB180,1,0))</f>
        <v/>
      </c>
      <c r="AA180" s="20" t="str">
        <f>IF(coder1_YH!AI179="","",IF(coder1_YH!AI179=coder2_NY_MT!AC180,1,0))</f>
        <v/>
      </c>
      <c r="AB180" s="20">
        <f>IF(OR(coder2_NY_MT!AD179="", coder1_YH!AJ179 = ""),0,1)</f>
        <v>1</v>
      </c>
      <c r="AC180" s="20">
        <f>IF(coder1_YH!AK179="","",IF(coder1_YH!AK179=coder2_NY_MT!AE180,1,0))</f>
        <v>1</v>
      </c>
      <c r="AD180" s="20">
        <f>IF(OR(coder2_NY_MT!AF180="", coder1_YH!AL179 = ""),0,1)</f>
        <v>1</v>
      </c>
      <c r="AF180" s="20">
        <f>IF(coder1_YH!AN179="","",IF(coder1_YH!AN179=coder2_NY_MT!AH180,1,0))</f>
        <v>1</v>
      </c>
      <c r="AG180" s="20">
        <f>IF(coder1_YH!AO179="","",IF(coder1_YH!AO179=coder2_NY_MT!AI180,1,0))</f>
        <v>1</v>
      </c>
      <c r="AH180" s="20">
        <f>IF(coder1_YH!AP179="","",IF(coder1_YH!AP179=coder2_NY_MT!AJ180,1,0))</f>
        <v>1</v>
      </c>
      <c r="AI180" s="20">
        <f>IF(coder1_YH!AQ179="","",IF(coder1_YH!AQ179=coder2_NY_MT!AK180,1,0))</f>
        <v>1</v>
      </c>
      <c r="AJ180" s="20">
        <f>IF(coder1_YH!AR179="","",IF(coder1_YH!AR179=coder2_NY_MT!AL180,1,0))</f>
        <v>1</v>
      </c>
      <c r="AK180" s="20">
        <f>IF(coder1_YH!AS179="","",IF(coder1_YH!AS179=coder2_NY_MT!AM180,1,0))</f>
        <v>1</v>
      </c>
      <c r="AL180" s="20" t="str">
        <f>IF(coder1_YH!AZ179="","",IF(coder1_YH!AZ179=coder2_NY_MT!AT180,1,0))</f>
        <v/>
      </c>
      <c r="AM180" s="20" t="str">
        <f>IF(coder1_YH!BA179="","",IF(coder1_YH!BA179=coder2_NY_MT!AU180,1,0))</f>
        <v/>
      </c>
      <c r="AN180" s="2"/>
    </row>
    <row r="181" spans="1:40" s="20" customFormat="1" ht="17" hidden="1" customHeight="1" x14ac:dyDescent="0.2">
      <c r="A181" s="20" t="str">
        <f>IF(coder1_YH!G180="","",IF(coder1_YH!G180=coder2_NY_MT!A181,1,0))</f>
        <v/>
      </c>
      <c r="B181" s="20" t="str">
        <f>IF(coder1_YH!H180="","",IF(RIGHT(coder1_YH!H180,2)=RIGHT(coder2_NY_MT!B181,2),1,0))</f>
        <v/>
      </c>
      <c r="C181" s="20" t="str">
        <f>IF(coder1_YH!I180="","",IF(coder1_YH!I180=coder2_NY_MT!C181,1,0))</f>
        <v/>
      </c>
      <c r="E181" s="20" t="str">
        <f>IF(coder1_YH!K180="","",IF(coder1_YH!K180=coder2_NY_MT!E181,1,0))</f>
        <v/>
      </c>
      <c r="F181" s="20" t="str">
        <f>IF(coder1_YH!L180="","",IF(coder1_YH!L180=coder2_NY_MT!F181,1,0))</f>
        <v/>
      </c>
      <c r="G181" s="20" t="str">
        <f>IF(coder1_YH!M180="","",IF(coder1_YH!M180=coder2_NY_MT!G181,1,0))</f>
        <v/>
      </c>
      <c r="H181" s="20" t="str">
        <f>IF(coder1_YH!P180="","",IF(RIGHT(coder1_YH!P180,3)=RIGHT(coder2_NY_MT!J181,3),1,0))</f>
        <v/>
      </c>
      <c r="I181" s="20" t="str">
        <f>IF(H181="","",IF(OR(coder2_NY_MT!K181="", coder1_YH!Q180 = ""),0,1))</f>
        <v/>
      </c>
      <c r="J181" s="20" t="str">
        <f>IF(coder1_YH!R180="","",IF(coder1_YH!R180=coder2_NY_MT!L181,1,0))</f>
        <v/>
      </c>
      <c r="K181" s="20" t="str">
        <f>IF(coder1_YH!S180="","",IF(coder1_YH!S180=coder2_NY_MT!M181,1,0))</f>
        <v/>
      </c>
      <c r="L181" s="20" t="str">
        <f>IF(coder1_YH!T180="","",IF(coder1_YH!T180=coder2_NY_MT!N181,1,0))</f>
        <v/>
      </c>
      <c r="M181" s="20" t="str">
        <f>IF(coder1_YH!U180="","",IF(coder1_YH!U180=coder2_NY_MT!O181,1,0))</f>
        <v/>
      </c>
      <c r="N181" s="20" t="str">
        <f>IF(coder1_YH!V180="","",IF(coder1_YH!V180=coder2_NY_MT!P181,1,0))</f>
        <v/>
      </c>
      <c r="O181" s="20" t="str">
        <f>IF(coder1_YH!W180="","",IF(coder1_YH!W180=coder2_NY_MT!Q181,1,0))</f>
        <v/>
      </c>
      <c r="P181" s="20" t="str">
        <f>IF(coder1_YH!X180="","",IF(coder1_YH!X180=coder2_NY_MT!R181,1,0))</f>
        <v/>
      </c>
      <c r="Q181" s="20" t="str">
        <f>IF(coder1_YH!Y180="","",IF(coder1_YH!Y180=coder2_NY_MT!S181,1,0))</f>
        <v/>
      </c>
      <c r="R181" s="20" t="str">
        <f>IF(coder1_YH!Z180="","",IF(coder1_YH!Z180=coder2_NY_MT!T181,1,0))</f>
        <v/>
      </c>
      <c r="S181" s="20" t="str">
        <f>IF(R181="","",IF(OR(coder2_NY_MT!U181="", coder1_YH!AA180 = ""),0,1))</f>
        <v/>
      </c>
      <c r="T181" s="20" t="str">
        <f>IF(coder1_YH!AB180="","",IF(coder1_YH!AB180=coder2_NY_MT!V181,1,0))</f>
        <v/>
      </c>
      <c r="U181" s="20" t="str">
        <f>IF(coder1_YH!AC180="","",IF(coder1_YH!AC180=coder2_NY_MT!W181,1,0))</f>
        <v/>
      </c>
      <c r="V181" s="20" t="str">
        <f>IF(coder1_YH!AD180="","",IF(coder1_YH!AD180=coder2_NY_MT!X181,1,0))</f>
        <v/>
      </c>
      <c r="W181" s="20" t="str">
        <f>IF(coder1_YH!AE180="","",IF(coder1_YH!AE180=coder2_NY_MT!Y181,1,0))</f>
        <v/>
      </c>
      <c r="X181" s="20" t="str">
        <f>IF(coder1_YH!AF180="","",IF(coder1_YH!AF180=coder2_NY_MT!Z181,1,0))</f>
        <v/>
      </c>
      <c r="Y181" s="20" t="str">
        <f>IF(coder1_YH!AG180="","",IF(coder1_YH!AG180=coder2_NY_MT!AA181,1,0))</f>
        <v/>
      </c>
      <c r="Z181" s="20" t="str">
        <f>IF(coder1_YH!AH180="","",IF(coder1_YH!AH180=coder2_NY_MT!AB181,1,0))</f>
        <v/>
      </c>
      <c r="AA181" s="20" t="str">
        <f>IF(coder1_YH!AI180="","",IF(coder1_YH!AI180=coder2_NY_MT!AC181,1,0))</f>
        <v/>
      </c>
      <c r="AB181" s="20">
        <f>IF(OR(coder2_NY_MT!AD180="", coder1_YH!AJ180 = ""),0,1)</f>
        <v>1</v>
      </c>
      <c r="AC181" s="20">
        <f>IF(coder1_YH!AK180="","",IF(coder1_YH!AK180=coder2_NY_MT!AE181,1,0))</f>
        <v>1</v>
      </c>
      <c r="AD181" s="20">
        <f>IF(OR(coder2_NY_MT!AF181="", coder1_YH!AL180 = ""),0,1)</f>
        <v>1</v>
      </c>
      <c r="AF181" s="20">
        <f>IF(coder1_YH!AN180="","",IF(coder1_YH!AN180=coder2_NY_MT!AH181,1,0))</f>
        <v>1</v>
      </c>
      <c r="AG181" s="20">
        <f>IF(coder1_YH!AO180="","",IF(coder1_YH!AO180=coder2_NY_MT!AI181,1,0))</f>
        <v>1</v>
      </c>
      <c r="AH181" s="20">
        <f>IF(coder1_YH!AP180="","",IF(coder1_YH!AP180=coder2_NY_MT!AJ181,1,0))</f>
        <v>1</v>
      </c>
      <c r="AI181" s="20">
        <f>IF(coder1_YH!AQ180="","",IF(coder1_YH!AQ180=coder2_NY_MT!AK181,1,0))</f>
        <v>1</v>
      </c>
      <c r="AJ181" s="20">
        <f>IF(coder1_YH!AR180="","",IF(coder1_YH!AR180=coder2_NY_MT!AL181,1,0))</f>
        <v>1</v>
      </c>
      <c r="AK181" s="20">
        <f>IF(coder1_YH!AS180="","",IF(coder1_YH!AS180=coder2_NY_MT!AM181,1,0))</f>
        <v>1</v>
      </c>
      <c r="AL181" s="20" t="str">
        <f>IF(coder1_YH!AZ180="","",IF(coder1_YH!AZ180=coder2_NY_MT!AT181,1,0))</f>
        <v/>
      </c>
      <c r="AM181" s="20" t="str">
        <f>IF(coder1_YH!BA180="","",IF(coder1_YH!BA180=coder2_NY_MT!AU181,1,0))</f>
        <v/>
      </c>
      <c r="AN181" s="2"/>
    </row>
    <row r="182" spans="1:40" s="20" customFormat="1" ht="17" hidden="1" customHeight="1" x14ac:dyDescent="0.2">
      <c r="A182" s="20" t="str">
        <f>IF(coder1_YH!G181="","",IF(coder1_YH!G181=coder2_NY_MT!A182,1,0))</f>
        <v/>
      </c>
      <c r="B182" s="20" t="str">
        <f>IF(coder1_YH!H181="","",IF(RIGHT(coder1_YH!H181,2)=RIGHT(coder2_NY_MT!B182,2),1,0))</f>
        <v/>
      </c>
      <c r="C182" s="20" t="str">
        <f>IF(coder1_YH!I181="","",IF(coder1_YH!I181=coder2_NY_MT!C182,1,0))</f>
        <v/>
      </c>
      <c r="E182" s="20" t="str">
        <f>IF(coder1_YH!K181="","",IF(coder1_YH!K181=coder2_NY_MT!E182,1,0))</f>
        <v/>
      </c>
      <c r="F182" s="20" t="str">
        <f>IF(coder1_YH!L181="","",IF(coder1_YH!L181=coder2_NY_MT!F182,1,0))</f>
        <v/>
      </c>
      <c r="G182" s="20" t="str">
        <f>IF(coder1_YH!M181="","",IF(coder1_YH!M181=coder2_NY_MT!G182,1,0))</f>
        <v/>
      </c>
      <c r="H182" s="20">
        <f>IF(coder1_YH!P181="","",IF(RIGHT(coder1_YH!P181,3)=RIGHT(coder2_NY_MT!J182,3),1,0))</f>
        <v>0</v>
      </c>
      <c r="I182" s="20">
        <f>IF(H182="","",IF(OR(coder2_NY_MT!K182="", coder1_YH!Q181 = ""),0,1))</f>
        <v>1</v>
      </c>
      <c r="J182" s="20">
        <f>IF(coder1_YH!R181="","",IF(coder1_YH!R181=coder2_NY_MT!L182,1,0))</f>
        <v>1</v>
      </c>
      <c r="K182" s="20">
        <f>IF(coder1_YH!S181="","",IF(coder1_YH!S181=coder2_NY_MT!M182,1,0))</f>
        <v>1</v>
      </c>
      <c r="L182" s="20">
        <f>IF(coder1_YH!T181="","",IF(coder1_YH!T181=coder2_NY_MT!N182,1,0))</f>
        <v>1</v>
      </c>
      <c r="M182" s="20">
        <f>IF(coder1_YH!U181="","",IF(coder1_YH!U181=coder2_NY_MT!O182,1,0))</f>
        <v>1</v>
      </c>
      <c r="N182" s="20">
        <f>IF(coder1_YH!V181="","",IF(coder1_YH!V181=coder2_NY_MT!P182,1,0))</f>
        <v>1</v>
      </c>
      <c r="O182" s="20">
        <f>IF(coder1_YH!W181="","",IF(coder1_YH!W181=coder2_NY_MT!Q182,1,0))</f>
        <v>1</v>
      </c>
      <c r="P182" s="20">
        <f>IF(coder1_YH!X181="","",IF(coder1_YH!X181=coder2_NY_MT!R182,1,0))</f>
        <v>1</v>
      </c>
      <c r="Q182" s="20">
        <f>IF(coder1_YH!Y181="","",IF(coder1_YH!Y181=coder2_NY_MT!S182,1,0))</f>
        <v>1</v>
      </c>
      <c r="R182" s="20">
        <f>IF(coder1_YH!Z181="","",IF(coder1_YH!Z181=coder2_NY_MT!T182,1,0))</f>
        <v>1</v>
      </c>
      <c r="S182" s="20">
        <f>IF(R182="","",IF(OR(coder2_NY_MT!U182="", coder1_YH!AA181 = ""),0,1))</f>
        <v>1</v>
      </c>
      <c r="T182" s="20">
        <f>IF(coder1_YH!AB181="","",IF(coder1_YH!AB181=coder2_NY_MT!V182,1,0))</f>
        <v>1</v>
      </c>
      <c r="U182" s="20">
        <f>IF(coder1_YH!AC181="","",IF(coder1_YH!AC181=coder2_NY_MT!W182,1,0))</f>
        <v>1</v>
      </c>
      <c r="V182" s="20">
        <f>IF(coder1_YH!AD181="","",IF(coder1_YH!AD181=coder2_NY_MT!X182,1,0))</f>
        <v>1</v>
      </c>
      <c r="W182" s="20">
        <f>IF(coder1_YH!AE181="","",IF(coder1_YH!AE181=coder2_NY_MT!Y182,1,0))</f>
        <v>1</v>
      </c>
      <c r="X182" s="20">
        <f>IF(coder1_YH!AF181="","",IF(coder1_YH!AF181=coder2_NY_MT!Z182,1,0))</f>
        <v>1</v>
      </c>
      <c r="Y182" s="20">
        <f>IF(coder1_YH!AG181="","",IF(coder1_YH!AG181=coder2_NY_MT!AA182,1,0))</f>
        <v>1</v>
      </c>
      <c r="Z182" s="20">
        <f>IF(coder1_YH!AH181="","",IF(coder1_YH!AH181=coder2_NY_MT!AB182,1,0))</f>
        <v>1</v>
      </c>
      <c r="AA182" s="20">
        <f>IF(coder1_YH!AI181="","",IF(coder1_YH!AI181=coder2_NY_MT!AC182,1,0))</f>
        <v>1</v>
      </c>
      <c r="AB182" s="20">
        <f>IF(OR(coder2_NY_MT!AD181="", coder1_YH!AJ181 = ""),0,1)</f>
        <v>1</v>
      </c>
      <c r="AC182" s="20">
        <f>IF(coder1_YH!AK181="","",IF(coder1_YH!AK181=coder2_NY_MT!AE182,1,0))</f>
        <v>1</v>
      </c>
      <c r="AD182" s="20">
        <f>IF(OR(coder2_NY_MT!AF182="", coder1_YH!AL181 = ""),0,1)</f>
        <v>1</v>
      </c>
      <c r="AF182" s="20">
        <f>IF(coder1_YH!AN181="","",IF(coder1_YH!AN181=coder2_NY_MT!AH182,1,0))</f>
        <v>1</v>
      </c>
      <c r="AG182" s="20">
        <f>IF(coder1_YH!AO181="","",IF(coder1_YH!AO181=coder2_NY_MT!AI182,1,0))</f>
        <v>1</v>
      </c>
      <c r="AH182" s="20">
        <f>IF(coder1_YH!AP181="","",IF(coder1_YH!AP181=coder2_NY_MT!AJ182,1,0))</f>
        <v>1</v>
      </c>
      <c r="AI182" s="20">
        <f>IF(coder1_YH!AQ181="","",IF(coder1_YH!AQ181=coder2_NY_MT!AK182,1,0))</f>
        <v>1</v>
      </c>
      <c r="AJ182" s="20">
        <f>IF(coder1_YH!AR181="","",IF(coder1_YH!AR181=coder2_NY_MT!AL182,1,0))</f>
        <v>1</v>
      </c>
      <c r="AK182" s="20">
        <f>IF(coder1_YH!AS181="","",IF(coder1_YH!AS181=coder2_NY_MT!AM182,1,0))</f>
        <v>1</v>
      </c>
      <c r="AL182" s="20" t="str">
        <f>IF(coder1_YH!AZ181="","",IF(coder1_YH!AZ181=coder2_NY_MT!AT182,1,0))</f>
        <v/>
      </c>
      <c r="AM182" s="20" t="str">
        <f>IF(coder1_YH!BA181="","",IF(coder1_YH!BA181=coder2_NY_MT!AU182,1,0))</f>
        <v/>
      </c>
      <c r="AN182" s="2"/>
    </row>
    <row r="183" spans="1:40" s="20" customFormat="1" ht="17" hidden="1" customHeight="1" x14ac:dyDescent="0.2">
      <c r="A183" s="20" t="str">
        <f>IF(coder1_YH!G182="","",IF(coder1_YH!G182=coder2_NY_MT!A183,1,0))</f>
        <v/>
      </c>
      <c r="B183" s="20" t="str">
        <f>IF(coder1_YH!H182="","",IF(RIGHT(coder1_YH!H182,2)=RIGHT(coder2_NY_MT!B183,2),1,0))</f>
        <v/>
      </c>
      <c r="C183" s="20" t="str">
        <f>IF(coder1_YH!I182="","",IF(coder1_YH!I182=coder2_NY_MT!C183,1,0))</f>
        <v/>
      </c>
      <c r="E183" s="20" t="str">
        <f>IF(coder1_YH!K182="","",IF(coder1_YH!K182=coder2_NY_MT!E183,1,0))</f>
        <v/>
      </c>
      <c r="F183" s="20" t="str">
        <f>IF(coder1_YH!L182="","",IF(coder1_YH!L182=coder2_NY_MT!F183,1,0))</f>
        <v/>
      </c>
      <c r="G183" s="20" t="str">
        <f>IF(coder1_YH!M182="","",IF(coder1_YH!M182=coder2_NY_MT!G183,1,0))</f>
        <v/>
      </c>
      <c r="H183" s="20" t="str">
        <f>IF(coder1_YH!P182="","",IF(RIGHT(coder1_YH!P182,3)=RIGHT(coder2_NY_MT!J183,3),1,0))</f>
        <v/>
      </c>
      <c r="I183" s="20" t="str">
        <f>IF(H183="","",IF(OR(coder2_NY_MT!K183="", coder1_YH!Q182 = ""),0,1))</f>
        <v/>
      </c>
      <c r="J183" s="20" t="str">
        <f>IF(coder1_YH!R182="","",IF(coder1_YH!R182=coder2_NY_MT!L183,1,0))</f>
        <v/>
      </c>
      <c r="K183" s="20" t="str">
        <f>IF(coder1_YH!S182="","",IF(coder1_YH!S182=coder2_NY_MT!M183,1,0))</f>
        <v/>
      </c>
      <c r="L183" s="20" t="str">
        <f>IF(coder1_YH!T182="","",IF(coder1_YH!T182=coder2_NY_MT!N183,1,0))</f>
        <v/>
      </c>
      <c r="M183" s="20" t="str">
        <f>IF(coder1_YH!U182="","",IF(coder1_YH!U182=coder2_NY_MT!O183,1,0))</f>
        <v/>
      </c>
      <c r="N183" s="20" t="str">
        <f>IF(coder1_YH!V182="","",IF(coder1_YH!V182=coder2_NY_MT!P183,1,0))</f>
        <v/>
      </c>
      <c r="O183" s="20" t="str">
        <f>IF(coder1_YH!W182="","",IF(coder1_YH!W182=coder2_NY_MT!Q183,1,0))</f>
        <v/>
      </c>
      <c r="P183" s="20" t="str">
        <f>IF(coder1_YH!X182="","",IF(coder1_YH!X182=coder2_NY_MT!R183,1,0))</f>
        <v/>
      </c>
      <c r="Q183" s="20" t="str">
        <f>IF(coder1_YH!Y182="","",IF(coder1_YH!Y182=coder2_NY_MT!S183,1,0))</f>
        <v/>
      </c>
      <c r="R183" s="20" t="str">
        <f>IF(coder1_YH!Z182="","",IF(coder1_YH!Z182=coder2_NY_MT!T183,1,0))</f>
        <v/>
      </c>
      <c r="S183" s="20" t="str">
        <f>IF(R183="","",IF(OR(coder2_NY_MT!U183="", coder1_YH!AA182 = ""),0,1))</f>
        <v/>
      </c>
      <c r="T183" s="20" t="str">
        <f>IF(coder1_YH!AB182="","",IF(coder1_YH!AB182=coder2_NY_MT!V183,1,0))</f>
        <v/>
      </c>
      <c r="U183" s="20" t="str">
        <f>IF(coder1_YH!AC182="","",IF(coder1_YH!AC182=coder2_NY_MT!W183,1,0))</f>
        <v/>
      </c>
      <c r="V183" s="20" t="str">
        <f>IF(coder1_YH!AD182="","",IF(coder1_YH!AD182=coder2_NY_MT!X183,1,0))</f>
        <v/>
      </c>
      <c r="W183" s="20" t="str">
        <f>IF(coder1_YH!AE182="","",IF(coder1_YH!AE182=coder2_NY_MT!Y183,1,0))</f>
        <v/>
      </c>
      <c r="X183" s="20" t="str">
        <f>IF(coder1_YH!AF182="","",IF(coder1_YH!AF182=coder2_NY_MT!Z183,1,0))</f>
        <v/>
      </c>
      <c r="Y183" s="20" t="str">
        <f>IF(coder1_YH!AG182="","",IF(coder1_YH!AG182=coder2_NY_MT!AA183,1,0))</f>
        <v/>
      </c>
      <c r="Z183" s="20" t="str">
        <f>IF(coder1_YH!AH182="","",IF(coder1_YH!AH182=coder2_NY_MT!AB183,1,0))</f>
        <v/>
      </c>
      <c r="AA183" s="20" t="str">
        <f>IF(coder1_YH!AI182="","",IF(coder1_YH!AI182=coder2_NY_MT!AC183,1,0))</f>
        <v/>
      </c>
      <c r="AB183" s="20">
        <f>IF(OR(coder2_NY_MT!AD182="", coder1_YH!AJ182 = ""),0,1)</f>
        <v>1</v>
      </c>
      <c r="AC183" s="20">
        <f>IF(coder1_YH!AK182="","",IF(coder1_YH!AK182=coder2_NY_MT!AE183,1,0))</f>
        <v>1</v>
      </c>
      <c r="AD183" s="20">
        <f>IF(OR(coder2_NY_MT!AF183="", coder1_YH!AL182 = ""),0,1)</f>
        <v>1</v>
      </c>
      <c r="AF183" s="20">
        <f>IF(coder1_YH!AN182="","",IF(coder1_YH!AN182=coder2_NY_MT!AH183,1,0))</f>
        <v>1</v>
      </c>
      <c r="AG183" s="20">
        <f>IF(coder1_YH!AO182="","",IF(coder1_YH!AO182=coder2_NY_MT!AI183,1,0))</f>
        <v>1</v>
      </c>
      <c r="AH183" s="20">
        <f>IF(coder1_YH!AP182="","",IF(coder1_YH!AP182=coder2_NY_MT!AJ183,1,0))</f>
        <v>1</v>
      </c>
      <c r="AI183" s="20">
        <f>IF(coder1_YH!AQ182="","",IF(coder1_YH!AQ182=coder2_NY_MT!AK183,1,0))</f>
        <v>1</v>
      </c>
      <c r="AJ183" s="20">
        <f>IF(coder1_YH!AR182="","",IF(coder1_YH!AR182=coder2_NY_MT!AL183,1,0))</f>
        <v>1</v>
      </c>
      <c r="AK183" s="20">
        <f>IF(coder1_YH!AS182="","",IF(coder1_YH!AS182=coder2_NY_MT!AM183,1,0))</f>
        <v>1</v>
      </c>
      <c r="AL183" s="20" t="str">
        <f>IF(coder1_YH!AZ182="","",IF(coder1_YH!AZ182=coder2_NY_MT!AT183,1,0))</f>
        <v/>
      </c>
      <c r="AM183" s="20" t="str">
        <f>IF(coder1_YH!BA182="","",IF(coder1_YH!BA182=coder2_NY_MT!AU183,1,0))</f>
        <v/>
      </c>
      <c r="AN183" s="2"/>
    </row>
    <row r="184" spans="1:40" s="20" customFormat="1" ht="17" hidden="1" customHeight="1" x14ac:dyDescent="0.2">
      <c r="A184" s="20" t="str">
        <f>IF(coder1_YH!G183="","",IF(coder1_YH!G183=coder2_NY_MT!A184,1,0))</f>
        <v/>
      </c>
      <c r="B184" s="20" t="str">
        <f>IF(coder1_YH!H183="","",IF(RIGHT(coder1_YH!H183,2)=RIGHT(coder2_NY_MT!B184,2),1,0))</f>
        <v/>
      </c>
      <c r="C184" s="20" t="str">
        <f>IF(coder1_YH!I183="","",IF(coder1_YH!I183=coder2_NY_MT!C184,1,0))</f>
        <v/>
      </c>
      <c r="E184" s="20" t="str">
        <f>IF(coder1_YH!K183="","",IF(coder1_YH!K183=coder2_NY_MT!E184,1,0))</f>
        <v/>
      </c>
      <c r="F184" s="20" t="str">
        <f>IF(coder1_YH!L183="","",IF(coder1_YH!L183=coder2_NY_MT!F184,1,0))</f>
        <v/>
      </c>
      <c r="G184" s="20" t="str">
        <f>IF(coder1_YH!M183="","",IF(coder1_YH!M183=coder2_NY_MT!G184,1,0))</f>
        <v/>
      </c>
      <c r="H184" s="20" t="str">
        <f>IF(coder1_YH!P183="","",IF(RIGHT(coder1_YH!P183,3)=RIGHT(coder2_NY_MT!J184,3),1,0))</f>
        <v/>
      </c>
      <c r="I184" s="20" t="str">
        <f>IF(H184="","",IF(OR(coder2_NY_MT!K184="", coder1_YH!Q183 = ""),0,1))</f>
        <v/>
      </c>
      <c r="J184" s="20" t="str">
        <f>IF(coder1_YH!R183="","",IF(coder1_YH!R183=coder2_NY_MT!L184,1,0))</f>
        <v/>
      </c>
      <c r="K184" s="20" t="str">
        <f>IF(coder1_YH!S183="","",IF(coder1_YH!S183=coder2_NY_MT!M184,1,0))</f>
        <v/>
      </c>
      <c r="L184" s="20" t="str">
        <f>IF(coder1_YH!T183="","",IF(coder1_YH!T183=coder2_NY_MT!N184,1,0))</f>
        <v/>
      </c>
      <c r="M184" s="20" t="str">
        <f>IF(coder1_YH!U183="","",IF(coder1_YH!U183=coder2_NY_MT!O184,1,0))</f>
        <v/>
      </c>
      <c r="N184" s="20" t="str">
        <f>IF(coder1_YH!V183="","",IF(coder1_YH!V183=coder2_NY_MT!P184,1,0))</f>
        <v/>
      </c>
      <c r="O184" s="20" t="str">
        <f>IF(coder1_YH!W183="","",IF(coder1_YH!W183=coder2_NY_MT!Q184,1,0))</f>
        <v/>
      </c>
      <c r="P184" s="20" t="str">
        <f>IF(coder1_YH!X183="","",IF(coder1_YH!X183=coder2_NY_MT!R184,1,0))</f>
        <v/>
      </c>
      <c r="Q184" s="20" t="str">
        <f>IF(coder1_YH!Y183="","",IF(coder1_YH!Y183=coder2_NY_MT!S184,1,0))</f>
        <v/>
      </c>
      <c r="R184" s="20" t="str">
        <f>IF(coder1_YH!Z183="","",IF(coder1_YH!Z183=coder2_NY_MT!T184,1,0))</f>
        <v/>
      </c>
      <c r="S184" s="20" t="str">
        <f>IF(R184="","",IF(OR(coder2_NY_MT!U184="", coder1_YH!AA183 = ""),0,1))</f>
        <v/>
      </c>
      <c r="T184" s="20" t="str">
        <f>IF(coder1_YH!AB183="","",IF(coder1_YH!AB183=coder2_NY_MT!V184,1,0))</f>
        <v/>
      </c>
      <c r="U184" s="20" t="str">
        <f>IF(coder1_YH!AC183="","",IF(coder1_YH!AC183=coder2_NY_MT!W184,1,0))</f>
        <v/>
      </c>
      <c r="V184" s="20" t="str">
        <f>IF(coder1_YH!AD183="","",IF(coder1_YH!AD183=coder2_NY_MT!X184,1,0))</f>
        <v/>
      </c>
      <c r="W184" s="20" t="str">
        <f>IF(coder1_YH!AE183="","",IF(coder1_YH!AE183=coder2_NY_MT!Y184,1,0))</f>
        <v/>
      </c>
      <c r="X184" s="20" t="str">
        <f>IF(coder1_YH!AF183="","",IF(coder1_YH!AF183=coder2_NY_MT!Z184,1,0))</f>
        <v/>
      </c>
      <c r="Y184" s="20" t="str">
        <f>IF(coder1_YH!AG183="","",IF(coder1_YH!AG183=coder2_NY_MT!AA184,1,0))</f>
        <v/>
      </c>
      <c r="Z184" s="20" t="str">
        <f>IF(coder1_YH!AH183="","",IF(coder1_YH!AH183=coder2_NY_MT!AB184,1,0))</f>
        <v/>
      </c>
      <c r="AA184" s="20" t="str">
        <f>IF(coder1_YH!AI183="","",IF(coder1_YH!AI183=coder2_NY_MT!AC184,1,0))</f>
        <v/>
      </c>
      <c r="AB184" s="20">
        <f>IF(OR(coder2_NY_MT!AD183="", coder1_YH!AJ183 = ""),0,1)</f>
        <v>1</v>
      </c>
      <c r="AC184" s="20">
        <f>IF(coder1_YH!AK183="","",IF(coder1_YH!AK183=coder2_NY_MT!AE184,1,0))</f>
        <v>1</v>
      </c>
      <c r="AD184" s="20">
        <f>IF(OR(coder2_NY_MT!AF184="", coder1_YH!AL183 = ""),0,1)</f>
        <v>1</v>
      </c>
      <c r="AF184" s="20">
        <f>IF(coder1_YH!AN183="","",IF(coder1_YH!AN183=coder2_NY_MT!AH184,1,0))</f>
        <v>1</v>
      </c>
      <c r="AG184" s="20">
        <f>IF(coder1_YH!AO183="","",IF(coder1_YH!AO183=coder2_NY_MT!AI184,1,0))</f>
        <v>1</v>
      </c>
      <c r="AH184" s="20">
        <f>IF(coder1_YH!AP183="","",IF(coder1_YH!AP183=coder2_NY_MT!AJ184,1,0))</f>
        <v>1</v>
      </c>
      <c r="AI184" s="20">
        <f>IF(coder1_YH!AQ183="","",IF(coder1_YH!AQ183=coder2_NY_MT!AK184,1,0))</f>
        <v>1</v>
      </c>
      <c r="AJ184" s="20">
        <f>IF(coder1_YH!AR183="","",IF(coder1_YH!AR183=coder2_NY_MT!AL184,1,0))</f>
        <v>1</v>
      </c>
      <c r="AK184" s="20">
        <f>IF(coder1_YH!AS183="","",IF(coder1_YH!AS183=coder2_NY_MT!AM184,1,0))</f>
        <v>1</v>
      </c>
      <c r="AL184" s="20" t="str">
        <f>IF(coder1_YH!AZ183="","",IF(coder1_YH!AZ183=coder2_NY_MT!AT184,1,0))</f>
        <v/>
      </c>
      <c r="AM184" s="20" t="str">
        <f>IF(coder1_YH!BA183="","",IF(coder1_YH!BA183=coder2_NY_MT!AU184,1,0))</f>
        <v/>
      </c>
      <c r="AN184" s="2"/>
    </row>
    <row r="185" spans="1:40" s="20" customFormat="1" ht="17" hidden="1" customHeight="1" x14ac:dyDescent="0.2">
      <c r="A185" s="20" t="str">
        <f>IF(coder1_YH!G184="","",IF(coder1_YH!G184=coder2_NY_MT!A185,1,0))</f>
        <v/>
      </c>
      <c r="B185" s="20" t="str">
        <f>IF(coder1_YH!H184="","",IF(RIGHT(coder1_YH!H184,2)=RIGHT(coder2_NY_MT!B185,2),1,0))</f>
        <v/>
      </c>
      <c r="C185" s="20" t="str">
        <f>IF(coder1_YH!I184="","",IF(coder1_YH!I184=coder2_NY_MT!C185,1,0))</f>
        <v/>
      </c>
      <c r="E185" s="20" t="str">
        <f>IF(coder1_YH!K184="","",IF(coder1_YH!K184=coder2_NY_MT!E185,1,0))</f>
        <v/>
      </c>
      <c r="F185" s="20" t="str">
        <f>IF(coder1_YH!L184="","",IF(coder1_YH!L184=coder2_NY_MT!F185,1,0))</f>
        <v/>
      </c>
      <c r="G185" s="20" t="str">
        <f>IF(coder1_YH!M184="","",IF(coder1_YH!M184=coder2_NY_MT!G185,1,0))</f>
        <v/>
      </c>
      <c r="H185" s="20" t="str">
        <f>IF(coder1_YH!P184="","",IF(RIGHT(coder1_YH!P184,3)=RIGHT(coder2_NY_MT!J185,3),1,0))</f>
        <v/>
      </c>
      <c r="I185" s="20" t="str">
        <f>IF(H185="","",IF(OR(coder2_NY_MT!K185="", coder1_YH!Q184 = ""),0,1))</f>
        <v/>
      </c>
      <c r="J185" s="20" t="str">
        <f>IF(coder1_YH!R184="","",IF(coder1_YH!R184=coder2_NY_MT!L185,1,0))</f>
        <v/>
      </c>
      <c r="K185" s="20" t="str">
        <f>IF(coder1_YH!S184="","",IF(coder1_YH!S184=coder2_NY_MT!M185,1,0))</f>
        <v/>
      </c>
      <c r="L185" s="20" t="str">
        <f>IF(coder1_YH!T184="","",IF(coder1_YH!T184=coder2_NY_MT!N185,1,0))</f>
        <v/>
      </c>
      <c r="M185" s="20" t="str">
        <f>IF(coder1_YH!U184="","",IF(coder1_YH!U184=coder2_NY_MT!O185,1,0))</f>
        <v/>
      </c>
      <c r="N185" s="20" t="str">
        <f>IF(coder1_YH!V184="","",IF(coder1_YH!V184=coder2_NY_MT!P185,1,0))</f>
        <v/>
      </c>
      <c r="O185" s="20" t="str">
        <f>IF(coder1_YH!W184="","",IF(coder1_YH!W184=coder2_NY_MT!Q185,1,0))</f>
        <v/>
      </c>
      <c r="P185" s="20" t="str">
        <f>IF(coder1_YH!X184="","",IF(coder1_YH!X184=coder2_NY_MT!R185,1,0))</f>
        <v/>
      </c>
      <c r="Q185" s="20" t="str">
        <f>IF(coder1_YH!Y184="","",IF(coder1_YH!Y184=coder2_NY_MT!S185,1,0))</f>
        <v/>
      </c>
      <c r="R185" s="20" t="str">
        <f>IF(coder1_YH!Z184="","",IF(coder1_YH!Z184=coder2_NY_MT!T185,1,0))</f>
        <v/>
      </c>
      <c r="S185" s="20" t="str">
        <f>IF(R185="","",IF(OR(coder2_NY_MT!U185="", coder1_YH!AA184 = ""),0,1))</f>
        <v/>
      </c>
      <c r="T185" s="20" t="str">
        <f>IF(coder1_YH!AB184="","",IF(coder1_YH!AB184=coder2_NY_MT!V185,1,0))</f>
        <v/>
      </c>
      <c r="U185" s="20" t="str">
        <f>IF(coder1_YH!AC184="","",IF(coder1_YH!AC184=coder2_NY_MT!W185,1,0))</f>
        <v/>
      </c>
      <c r="V185" s="20" t="str">
        <f>IF(coder1_YH!AD184="","",IF(coder1_YH!AD184=coder2_NY_MT!X185,1,0))</f>
        <v/>
      </c>
      <c r="W185" s="20" t="str">
        <f>IF(coder1_YH!AE184="","",IF(coder1_YH!AE184=coder2_NY_MT!Y185,1,0))</f>
        <v/>
      </c>
      <c r="X185" s="20" t="str">
        <f>IF(coder1_YH!AF184="","",IF(coder1_YH!AF184=coder2_NY_MT!Z185,1,0))</f>
        <v/>
      </c>
      <c r="Y185" s="20" t="str">
        <f>IF(coder1_YH!AG184="","",IF(coder1_YH!AG184=coder2_NY_MT!AA185,1,0))</f>
        <v/>
      </c>
      <c r="Z185" s="20" t="str">
        <f>IF(coder1_YH!AH184="","",IF(coder1_YH!AH184=coder2_NY_MT!AB185,1,0))</f>
        <v/>
      </c>
      <c r="AA185" s="20" t="str">
        <f>IF(coder1_YH!AI184="","",IF(coder1_YH!AI184=coder2_NY_MT!AC185,1,0))</f>
        <v/>
      </c>
      <c r="AB185" s="20">
        <f>IF(OR(coder2_NY_MT!AD184="", coder1_YH!AJ184 = ""),0,1)</f>
        <v>1</v>
      </c>
      <c r="AC185" s="20">
        <f>IF(coder1_YH!AK184="","",IF(coder1_YH!AK184=coder2_NY_MT!AE185,1,0))</f>
        <v>1</v>
      </c>
      <c r="AD185" s="20">
        <f>IF(OR(coder2_NY_MT!AF185="", coder1_YH!AL184 = ""),0,1)</f>
        <v>1</v>
      </c>
      <c r="AF185" s="20">
        <f>IF(coder1_YH!AN184="","",IF(coder1_YH!AN184=coder2_NY_MT!AH185,1,0))</f>
        <v>1</v>
      </c>
      <c r="AG185" s="20">
        <f>IF(coder1_YH!AO184="","",IF(coder1_YH!AO184=coder2_NY_MT!AI185,1,0))</f>
        <v>1</v>
      </c>
      <c r="AH185" s="20">
        <f>IF(coder1_YH!AP184="","",IF(coder1_YH!AP184=coder2_NY_MT!AJ185,1,0))</f>
        <v>1</v>
      </c>
      <c r="AI185" s="20">
        <f>IF(coder1_YH!AQ184="","",IF(coder1_YH!AQ184=coder2_NY_MT!AK185,1,0))</f>
        <v>1</v>
      </c>
      <c r="AJ185" s="20">
        <f>IF(coder1_YH!AR184="","",IF(coder1_YH!AR184=coder2_NY_MT!AL185,1,0))</f>
        <v>1</v>
      </c>
      <c r="AK185" s="20">
        <f>IF(coder1_YH!AS184="","",IF(coder1_YH!AS184=coder2_NY_MT!AM185,1,0))</f>
        <v>1</v>
      </c>
      <c r="AL185" s="20" t="str">
        <f>IF(coder1_YH!AZ184="","",IF(coder1_YH!AZ184=coder2_NY_MT!AT185,1,0))</f>
        <v/>
      </c>
      <c r="AM185" s="20" t="str">
        <f>IF(coder1_YH!BA184="","",IF(coder1_YH!BA184=coder2_NY_MT!AU185,1,0))</f>
        <v/>
      </c>
      <c r="AN185" s="2"/>
    </row>
    <row r="186" spans="1:40" s="20" customFormat="1" ht="17" hidden="1" customHeight="1" x14ac:dyDescent="0.2">
      <c r="A186" s="20" t="str">
        <f>IF(coder1_YH!G185="","",IF(coder1_YH!G185=coder2_NY_MT!A186,1,0))</f>
        <v/>
      </c>
      <c r="B186" s="20" t="str">
        <f>IF(coder1_YH!H185="","",IF(RIGHT(coder1_YH!H185,2)=RIGHT(coder2_NY_MT!B186,2),1,0))</f>
        <v/>
      </c>
      <c r="C186" s="20" t="str">
        <f>IF(coder1_YH!I185="","",IF(coder1_YH!I185=coder2_NY_MT!C186,1,0))</f>
        <v/>
      </c>
      <c r="E186" s="20" t="str">
        <f>IF(coder1_YH!K185="","",IF(coder1_YH!K185=coder2_NY_MT!E186,1,0))</f>
        <v/>
      </c>
      <c r="F186" s="20" t="str">
        <f>IF(coder1_YH!L185="","",IF(coder1_YH!L185=coder2_NY_MT!F186,1,0))</f>
        <v/>
      </c>
      <c r="G186" s="20" t="str">
        <f>IF(coder1_YH!M185="","",IF(coder1_YH!M185=coder2_NY_MT!G186,1,0))</f>
        <v/>
      </c>
      <c r="H186" s="20" t="str">
        <f>IF(coder1_YH!P185="","",IF(RIGHT(coder1_YH!P185,3)=RIGHT(coder2_NY_MT!J186,3),1,0))</f>
        <v/>
      </c>
      <c r="I186" s="20" t="str">
        <f>IF(H186="","",IF(OR(coder2_NY_MT!K186="", coder1_YH!Q185 = ""),0,1))</f>
        <v/>
      </c>
      <c r="J186" s="20" t="str">
        <f>IF(coder1_YH!R185="","",IF(coder1_YH!R185=coder2_NY_MT!L186,1,0))</f>
        <v/>
      </c>
      <c r="K186" s="20" t="str">
        <f>IF(coder1_YH!S185="","",IF(coder1_YH!S185=coder2_NY_MT!M186,1,0))</f>
        <v/>
      </c>
      <c r="L186" s="20" t="str">
        <f>IF(coder1_YH!T185="","",IF(coder1_YH!T185=coder2_NY_MT!N186,1,0))</f>
        <v/>
      </c>
      <c r="M186" s="20" t="str">
        <f>IF(coder1_YH!U185="","",IF(coder1_YH!U185=coder2_NY_MT!O186,1,0))</f>
        <v/>
      </c>
      <c r="N186" s="20" t="str">
        <f>IF(coder1_YH!V185="","",IF(coder1_YH!V185=coder2_NY_MT!P186,1,0))</f>
        <v/>
      </c>
      <c r="O186" s="20" t="str">
        <f>IF(coder1_YH!W185="","",IF(coder1_YH!W185=coder2_NY_MT!Q186,1,0))</f>
        <v/>
      </c>
      <c r="P186" s="20" t="str">
        <f>IF(coder1_YH!X185="","",IF(coder1_YH!X185=coder2_NY_MT!R186,1,0))</f>
        <v/>
      </c>
      <c r="Q186" s="20" t="str">
        <f>IF(coder1_YH!Y185="","",IF(coder1_YH!Y185=coder2_NY_MT!S186,1,0))</f>
        <v/>
      </c>
      <c r="R186" s="20" t="str">
        <f>IF(coder1_YH!Z185="","",IF(coder1_YH!Z185=coder2_NY_MT!T186,1,0))</f>
        <v/>
      </c>
      <c r="S186" s="20" t="str">
        <f>IF(R186="","",IF(OR(coder2_NY_MT!U186="", coder1_YH!AA185 = ""),0,1))</f>
        <v/>
      </c>
      <c r="T186" s="20" t="str">
        <f>IF(coder1_YH!AB185="","",IF(coder1_YH!AB185=coder2_NY_MT!V186,1,0))</f>
        <v/>
      </c>
      <c r="U186" s="20" t="str">
        <f>IF(coder1_YH!AC185="","",IF(coder1_YH!AC185=coder2_NY_MT!W186,1,0))</f>
        <v/>
      </c>
      <c r="V186" s="20" t="str">
        <f>IF(coder1_YH!AD185="","",IF(coder1_YH!AD185=coder2_NY_MT!X186,1,0))</f>
        <v/>
      </c>
      <c r="W186" s="20" t="str">
        <f>IF(coder1_YH!AE185="","",IF(coder1_YH!AE185=coder2_NY_MT!Y186,1,0))</f>
        <v/>
      </c>
      <c r="X186" s="20" t="str">
        <f>IF(coder1_YH!AF185="","",IF(coder1_YH!AF185=coder2_NY_MT!Z186,1,0))</f>
        <v/>
      </c>
      <c r="Y186" s="20" t="str">
        <f>IF(coder1_YH!AG185="","",IF(coder1_YH!AG185=coder2_NY_MT!AA186,1,0))</f>
        <v/>
      </c>
      <c r="Z186" s="20" t="str">
        <f>IF(coder1_YH!AH185="","",IF(coder1_YH!AH185=coder2_NY_MT!AB186,1,0))</f>
        <v/>
      </c>
      <c r="AA186" s="20" t="str">
        <f>IF(coder1_YH!AI185="","",IF(coder1_YH!AI185=coder2_NY_MT!AC186,1,0))</f>
        <v/>
      </c>
      <c r="AB186" s="20">
        <f>IF(OR(coder2_NY_MT!AD185="", coder1_YH!AJ185 = ""),0,1)</f>
        <v>1</v>
      </c>
      <c r="AC186" s="20">
        <f>IF(coder1_YH!AK185="","",IF(coder1_YH!AK185=coder2_NY_MT!AE186,1,0))</f>
        <v>1</v>
      </c>
      <c r="AD186" s="20">
        <f>IF(OR(coder2_NY_MT!AF186="", coder1_YH!AL185 = ""),0,1)</f>
        <v>1</v>
      </c>
      <c r="AF186" s="20">
        <f>IF(coder1_YH!AN185="","",IF(coder1_YH!AN185=coder2_NY_MT!AH186,1,0))</f>
        <v>1</v>
      </c>
      <c r="AG186" s="20">
        <f>IF(coder1_YH!AO185="","",IF(coder1_YH!AO185=coder2_NY_MT!AI186,1,0))</f>
        <v>1</v>
      </c>
      <c r="AH186" s="20">
        <f>IF(coder1_YH!AP185="","",IF(coder1_YH!AP185=coder2_NY_MT!AJ186,1,0))</f>
        <v>1</v>
      </c>
      <c r="AI186" s="20">
        <f>IF(coder1_YH!AQ185="","",IF(coder1_YH!AQ185=coder2_NY_MT!AK186,1,0))</f>
        <v>1</v>
      </c>
      <c r="AJ186" s="20">
        <f>IF(coder1_YH!AR185="","",IF(coder1_YH!AR185=coder2_NY_MT!AL186,1,0))</f>
        <v>1</v>
      </c>
      <c r="AK186" s="20">
        <f>IF(coder1_YH!AS185="","",IF(coder1_YH!AS185=coder2_NY_MT!AM186,1,0))</f>
        <v>1</v>
      </c>
      <c r="AL186" s="20" t="str">
        <f>IF(coder1_YH!AZ185="","",IF(coder1_YH!AZ185=coder2_NY_MT!AT186,1,0))</f>
        <v/>
      </c>
      <c r="AM186" s="20" t="str">
        <f>IF(coder1_YH!BA185="","",IF(coder1_YH!BA185=coder2_NY_MT!AU186,1,0))</f>
        <v/>
      </c>
      <c r="AN186" s="2"/>
    </row>
    <row r="187" spans="1:40" s="20" customFormat="1" ht="17" hidden="1" customHeight="1" x14ac:dyDescent="0.2">
      <c r="A187" s="20">
        <f>IF(coder1_YH!G186="","",IF(coder1_YH!G186=coder2_NY_MT!A187,1,0))</f>
        <v>1</v>
      </c>
      <c r="B187" s="20">
        <f>IF(coder1_YH!H186="","",IF(RIGHT(coder1_YH!H186,2)=RIGHT(coder2_NY_MT!B187,2),1,0))</f>
        <v>1</v>
      </c>
      <c r="C187" s="20">
        <f>IF(coder1_YH!I186="","",IF(coder1_YH!I186=coder2_NY_MT!C187,1,0))</f>
        <v>1</v>
      </c>
      <c r="E187" s="20">
        <f>IF(coder1_YH!K186="","",IF(coder1_YH!K186=coder2_NY_MT!E187,1,0))</f>
        <v>1</v>
      </c>
      <c r="F187" s="20">
        <f>IF(coder1_YH!L186="","",IF(coder1_YH!L186=coder2_NY_MT!F187,1,0))</f>
        <v>1</v>
      </c>
      <c r="G187" s="20">
        <f>IF(coder1_YH!M186="","",IF(coder1_YH!M186=coder2_NY_MT!G187,1,0))</f>
        <v>1</v>
      </c>
      <c r="H187" s="20">
        <f>IF(coder1_YH!P186="","",IF(RIGHT(coder1_YH!P186,3)=RIGHT(coder2_NY_MT!J187,3),1,0))</f>
        <v>1</v>
      </c>
      <c r="I187" s="20">
        <f>IF(H187="","",IF(OR(coder2_NY_MT!K187="", coder1_YH!Q186 = ""),0,1))</f>
        <v>1</v>
      </c>
      <c r="J187" s="20">
        <f>IF(coder1_YH!R186="","",IF(coder1_YH!R186=coder2_NY_MT!L187,1,0))</f>
        <v>1</v>
      </c>
      <c r="K187" s="20">
        <f>IF(coder1_YH!S186="","",IF(coder1_YH!S186=coder2_NY_MT!M187,1,0))</f>
        <v>1</v>
      </c>
      <c r="L187" s="20">
        <f>IF(coder1_YH!T186="","",IF(coder1_YH!T186=coder2_NY_MT!N187,1,0))</f>
        <v>1</v>
      </c>
      <c r="M187" s="20">
        <f>IF(coder1_YH!U186="","",IF(coder1_YH!U186=coder2_NY_MT!O187,1,0))</f>
        <v>1</v>
      </c>
      <c r="N187" s="20">
        <f>IF(coder1_YH!V186="","",IF(coder1_YH!V186=coder2_NY_MT!P187,1,0))</f>
        <v>1</v>
      </c>
      <c r="O187" s="20">
        <f>IF(coder1_YH!W186="","",IF(coder1_YH!W186=coder2_NY_MT!Q187,1,0))</f>
        <v>1</v>
      </c>
      <c r="P187" s="20">
        <f>IF(coder1_YH!X186="","",IF(coder1_YH!X186=coder2_NY_MT!R187,1,0))</f>
        <v>1</v>
      </c>
      <c r="Q187" s="20">
        <f>IF(coder1_YH!Y186="","",IF(coder1_YH!Y186=coder2_NY_MT!S187,1,0))</f>
        <v>1</v>
      </c>
      <c r="R187" s="20">
        <f>IF(coder1_YH!Z186="","",IF(coder1_YH!Z186=coder2_NY_MT!T187,1,0))</f>
        <v>1</v>
      </c>
      <c r="S187" s="20">
        <f>IF(R187="","",IF(OR(coder2_NY_MT!U187="", coder1_YH!AA186 = ""),0,1))</f>
        <v>1</v>
      </c>
      <c r="T187" s="20">
        <f>IF(coder1_YH!AB186="","",IF(coder1_YH!AB186=coder2_NY_MT!V187,1,0))</f>
        <v>1</v>
      </c>
      <c r="U187" s="20">
        <f>IF(coder1_YH!AC186="","",IF(coder1_YH!AC186=coder2_NY_MT!W187,1,0))</f>
        <v>1</v>
      </c>
      <c r="V187" s="20">
        <f>IF(coder1_YH!AD186="","",IF(coder1_YH!AD186=coder2_NY_MT!X187,1,0))</f>
        <v>1</v>
      </c>
      <c r="W187" s="20">
        <f>IF(coder1_YH!AE186="","",IF(coder1_YH!AE186=coder2_NY_MT!Y187,1,0))</f>
        <v>1</v>
      </c>
      <c r="X187" s="20">
        <f>IF(coder1_YH!AF186="","",IF(coder1_YH!AF186=coder2_NY_MT!Z187,1,0))</f>
        <v>1</v>
      </c>
      <c r="Y187" s="20">
        <f>IF(coder1_YH!AG186="","",IF(coder1_YH!AG186=coder2_NY_MT!AA187,1,0))</f>
        <v>1</v>
      </c>
      <c r="Z187" s="20">
        <f>IF(coder1_YH!AH186="","",IF(coder1_YH!AH186=coder2_NY_MT!AB187,1,0))</f>
        <v>1</v>
      </c>
      <c r="AA187" s="20">
        <f>IF(coder1_YH!AI186="","",IF(coder1_YH!AI186=coder2_NY_MT!AC187,1,0))</f>
        <v>1</v>
      </c>
      <c r="AB187" s="20">
        <f>IF(OR(coder2_NY_MT!AD186="", coder1_YH!AJ186 = ""),0,1)</f>
        <v>1</v>
      </c>
      <c r="AC187" s="20">
        <f>IF(coder1_YH!AK186="","",IF(coder1_YH!AK186=coder2_NY_MT!AE187,1,0))</f>
        <v>1</v>
      </c>
      <c r="AD187" s="20">
        <f>IF(OR(coder2_NY_MT!AF187="", coder1_YH!AL186 = ""),0,1)</f>
        <v>1</v>
      </c>
      <c r="AF187" s="20">
        <f>IF(coder1_YH!AN186="","",IF(coder1_YH!AN186=coder2_NY_MT!AH187,1,0))</f>
        <v>1</v>
      </c>
      <c r="AG187" s="20">
        <f>IF(coder1_YH!AO186="","",IF(coder1_YH!AO186=coder2_NY_MT!AI187,1,0))</f>
        <v>1</v>
      </c>
      <c r="AH187" s="20">
        <f>IF(coder1_YH!AP186="","",IF(coder1_YH!AP186=coder2_NY_MT!AJ187,1,0))</f>
        <v>1</v>
      </c>
      <c r="AI187" s="20">
        <f>IF(coder1_YH!AQ186="","",IF(coder1_YH!AQ186=coder2_NY_MT!AK187,1,0))</f>
        <v>1</v>
      </c>
      <c r="AJ187" s="20">
        <f>IF(coder1_YH!AR186="","",IF(coder1_YH!AR186=coder2_NY_MT!AL187,1,0))</f>
        <v>1</v>
      </c>
      <c r="AK187" s="20">
        <f>IF(coder1_YH!AS186="","",IF(coder1_YH!AS186=coder2_NY_MT!AM187,1,0))</f>
        <v>1</v>
      </c>
      <c r="AL187" s="20" t="str">
        <f>IF(coder1_YH!AZ186="","",IF(coder1_YH!AZ186=coder2_NY_MT!AT187,1,0))</f>
        <v/>
      </c>
      <c r="AM187" s="20" t="str">
        <f>IF(coder1_YH!BA186="","",IF(coder1_YH!BA186=coder2_NY_MT!AU187,1,0))</f>
        <v/>
      </c>
      <c r="AN187" s="2"/>
    </row>
    <row r="188" spans="1:40" s="66" customFormat="1" ht="17" hidden="1" customHeight="1" thickBot="1" x14ac:dyDescent="0.25">
      <c r="A188" s="66" t="str">
        <f>IF(coder1_YH!G187="","",IF(coder1_YH!G187=coder2_NY_MT!A188,1,0))</f>
        <v/>
      </c>
      <c r="B188" s="66" t="str">
        <f>IF(coder1_YH!H187="","",IF(RIGHT(coder1_YH!H187,2)=RIGHT(coder2_NY_MT!B188,2),1,0))</f>
        <v/>
      </c>
      <c r="C188" s="66" t="str">
        <f>IF(coder1_YH!I187="","",IF(coder1_YH!I187=coder2_NY_MT!C188,1,0))</f>
        <v/>
      </c>
      <c r="E188" s="66" t="str">
        <f>IF(coder1_YH!K187="","",IF(coder1_YH!K187=coder2_NY_MT!E188,1,0))</f>
        <v/>
      </c>
      <c r="F188" s="66" t="str">
        <f>IF(coder1_YH!L187="","",IF(coder1_YH!L187=coder2_NY_MT!F188,1,0))</f>
        <v/>
      </c>
      <c r="G188" s="66" t="str">
        <f>IF(coder1_YH!M187="","",IF(coder1_YH!M187=coder2_NY_MT!G188,1,0))</f>
        <v/>
      </c>
      <c r="H188" s="66">
        <f>IF(coder1_YH!P187="","",IF(RIGHT(coder1_YH!P187,3)=RIGHT(coder2_NY_MT!J188,3),1,0))</f>
        <v>0</v>
      </c>
      <c r="I188" s="66">
        <f>IF(H188="","",IF(OR(coder2_NY_MT!K188="", coder1_YH!Q187 = ""),0,1))</f>
        <v>1</v>
      </c>
      <c r="J188" s="66">
        <f>IF(coder1_YH!R187="","",IF(coder1_YH!R187=coder2_NY_MT!L188,1,0))</f>
        <v>1</v>
      </c>
      <c r="K188" s="66">
        <f>IF(coder1_YH!S187="","",IF(coder1_YH!S187=coder2_NY_MT!M188,1,0))</f>
        <v>1</v>
      </c>
      <c r="L188" s="66">
        <f>IF(coder1_YH!T187="","",IF(coder1_YH!T187=coder2_NY_MT!N188,1,0))</f>
        <v>1</v>
      </c>
      <c r="M188" s="66">
        <f>IF(coder1_YH!U187="","",IF(coder1_YH!U187=coder2_NY_MT!O188,1,0))</f>
        <v>1</v>
      </c>
      <c r="N188" s="66">
        <f>IF(coder1_YH!V187="","",IF(coder1_YH!V187=coder2_NY_MT!P188,1,0))</f>
        <v>1</v>
      </c>
      <c r="O188" s="66">
        <f>IF(coder1_YH!W187="","",IF(coder1_YH!W187=coder2_NY_MT!Q188,1,0))</f>
        <v>1</v>
      </c>
      <c r="P188" s="66">
        <f>IF(coder1_YH!X187="","",IF(coder1_YH!X187=coder2_NY_MT!R188,1,0))</f>
        <v>1</v>
      </c>
      <c r="Q188" s="66">
        <f>IF(coder1_YH!Y187="","",IF(coder1_YH!Y187=coder2_NY_MT!S188,1,0))</f>
        <v>1</v>
      </c>
      <c r="R188" s="66">
        <f>IF(coder1_YH!Z187="","",IF(coder1_YH!Z187=coder2_NY_MT!T188,1,0))</f>
        <v>1</v>
      </c>
      <c r="S188" s="66">
        <f>IF(R188="","",IF(OR(coder2_NY_MT!U188="", coder1_YH!AA187 = ""),0,1))</f>
        <v>1</v>
      </c>
      <c r="T188" s="66">
        <f>IF(coder1_YH!AB187="","",IF(coder1_YH!AB187=coder2_NY_MT!V188,1,0))</f>
        <v>1</v>
      </c>
      <c r="U188" s="66">
        <f>IF(coder1_YH!AC187="","",IF(coder1_YH!AC187=coder2_NY_MT!W188,1,0))</f>
        <v>1</v>
      </c>
      <c r="V188" s="66">
        <f>IF(coder1_YH!AD187="","",IF(coder1_YH!AD187=coder2_NY_MT!X188,1,0))</f>
        <v>1</v>
      </c>
      <c r="W188" s="66">
        <f>IF(coder1_YH!AE187="","",IF(coder1_YH!AE187=coder2_NY_MT!Y188,1,0))</f>
        <v>1</v>
      </c>
      <c r="X188" s="66">
        <f>IF(coder1_YH!AF187="","",IF(coder1_YH!AF187=coder2_NY_MT!Z188,1,0))</f>
        <v>1</v>
      </c>
      <c r="Y188" s="66">
        <f>IF(coder1_YH!AG187="","",IF(coder1_YH!AG187=coder2_NY_MT!AA188,1,0))</f>
        <v>1</v>
      </c>
      <c r="Z188" s="66">
        <f>IF(coder1_YH!AH187="","",IF(coder1_YH!AH187=coder2_NY_MT!AB188,1,0))</f>
        <v>1</v>
      </c>
      <c r="AA188" s="66">
        <f>IF(coder1_YH!AI187="","",IF(coder1_YH!AI187=coder2_NY_MT!AC188,1,0))</f>
        <v>1</v>
      </c>
      <c r="AB188" s="66">
        <f>IF(OR(coder2_NY_MT!AD187="", coder1_YH!AJ187 = ""),0,1)</f>
        <v>1</v>
      </c>
      <c r="AC188" s="66">
        <f>IF(coder1_YH!AK187="","",IF(coder1_YH!AK187=coder2_NY_MT!AE188,1,0))</f>
        <v>1</v>
      </c>
      <c r="AD188" s="66">
        <f>IF(OR(coder2_NY_MT!AF188="", coder1_YH!AL187 = ""),0,1)</f>
        <v>1</v>
      </c>
      <c r="AF188" s="66">
        <f>IF(coder1_YH!AN187="","",IF(coder1_YH!AN187=coder2_NY_MT!AH188,1,0))</f>
        <v>1</v>
      </c>
      <c r="AG188" s="66">
        <f>IF(coder1_YH!AO187="","",IF(coder1_YH!AO187=coder2_NY_MT!AI188,1,0))</f>
        <v>1</v>
      </c>
      <c r="AH188" s="66">
        <f>IF(coder1_YH!AP187="","",IF(coder1_YH!AP187=coder2_NY_MT!AJ188,1,0))</f>
        <v>1</v>
      </c>
      <c r="AI188" s="66">
        <f>IF(coder1_YH!AQ187="","",IF(coder1_YH!AQ187=coder2_NY_MT!AK188,1,0))</f>
        <v>1</v>
      </c>
      <c r="AJ188" s="66">
        <f>IF(coder1_YH!AR187="","",IF(coder1_YH!AR187=coder2_NY_MT!AL188,1,0))</f>
        <v>1</v>
      </c>
      <c r="AK188" s="66">
        <f>IF(coder1_YH!AS187="","",IF(coder1_YH!AS187=coder2_NY_MT!AM188,1,0))</f>
        <v>1</v>
      </c>
      <c r="AL188" s="66" t="str">
        <f>IF(coder1_YH!AZ187="","",IF(coder1_YH!AZ187=coder2_NY_MT!AT188,1,0))</f>
        <v/>
      </c>
      <c r="AM188" s="66" t="str">
        <f>IF(coder1_YH!BA187="","",IF(coder1_YH!BA187=coder2_NY_MT!AU188,1,0))</f>
        <v/>
      </c>
      <c r="AN188" s="68"/>
    </row>
    <row r="189" spans="1:40" s="20" customFormat="1" ht="17" customHeight="1" x14ac:dyDescent="0.2">
      <c r="A189" s="20">
        <f>IF(coder1_YH!G188="","",IF(coder1_YH!G188=coder2_NY_MT!A189,1,0))</f>
        <v>0</v>
      </c>
      <c r="B189" s="20">
        <f>IF(coder1_YH!H188="","",IF(RIGHT(coder1_YH!H188,2)=RIGHT(coder2_NY_MT!B189,2),1,0))</f>
        <v>1</v>
      </c>
      <c r="C189" s="20">
        <f>IF(coder1_YH!I188="","",IF(coder1_YH!I188=coder2_NY_MT!C189,1,0))</f>
        <v>1</v>
      </c>
      <c r="E189" s="20">
        <f>IF(coder1_YH!K188="","",IF(coder1_YH!K188=coder2_NY_MT!E189,1,0))</f>
        <v>1</v>
      </c>
      <c r="F189" s="20">
        <f>IF(coder1_YH!L188="","",IF(coder1_YH!L188=coder2_NY_MT!F189,1,0))</f>
        <v>1</v>
      </c>
      <c r="G189" s="20">
        <f>IF(coder1_YH!M188="","",IF(coder1_YH!M188=coder2_NY_MT!G189,1,0))</f>
        <v>1</v>
      </c>
      <c r="H189" s="20">
        <f>IF(coder1_YH!P188="","",IF(RIGHT(coder1_YH!P188,3)=RIGHT(coder2_NY_MT!J189,3),1,0))</f>
        <v>1</v>
      </c>
      <c r="I189" s="20">
        <f>IF(H189="","",IF(OR(coder2_NY_MT!K189="", coder1_YH!Q188 = ""),0,1))</f>
        <v>1</v>
      </c>
      <c r="J189" s="20">
        <f>IF(coder1_YH!R188="","",IF(coder1_YH!R188=coder2_NY_MT!L189,1,0))</f>
        <v>1</v>
      </c>
      <c r="K189" s="20">
        <f>IF(coder1_YH!S188="","",IF(coder1_YH!S188=coder2_NY_MT!M189,1,0))</f>
        <v>1</v>
      </c>
      <c r="L189" s="20">
        <f>IF(coder1_YH!T188="","",IF(coder1_YH!T188=coder2_NY_MT!N189,1,0))</f>
        <v>1</v>
      </c>
      <c r="M189" s="20">
        <f>IF(coder1_YH!U188="","",IF(coder1_YH!U188=coder2_NY_MT!O189,1,0))</f>
        <v>1</v>
      </c>
      <c r="N189" s="20">
        <f>IF(coder1_YH!V188="","",IF(coder1_YH!V188=coder2_NY_MT!P189,1,0))</f>
        <v>1</v>
      </c>
      <c r="O189" s="20">
        <f>IF(coder1_YH!W188="","",IF(coder1_YH!W188=coder2_NY_MT!Q189,1,0))</f>
        <v>1</v>
      </c>
      <c r="P189" s="20">
        <f>IF(coder1_YH!X188="","",IF(coder1_YH!X188=coder2_NY_MT!R189,1,0))</f>
        <v>1</v>
      </c>
      <c r="Q189" s="20">
        <f>IF(coder1_YH!Y188="","",IF(coder1_YH!Y188=coder2_NY_MT!S189,1,0))</f>
        <v>1</v>
      </c>
      <c r="R189" s="20">
        <f>IF(coder1_YH!Z188="","",IF(coder1_YH!Z188=coder2_NY_MT!T189,1,0))</f>
        <v>1</v>
      </c>
      <c r="S189" s="20">
        <f>IF(R189="","",IF(OR(coder2_NY_MT!U189="", coder1_YH!AA188 = ""),0,1))</f>
        <v>1</v>
      </c>
      <c r="T189" s="20">
        <f>IF(coder1_YH!AB188="","",IF(coder1_YH!AB188=coder2_NY_MT!V189,1,0))</f>
        <v>1</v>
      </c>
      <c r="U189" s="20">
        <f>IF(coder1_YH!AC188="","",IF(coder1_YH!AC188=coder2_NY_MT!W189,1,0))</f>
        <v>1</v>
      </c>
      <c r="V189" s="20">
        <f>IF(coder1_YH!AD188="","",IF(coder1_YH!AD188=coder2_NY_MT!X189,1,0))</f>
        <v>1</v>
      </c>
      <c r="W189" s="20">
        <f>IF(coder1_YH!AE188="","",IF(coder1_YH!AE188=coder2_NY_MT!Y189,1,0))</f>
        <v>1</v>
      </c>
      <c r="X189" s="20">
        <f>IF(coder1_YH!AF188="","",IF(coder1_YH!AF188=coder2_NY_MT!Z189,1,0))</f>
        <v>1</v>
      </c>
      <c r="Y189" s="20">
        <f>IF(coder1_YH!AG188="","",IF(coder1_YH!AG188=coder2_NY_MT!AA189,1,0))</f>
        <v>1</v>
      </c>
      <c r="Z189" s="20">
        <f>IF(coder1_YH!AH188="","",IF(coder1_YH!AH188=coder2_NY_MT!AB189,1,0))</f>
        <v>1</v>
      </c>
      <c r="AA189" s="20">
        <f>IF(coder1_YH!AI188="","",IF(coder1_YH!AI188=coder2_NY_MT!AC189,1,0))</f>
        <v>1</v>
      </c>
      <c r="AB189" s="20">
        <f>IF(OR(coder2_NY_MT!AD188="", coder1_YH!AJ188 = ""),0,1)</f>
        <v>1</v>
      </c>
      <c r="AC189" s="20">
        <f>IF(coder1_YH!AK188="","",IF(coder1_YH!AK188=coder2_NY_MT!AE189,1,0))</f>
        <v>1</v>
      </c>
      <c r="AD189" s="20">
        <f>IF(OR(coder2_NY_MT!AF188="", coder1_YH!AL188 = ""),0,1)</f>
        <v>1</v>
      </c>
      <c r="AF189" s="20">
        <f>IF(coder1_YH!AN188="","",IF(coder1_YH!AN188=coder2_NY_MT!AH189,1,0))</f>
        <v>1</v>
      </c>
      <c r="AG189" s="20">
        <f>IF(coder1_YH!AO188="","",IF(coder1_YH!AO188=coder2_NY_MT!AI189,1,0))</f>
        <v>1</v>
      </c>
      <c r="AH189" s="20">
        <f>IF(coder1_YH!AP188="","",IF(coder1_YH!AP188=coder2_NY_MT!AJ189,1,0))</f>
        <v>1</v>
      </c>
      <c r="AI189" s="20">
        <f>IF(coder1_YH!AQ188="","",IF(coder1_YH!AQ188=coder2_NY_MT!AK189,1,0))</f>
        <v>1</v>
      </c>
      <c r="AJ189" s="20">
        <f>IF(coder1_YH!AR188="","",IF(coder1_YH!AR188=coder2_NY_MT!AL189,1,0))</f>
        <v>1</v>
      </c>
      <c r="AK189" s="20">
        <f>IF(coder1_YH!AS188="","",IF(coder1_YH!AS188=coder2_NY_MT!AM189,1,0))</f>
        <v>1</v>
      </c>
      <c r="AL189" s="20" t="str">
        <f>IF(coder1_YH!AZ188="","",IF(coder1_YH!AZ188=coder2_NY_MT!AT189,1,0))</f>
        <v/>
      </c>
      <c r="AM189" s="20" t="str">
        <f>IF(coder1_YH!BA188="","",IF(coder1_YH!BA188=coder2_NY_MT!AU189,1,0))</f>
        <v/>
      </c>
      <c r="AN189" s="2"/>
    </row>
    <row r="190" spans="1:40" s="20" customFormat="1" ht="17" customHeight="1" x14ac:dyDescent="0.2">
      <c r="A190" s="20">
        <f>IF(coder1_YH!G189="","",IF(coder1_YH!G189=coder2_NY_MT!A190,1,0))</f>
        <v>0</v>
      </c>
      <c r="B190" s="20">
        <f>IF(coder1_YH!H189="","",IF(RIGHT(coder1_YH!H189,2)=RIGHT(coder2_NY_MT!B190,2),1,0))</f>
        <v>0</v>
      </c>
      <c r="C190" s="20">
        <f>IF(coder1_YH!I189="","",IF(coder1_YH!I189=coder2_NY_MT!C190,1,0))</f>
        <v>0</v>
      </c>
      <c r="E190" s="20">
        <f>IF(coder1_YH!K189="","",IF(coder1_YH!K189=coder2_NY_MT!E190,1,0))</f>
        <v>0</v>
      </c>
      <c r="F190" s="20">
        <f>IF(coder1_YH!L189="","",IF(coder1_YH!L189=coder2_NY_MT!F190,1,0))</f>
        <v>0</v>
      </c>
      <c r="G190" s="20">
        <f>IF(coder1_YH!M189="","",IF(coder1_YH!M189=coder2_NY_MT!G190,1,0))</f>
        <v>0</v>
      </c>
      <c r="H190" s="20">
        <f>IF(coder1_YH!P189="","",IF(RIGHT(coder1_YH!P189,3)=RIGHT(coder2_NY_MT!J190,3),1,0))</f>
        <v>1</v>
      </c>
      <c r="I190" s="20">
        <f>IF(H190="","",IF(OR(coder2_NY_MT!K190="", coder1_YH!Q189 = ""),0,1))</f>
        <v>1</v>
      </c>
      <c r="J190" s="20">
        <f>IF(coder1_YH!R189="","",IF(coder1_YH!R189=coder2_NY_MT!L190,1,0))</f>
        <v>1</v>
      </c>
      <c r="K190" s="20">
        <f>IF(coder1_YH!S189="","",IF(coder1_YH!S189=coder2_NY_MT!M190,1,0))</f>
        <v>1</v>
      </c>
      <c r="L190" s="20">
        <f>IF(coder1_YH!T189="","",IF(coder1_YH!T189=coder2_NY_MT!N190,1,0))</f>
        <v>1</v>
      </c>
      <c r="M190" s="20">
        <f>IF(coder1_YH!U189="","",IF(coder1_YH!U189=coder2_NY_MT!O190,1,0))</f>
        <v>1</v>
      </c>
      <c r="N190" s="20">
        <f>IF(coder1_YH!V189="","",IF(coder1_YH!V189=coder2_NY_MT!P190,1,0))</f>
        <v>1</v>
      </c>
      <c r="O190" s="20">
        <f>IF(coder1_YH!W189="","",IF(coder1_YH!W189=coder2_NY_MT!Q190,1,0))</f>
        <v>1</v>
      </c>
      <c r="P190" s="20">
        <f>IF(coder1_YH!X189="","",IF(coder1_YH!X189=coder2_NY_MT!R190,1,0))</f>
        <v>1</v>
      </c>
      <c r="Q190" s="20">
        <f>IF(coder1_YH!Y189="","",IF(coder1_YH!Y189=coder2_NY_MT!S190,1,0))</f>
        <v>1</v>
      </c>
      <c r="R190" s="20">
        <f>IF(coder1_YH!Z189="","",IF(coder1_YH!Z189=coder2_NY_MT!T190,1,0))</f>
        <v>1</v>
      </c>
      <c r="S190" s="20">
        <f>IF(R190="","",IF(OR(coder2_NY_MT!U190="", coder1_YH!AA189 = ""),0,1))</f>
        <v>1</v>
      </c>
      <c r="T190" s="20">
        <f>IF(coder1_YH!AB189="","",IF(coder1_YH!AB189=coder2_NY_MT!V190,1,0))</f>
        <v>1</v>
      </c>
      <c r="U190" s="20">
        <f>IF(coder1_YH!AC189="","",IF(coder1_YH!AC189=coder2_NY_MT!W190,1,0))</f>
        <v>1</v>
      </c>
      <c r="V190" s="20">
        <f>IF(coder1_YH!AD189="","",IF(coder1_YH!AD189=coder2_NY_MT!X190,1,0))</f>
        <v>1</v>
      </c>
      <c r="W190" s="20">
        <f>IF(coder1_YH!AE189="","",IF(coder1_YH!AE189=coder2_NY_MT!Y190,1,0))</f>
        <v>1</v>
      </c>
      <c r="X190" s="20">
        <f>IF(coder1_YH!AF189="","",IF(coder1_YH!AF189=coder2_NY_MT!Z190,1,0))</f>
        <v>1</v>
      </c>
      <c r="Y190" s="20">
        <f>IF(coder1_YH!AG189="","",IF(coder1_YH!AG189=coder2_NY_MT!AA190,1,0))</f>
        <v>1</v>
      </c>
      <c r="Z190" s="20">
        <f>IF(coder1_YH!AH189="","",IF(coder1_YH!AH189=coder2_NY_MT!AB190,1,0))</f>
        <v>1</v>
      </c>
      <c r="AA190" s="20">
        <f>IF(coder1_YH!AI189="","",IF(coder1_YH!AI189=coder2_NY_MT!AC190,1,0))</f>
        <v>1</v>
      </c>
      <c r="AB190" s="20">
        <f>IF(OR(coder2_NY_MT!AD189="", coder1_YH!AJ189 = ""),0,1)</f>
        <v>1</v>
      </c>
      <c r="AC190" s="20">
        <f>IF(coder1_YH!AK189="","",IF(coder1_YH!AK189=coder2_NY_MT!AE190,1,0))</f>
        <v>1</v>
      </c>
      <c r="AD190" s="20">
        <f>IF(OR(coder2_NY_MT!AF189="", coder1_YH!AL189 = ""),0,1)</f>
        <v>1</v>
      </c>
      <c r="AF190" s="20">
        <f>IF(coder1_YH!AN189="","",IF(coder1_YH!AN189=coder2_NY_MT!AH190,1,0))</f>
        <v>1</v>
      </c>
      <c r="AG190" s="20">
        <f>IF(coder1_YH!AO189="","",IF(coder1_YH!AO189=coder2_NY_MT!AI190,1,0))</f>
        <v>1</v>
      </c>
      <c r="AH190" s="20">
        <f>IF(coder1_YH!AP189="","",IF(coder1_YH!AP189=coder2_NY_MT!AJ190,1,0))</f>
        <v>1</v>
      </c>
      <c r="AI190" s="20">
        <f>IF(coder1_YH!AQ189="","",IF(coder1_YH!AQ189=coder2_NY_MT!AK190,1,0))</f>
        <v>1</v>
      </c>
      <c r="AJ190" s="20">
        <f>IF(coder1_YH!AR189="","",IF(coder1_YH!AR189=coder2_NY_MT!AL190,1,0))</f>
        <v>1</v>
      </c>
      <c r="AK190" s="20">
        <f>IF(coder1_YH!AS189="","",IF(coder1_YH!AS189=coder2_NY_MT!AM190,1,0))</f>
        <v>1</v>
      </c>
      <c r="AL190" s="20" t="str">
        <f>IF(coder1_YH!AZ189="","",IF(coder1_YH!AZ189=coder2_NY_MT!AT190,1,0))</f>
        <v/>
      </c>
      <c r="AM190" s="20" t="str">
        <f>IF(coder1_YH!BA189="","",IF(coder1_YH!BA189=coder2_NY_MT!AU190,1,0))</f>
        <v/>
      </c>
      <c r="AN190" s="2"/>
    </row>
    <row r="191" spans="1:40" s="20" customFormat="1" ht="17" customHeight="1" x14ac:dyDescent="0.2">
      <c r="A191" s="20">
        <f>IF(coder1_YH!G190="","",IF(coder1_YH!G190=coder2_NY_MT!A191,1,0))</f>
        <v>0</v>
      </c>
      <c r="B191" s="20">
        <f>IF(coder1_YH!H190="","",IF(RIGHT(coder1_YH!H190,2)=RIGHT(coder2_NY_MT!B191,2),1,0))</f>
        <v>0</v>
      </c>
      <c r="C191" s="20">
        <f>IF(coder1_YH!I190="","",IF(coder1_YH!I190=coder2_NY_MT!C191,1,0))</f>
        <v>0</v>
      </c>
      <c r="E191" s="20">
        <f>IF(coder1_YH!K190="","",IF(coder1_YH!K190=coder2_NY_MT!E191,1,0))</f>
        <v>0</v>
      </c>
      <c r="F191" s="20">
        <f>IF(coder1_YH!L190="","",IF(coder1_YH!L190=coder2_NY_MT!F191,1,0))</f>
        <v>0</v>
      </c>
      <c r="G191" s="20">
        <f>IF(coder1_YH!M190="","",IF(coder1_YH!M190=coder2_NY_MT!G191,1,0))</f>
        <v>0</v>
      </c>
      <c r="H191" s="20">
        <f>IF(coder1_YH!P190="","",IF(RIGHT(coder1_YH!P190,3)=RIGHT(coder2_NY_MT!J191,3),1,0))</f>
        <v>1</v>
      </c>
      <c r="I191" s="20">
        <f>IF(H191="","",IF(OR(coder2_NY_MT!K191="", coder1_YH!Q190 = ""),0,1))</f>
        <v>1</v>
      </c>
      <c r="J191" s="20">
        <f>IF(coder1_YH!R190="","",IF(coder1_YH!R190=coder2_NY_MT!L191,1,0))</f>
        <v>1</v>
      </c>
      <c r="K191" s="20">
        <f>IF(coder1_YH!S190="","",IF(coder1_YH!S190=coder2_NY_MT!M191,1,0))</f>
        <v>1</v>
      </c>
      <c r="L191" s="20">
        <f>IF(coder1_YH!T190="","",IF(coder1_YH!T190=coder2_NY_MT!N191,1,0))</f>
        <v>1</v>
      </c>
      <c r="M191" s="20">
        <f>IF(coder1_YH!U190="","",IF(coder1_YH!U190=coder2_NY_MT!O191,1,0))</f>
        <v>1</v>
      </c>
      <c r="N191" s="20">
        <f>IF(coder1_YH!V190="","",IF(coder1_YH!V190=coder2_NY_MT!P191,1,0))</f>
        <v>1</v>
      </c>
      <c r="O191" s="20">
        <f>IF(coder1_YH!W190="","",IF(coder1_YH!W190=coder2_NY_MT!Q191,1,0))</f>
        <v>1</v>
      </c>
      <c r="P191" s="20">
        <f>IF(coder1_YH!X190="","",IF(coder1_YH!X190=coder2_NY_MT!R191,1,0))</f>
        <v>1</v>
      </c>
      <c r="Q191" s="20">
        <f>IF(coder1_YH!Y190="","",IF(coder1_YH!Y190=coder2_NY_MT!S191,1,0))</f>
        <v>1</v>
      </c>
      <c r="R191" s="20">
        <f>IF(coder1_YH!Z190="","",IF(coder1_YH!Z190=coder2_NY_MT!T191,1,0))</f>
        <v>1</v>
      </c>
      <c r="S191" s="20">
        <f>IF(R191="","",IF(OR(coder2_NY_MT!U191="", coder1_YH!AA190 = ""),0,1))</f>
        <v>1</v>
      </c>
      <c r="T191" s="20">
        <f>IF(coder1_YH!AB190="","",IF(coder1_YH!AB190=coder2_NY_MT!V191,1,0))</f>
        <v>1</v>
      </c>
      <c r="U191" s="20">
        <f>IF(coder1_YH!AC190="","",IF(coder1_YH!AC190=coder2_NY_MT!W191,1,0))</f>
        <v>1</v>
      </c>
      <c r="V191" s="20">
        <f>IF(coder1_YH!AD190="","",IF(coder1_YH!AD190=coder2_NY_MT!X191,1,0))</f>
        <v>1</v>
      </c>
      <c r="W191" s="20">
        <f>IF(coder1_YH!AE190="","",IF(coder1_YH!AE190=coder2_NY_MT!Y191,1,0))</f>
        <v>1</v>
      </c>
      <c r="X191" s="20">
        <f>IF(coder1_YH!AF190="","",IF(coder1_YH!AF190=coder2_NY_MT!Z191,1,0))</f>
        <v>1</v>
      </c>
      <c r="Y191" s="20">
        <f>IF(coder1_YH!AG190="","",IF(coder1_YH!AG190=coder2_NY_MT!AA191,1,0))</f>
        <v>1</v>
      </c>
      <c r="Z191" s="20">
        <f>IF(coder1_YH!AH190="","",IF(coder1_YH!AH190=coder2_NY_MT!AB191,1,0))</f>
        <v>1</v>
      </c>
      <c r="AA191" s="20">
        <f>IF(coder1_YH!AI190="","",IF(coder1_YH!AI190=coder2_NY_MT!AC191,1,0))</f>
        <v>1</v>
      </c>
      <c r="AB191" s="20">
        <f>IF(OR(coder2_NY_MT!AD190="", coder1_YH!AJ190 = ""),0,1)</f>
        <v>1</v>
      </c>
      <c r="AC191" s="20">
        <f>IF(coder1_YH!AK190="","",IF(coder1_YH!AK190=coder2_NY_MT!AE191,1,0))</f>
        <v>1</v>
      </c>
      <c r="AD191" s="20">
        <f>IF(OR(coder2_NY_MT!AF190="", coder1_YH!AL190 = ""),0,1)</f>
        <v>1</v>
      </c>
      <c r="AF191" s="20">
        <f>IF(coder1_YH!AN190="","",IF(coder1_YH!AN190=coder2_NY_MT!AH191,1,0))</f>
        <v>1</v>
      </c>
      <c r="AG191" s="20">
        <f>IF(coder1_YH!AO190="","",IF(coder1_YH!AO190=coder2_NY_MT!AI191,1,0))</f>
        <v>1</v>
      </c>
      <c r="AH191" s="20">
        <f>IF(coder1_YH!AP190="","",IF(coder1_YH!AP190=coder2_NY_MT!AJ191,1,0))</f>
        <v>1</v>
      </c>
      <c r="AI191" s="20">
        <f>IF(coder1_YH!AQ190="","",IF(coder1_YH!AQ190=coder2_NY_MT!AK191,1,0))</f>
        <v>1</v>
      </c>
      <c r="AJ191" s="20">
        <f>IF(coder1_YH!AR190="","",IF(coder1_YH!AR190=coder2_NY_MT!AL191,1,0))</f>
        <v>1</v>
      </c>
      <c r="AK191" s="20">
        <f>IF(coder1_YH!AS190="","",IF(coder1_YH!AS190=coder2_NY_MT!AM191,1,0))</f>
        <v>1</v>
      </c>
      <c r="AL191" s="20" t="str">
        <f>IF(coder1_YH!AZ190="","",IF(coder1_YH!AZ190=coder2_NY_MT!AT191,1,0))</f>
        <v/>
      </c>
      <c r="AM191" s="20" t="str">
        <f>IF(coder1_YH!BA190="","",IF(coder1_YH!BA190=coder2_NY_MT!AU191,1,0))</f>
        <v/>
      </c>
      <c r="AN191" s="2"/>
    </row>
    <row r="192" spans="1:40" s="20" customFormat="1" ht="17" customHeight="1" x14ac:dyDescent="0.2">
      <c r="A192" s="20">
        <f>IF(coder1_YH!G191="","",IF(coder1_YH!G191=coder2_NY_MT!A192,1,0))</f>
        <v>0</v>
      </c>
      <c r="B192" s="20">
        <f>IF(coder1_YH!H191="","",IF(RIGHT(coder1_YH!H191,2)=RIGHT(coder2_NY_MT!B192,2),1,0))</f>
        <v>0</v>
      </c>
      <c r="C192" s="20">
        <f>IF(coder1_YH!I191="","",IF(coder1_YH!I191=coder2_NY_MT!C192,1,0))</f>
        <v>0</v>
      </c>
      <c r="E192" s="20">
        <f>IF(coder1_YH!K191="","",IF(coder1_YH!K191=coder2_NY_MT!E192,1,0))</f>
        <v>0</v>
      </c>
      <c r="F192" s="20">
        <f>IF(coder1_YH!L191="","",IF(coder1_YH!L191=coder2_NY_MT!F192,1,0))</f>
        <v>0</v>
      </c>
      <c r="G192" s="20">
        <f>IF(coder1_YH!M191="","",IF(coder1_YH!M191=coder2_NY_MT!G192,1,0))</f>
        <v>0</v>
      </c>
      <c r="H192" s="20">
        <f>IF(coder1_YH!P191="","",IF(RIGHT(coder1_YH!P191,3)=RIGHT(coder2_NY_MT!J192,3),1,0))</f>
        <v>0</v>
      </c>
      <c r="I192" s="20">
        <f>IF(H192="","",IF(OR(coder2_NY_MT!K192="", coder1_YH!Q191 = ""),0,1))</f>
        <v>1</v>
      </c>
      <c r="J192" s="20">
        <f>IF(coder1_YH!R191="","",IF(coder1_YH!R191=coder2_NY_MT!L192,1,0))</f>
        <v>1</v>
      </c>
      <c r="K192" s="20">
        <f>IF(coder1_YH!S191="","",IF(coder1_YH!S191=coder2_NY_MT!M192,1,0))</f>
        <v>1</v>
      </c>
      <c r="L192" s="20">
        <f>IF(coder1_YH!T191="","",IF(coder1_YH!T191=coder2_NY_MT!N192,1,0))</f>
        <v>1</v>
      </c>
      <c r="M192" s="20">
        <f>IF(coder1_YH!U191="","",IF(coder1_YH!U191=coder2_NY_MT!O192,1,0))</f>
        <v>1</v>
      </c>
      <c r="N192" s="20">
        <f>IF(coder1_YH!V191="","",IF(coder1_YH!V191=coder2_NY_MT!P192,1,0))</f>
        <v>1</v>
      </c>
      <c r="O192" s="20">
        <f>IF(coder1_YH!W191="","",IF(coder1_YH!W191=coder2_NY_MT!Q192,1,0))</f>
        <v>1</v>
      </c>
      <c r="P192" s="20">
        <f>IF(coder1_YH!X191="","",IF(coder1_YH!X191=coder2_NY_MT!R192,1,0))</f>
        <v>1</v>
      </c>
      <c r="Q192" s="20">
        <f>IF(coder1_YH!Y191="","",IF(coder1_YH!Y191=coder2_NY_MT!S192,1,0))</f>
        <v>1</v>
      </c>
      <c r="R192" s="20">
        <f>IF(coder1_YH!Z191="","",IF(coder1_YH!Z191=coder2_NY_MT!T192,1,0))</f>
        <v>1</v>
      </c>
      <c r="S192" s="20">
        <f>IF(R192="","",IF(OR(coder2_NY_MT!U192="", coder1_YH!AA191 = ""),0,1))</f>
        <v>1</v>
      </c>
      <c r="T192" s="20">
        <f>IF(coder1_YH!AB191="","",IF(coder1_YH!AB191=coder2_NY_MT!V192,1,0))</f>
        <v>1</v>
      </c>
      <c r="U192" s="20">
        <f>IF(coder1_YH!AC191="","",IF(coder1_YH!AC191=coder2_NY_MT!W192,1,0))</f>
        <v>1</v>
      </c>
      <c r="V192" s="20">
        <f>IF(coder1_YH!AD191="","",IF(coder1_YH!AD191=coder2_NY_MT!X192,1,0))</f>
        <v>1</v>
      </c>
      <c r="W192" s="20">
        <f>IF(coder1_YH!AE191="","",IF(coder1_YH!AE191=coder2_NY_MT!Y192,1,0))</f>
        <v>1</v>
      </c>
      <c r="X192" s="20">
        <f>IF(coder1_YH!AF191="","",IF(coder1_YH!AF191=coder2_NY_MT!Z192,1,0))</f>
        <v>1</v>
      </c>
      <c r="Y192" s="20">
        <f>IF(coder1_YH!AG191="","",IF(coder1_YH!AG191=coder2_NY_MT!AA192,1,0))</f>
        <v>1</v>
      </c>
      <c r="Z192" s="20">
        <f>IF(coder1_YH!AH191="","",IF(coder1_YH!AH191=coder2_NY_MT!AB192,1,0))</f>
        <v>1</v>
      </c>
      <c r="AA192" s="20">
        <f>IF(coder1_YH!AI191="","",IF(coder1_YH!AI191=coder2_NY_MT!AC192,1,0))</f>
        <v>1</v>
      </c>
      <c r="AB192" s="20">
        <f>IF(OR(coder2_NY_MT!AD191="", coder1_YH!AJ191 = ""),0,1)</f>
        <v>1</v>
      </c>
      <c r="AC192" s="20">
        <f>IF(coder1_YH!AK191="","",IF(coder1_YH!AK191=coder2_NY_MT!AE192,1,0))</f>
        <v>1</v>
      </c>
      <c r="AD192" s="20">
        <f>IF(OR(coder2_NY_MT!AF191="", coder1_YH!AL191 = ""),0,1)</f>
        <v>1</v>
      </c>
      <c r="AF192" s="20">
        <f>IF(coder1_YH!AN191="","",IF(coder1_YH!AN191=coder2_NY_MT!AH192,1,0))</f>
        <v>1</v>
      </c>
      <c r="AG192" s="20">
        <f>IF(coder1_YH!AO191="","",IF(coder1_YH!AO191=coder2_NY_MT!AI192,1,0))</f>
        <v>1</v>
      </c>
      <c r="AH192" s="20">
        <f>IF(coder1_YH!AP191="","",IF(coder1_YH!AP191=coder2_NY_MT!AJ192,1,0))</f>
        <v>1</v>
      </c>
      <c r="AI192" s="20">
        <f>IF(coder1_YH!AQ191="","",IF(coder1_YH!AQ191=coder2_NY_MT!AK192,1,0))</f>
        <v>1</v>
      </c>
      <c r="AJ192" s="20">
        <f>IF(coder1_YH!AR191="","",IF(coder1_YH!AR191=coder2_NY_MT!AL192,1,0))</f>
        <v>1</v>
      </c>
      <c r="AK192" s="20">
        <f>IF(coder1_YH!AS191="","",IF(coder1_YH!AS191=coder2_NY_MT!AM192,1,0))</f>
        <v>1</v>
      </c>
      <c r="AL192" s="20" t="str">
        <f>IF(coder1_YH!AZ191="","",IF(coder1_YH!AZ191=coder2_NY_MT!AT192,1,0))</f>
        <v/>
      </c>
      <c r="AM192" s="20" t="str">
        <f>IF(coder1_YH!BA191="","",IF(coder1_YH!BA191=coder2_NY_MT!AU192,1,0))</f>
        <v/>
      </c>
      <c r="AN192" s="2"/>
    </row>
    <row r="193" spans="1:40" s="20" customFormat="1" ht="17" customHeight="1" x14ac:dyDescent="0.2">
      <c r="A193" s="20">
        <f>IF(coder1_YH!G192="","",IF(coder1_YH!G192=coder2_NY_MT!A193,1,0))</f>
        <v>0</v>
      </c>
      <c r="B193" s="20">
        <f>IF(coder1_YH!H192="","",IF(RIGHT(coder1_YH!H192,2)=RIGHT(coder2_NY_MT!B193,2),1,0))</f>
        <v>1</v>
      </c>
      <c r="C193" s="20">
        <f>IF(coder1_YH!I192="","",IF(coder1_YH!I192=coder2_NY_MT!C193,1,0))</f>
        <v>1</v>
      </c>
      <c r="E193" s="20">
        <f>IF(coder1_YH!K192="","",IF(coder1_YH!K192=coder2_NY_MT!E193,1,0))</f>
        <v>1</v>
      </c>
      <c r="F193" s="20">
        <f>IF(coder1_YH!L192="","",IF(coder1_YH!L192=coder2_NY_MT!F193,1,0))</f>
        <v>1</v>
      </c>
      <c r="G193" s="20">
        <f>IF(coder1_YH!M192="","",IF(coder1_YH!M192=coder2_NY_MT!G193,1,0))</f>
        <v>1</v>
      </c>
      <c r="H193" s="20">
        <f>IF(coder1_YH!P192="","",IF(RIGHT(coder1_YH!P192,3)=RIGHT(coder2_NY_MT!J193,3),1,0))</f>
        <v>1</v>
      </c>
      <c r="I193" s="20">
        <f>IF(H193="","",IF(OR(coder2_NY_MT!K193="", coder1_YH!Q192 = ""),0,1))</f>
        <v>1</v>
      </c>
      <c r="J193" s="20">
        <f>IF(coder1_YH!R192="","",IF(coder1_YH!R192=coder2_NY_MT!L193,1,0))</f>
        <v>1</v>
      </c>
      <c r="K193" s="20">
        <f>IF(coder1_YH!S192="","",IF(coder1_YH!S192=coder2_NY_MT!M193,1,0))</f>
        <v>1</v>
      </c>
      <c r="L193" s="20">
        <f>IF(coder1_YH!T192="","",IF(coder1_YH!T192=coder2_NY_MT!N193,1,0))</f>
        <v>1</v>
      </c>
      <c r="M193" s="20">
        <f>IF(coder1_YH!U192="","",IF(coder1_YH!U192=coder2_NY_MT!O193,1,0))</f>
        <v>1</v>
      </c>
      <c r="N193" s="20">
        <f>IF(coder1_YH!V192="","",IF(coder1_YH!V192=coder2_NY_MT!P193,1,0))</f>
        <v>1</v>
      </c>
      <c r="O193" s="20">
        <f>IF(coder1_YH!W192="","",IF(coder1_YH!W192=coder2_NY_MT!Q193,1,0))</f>
        <v>1</v>
      </c>
      <c r="P193" s="20">
        <f>IF(coder1_YH!X192="","",IF(coder1_YH!X192=coder2_NY_MT!R193,1,0))</f>
        <v>1</v>
      </c>
      <c r="Q193" s="20">
        <f>IF(coder1_YH!Y192="","",IF(coder1_YH!Y192=coder2_NY_MT!S193,1,0))</f>
        <v>1</v>
      </c>
      <c r="R193" s="20">
        <f>IF(coder1_YH!Z192="","",IF(coder1_YH!Z192=coder2_NY_MT!T193,1,0))</f>
        <v>1</v>
      </c>
      <c r="S193" s="20">
        <f>IF(R193="","",IF(OR(coder2_NY_MT!U193="", coder1_YH!AA192 = ""),0,1))</f>
        <v>1</v>
      </c>
      <c r="T193" s="20">
        <f>IF(coder1_YH!AB192="","",IF(coder1_YH!AB192=coder2_NY_MT!V193,1,0))</f>
        <v>1</v>
      </c>
      <c r="U193" s="20">
        <f>IF(coder1_YH!AC192="","",IF(coder1_YH!AC192=coder2_NY_MT!W193,1,0))</f>
        <v>1</v>
      </c>
      <c r="V193" s="20">
        <f>IF(coder1_YH!AD192="","",IF(coder1_YH!AD192=coder2_NY_MT!X193,1,0))</f>
        <v>1</v>
      </c>
      <c r="W193" s="20">
        <f>IF(coder1_YH!AE192="","",IF(coder1_YH!AE192=coder2_NY_MT!Y193,1,0))</f>
        <v>1</v>
      </c>
      <c r="X193" s="20">
        <f>IF(coder1_YH!AF192="","",IF(coder1_YH!AF192=coder2_NY_MT!Z193,1,0))</f>
        <v>1</v>
      </c>
      <c r="Y193" s="20">
        <f>IF(coder1_YH!AG192="","",IF(coder1_YH!AG192=coder2_NY_MT!AA193,1,0))</f>
        <v>1</v>
      </c>
      <c r="Z193" s="20">
        <f>IF(coder1_YH!AH192="","",IF(coder1_YH!AH192=coder2_NY_MT!AB193,1,0))</f>
        <v>1</v>
      </c>
      <c r="AA193" s="20">
        <f>IF(coder1_YH!AI192="","",IF(coder1_YH!AI192=coder2_NY_MT!AC193,1,0))</f>
        <v>1</v>
      </c>
      <c r="AB193" s="20">
        <f>IF(OR(coder2_NY_MT!AD192="", coder1_YH!AJ192 = ""),0,1)</f>
        <v>1</v>
      </c>
      <c r="AC193" s="20">
        <f>IF(coder1_YH!AK192="","",IF(coder1_YH!AK192=coder2_NY_MT!AE193,1,0))</f>
        <v>1</v>
      </c>
      <c r="AD193" s="20">
        <f>IF(OR(coder2_NY_MT!AF192="", coder1_YH!AL192 = ""),0,1)</f>
        <v>1</v>
      </c>
      <c r="AF193" s="20">
        <f>IF(coder1_YH!AN192="","",IF(coder1_YH!AN192=coder2_NY_MT!AH193,1,0))</f>
        <v>1</v>
      </c>
      <c r="AG193" s="20">
        <f>IF(coder1_YH!AO192="","",IF(coder1_YH!AO192=coder2_NY_MT!AI193,1,0))</f>
        <v>1</v>
      </c>
      <c r="AH193" s="20">
        <f>IF(coder1_YH!AP192="","",IF(coder1_YH!AP192=coder2_NY_MT!AJ193,1,0))</f>
        <v>1</v>
      </c>
      <c r="AI193" s="20">
        <f>IF(coder1_YH!AQ192="","",IF(coder1_YH!AQ192=coder2_NY_MT!AK193,1,0))</f>
        <v>1</v>
      </c>
      <c r="AJ193" s="20">
        <f>IF(coder1_YH!AR192="","",IF(coder1_YH!AR192=coder2_NY_MT!AL193,1,0))</f>
        <v>1</v>
      </c>
      <c r="AK193" s="20">
        <f>IF(coder1_YH!AS192="","",IF(coder1_YH!AS192=coder2_NY_MT!AM193,1,0))</f>
        <v>1</v>
      </c>
      <c r="AL193" s="20" t="str">
        <f>IF(coder1_YH!AZ192="","",IF(coder1_YH!AZ192=coder2_NY_MT!AT193,1,0))</f>
        <v/>
      </c>
      <c r="AM193" s="20" t="str">
        <f>IF(coder1_YH!BA192="","",IF(coder1_YH!BA192=coder2_NY_MT!AU193,1,0))</f>
        <v/>
      </c>
      <c r="AN193" s="2"/>
    </row>
    <row r="194" spans="1:40" s="20" customFormat="1" ht="17" customHeight="1" x14ac:dyDescent="0.2">
      <c r="A194" s="20">
        <f>IF(coder1_YH!G193="","",IF(coder1_YH!G193=coder2_NY_MT!A194,1,0))</f>
        <v>0</v>
      </c>
      <c r="B194" s="20">
        <f>IF(coder1_YH!H193="","",IF(RIGHT(coder1_YH!H193,2)=RIGHT(coder2_NY_MT!B194,2),1,0))</f>
        <v>0</v>
      </c>
      <c r="C194" s="20">
        <f>IF(coder1_YH!I193="","",IF(coder1_YH!I193=coder2_NY_MT!C194,1,0))</f>
        <v>0</v>
      </c>
      <c r="E194" s="20">
        <f>IF(coder1_YH!K193="","",IF(coder1_YH!K193=coder2_NY_MT!E194,1,0))</f>
        <v>0</v>
      </c>
      <c r="F194" s="20">
        <f>IF(coder1_YH!L193="","",IF(coder1_YH!L193=coder2_NY_MT!F194,1,0))</f>
        <v>0</v>
      </c>
      <c r="G194" s="20">
        <f>IF(coder1_YH!M193="","",IF(coder1_YH!M193=coder2_NY_MT!G194,1,0))</f>
        <v>0</v>
      </c>
      <c r="H194" s="20">
        <f>IF(coder1_YH!P193="","",IF(RIGHT(coder1_YH!P193,3)=RIGHT(coder2_NY_MT!J194,3),1,0))</f>
        <v>0</v>
      </c>
      <c r="I194" s="20">
        <f>IF(H194="","",IF(OR(coder2_NY_MT!K194="", coder1_YH!Q193 = ""),0,1))</f>
        <v>1</v>
      </c>
      <c r="J194" s="20">
        <f>IF(coder1_YH!R193="","",IF(coder1_YH!R193=coder2_NY_MT!L194,1,0))</f>
        <v>1</v>
      </c>
      <c r="K194" s="20">
        <f>IF(coder1_YH!S193="","",IF(coder1_YH!S193=coder2_NY_MT!M194,1,0))</f>
        <v>1</v>
      </c>
      <c r="L194" s="20">
        <f>IF(coder1_YH!T193="","",IF(coder1_YH!T193=coder2_NY_MT!N194,1,0))</f>
        <v>1</v>
      </c>
      <c r="M194" s="20">
        <f>IF(coder1_YH!U193="","",IF(coder1_YH!U193=coder2_NY_MT!O194,1,0))</f>
        <v>1</v>
      </c>
      <c r="N194" s="20">
        <f>IF(coder1_YH!V193="","",IF(coder1_YH!V193=coder2_NY_MT!P194,1,0))</f>
        <v>1</v>
      </c>
      <c r="O194" s="20">
        <f>IF(coder1_YH!W193="","",IF(coder1_YH!W193=coder2_NY_MT!Q194,1,0))</f>
        <v>1</v>
      </c>
      <c r="P194" s="20">
        <f>IF(coder1_YH!X193="","",IF(coder1_YH!X193=coder2_NY_MT!R194,1,0))</f>
        <v>1</v>
      </c>
      <c r="Q194" s="20">
        <f>IF(coder1_YH!Y193="","",IF(coder1_YH!Y193=coder2_NY_MT!S194,1,0))</f>
        <v>1</v>
      </c>
      <c r="R194" s="20">
        <f>IF(coder1_YH!Z193="","",IF(coder1_YH!Z193=coder2_NY_MT!T194,1,0))</f>
        <v>1</v>
      </c>
      <c r="S194" s="20">
        <f>IF(R194="","",IF(OR(coder2_NY_MT!U194="", coder1_YH!AA193 = ""),0,1))</f>
        <v>1</v>
      </c>
      <c r="T194" s="20">
        <f>IF(coder1_YH!AB193="","",IF(coder1_YH!AB193=coder2_NY_MT!V194,1,0))</f>
        <v>1</v>
      </c>
      <c r="U194" s="20">
        <f>IF(coder1_YH!AC193="","",IF(coder1_YH!AC193=coder2_NY_MT!W194,1,0))</f>
        <v>1</v>
      </c>
      <c r="V194" s="20">
        <f>IF(coder1_YH!AD193="","",IF(coder1_YH!AD193=coder2_NY_MT!X194,1,0))</f>
        <v>1</v>
      </c>
      <c r="W194" s="20">
        <f>IF(coder1_YH!AE193="","",IF(coder1_YH!AE193=coder2_NY_MT!Y194,1,0))</f>
        <v>1</v>
      </c>
      <c r="X194" s="20">
        <f>IF(coder1_YH!AF193="","",IF(coder1_YH!AF193=coder2_NY_MT!Z194,1,0))</f>
        <v>1</v>
      </c>
      <c r="Y194" s="20">
        <f>IF(coder1_YH!AG193="","",IF(coder1_YH!AG193=coder2_NY_MT!AA194,1,0))</f>
        <v>1</v>
      </c>
      <c r="Z194" s="20">
        <f>IF(coder1_YH!AH193="","",IF(coder1_YH!AH193=coder2_NY_MT!AB194,1,0))</f>
        <v>1</v>
      </c>
      <c r="AA194" s="20">
        <f>IF(coder1_YH!AI193="","",IF(coder1_YH!AI193=coder2_NY_MT!AC194,1,0))</f>
        <v>1</v>
      </c>
      <c r="AB194" s="20">
        <f>IF(OR(coder2_NY_MT!AD193="", coder1_YH!AJ193 = ""),0,1)</f>
        <v>1</v>
      </c>
      <c r="AC194" s="20">
        <f>IF(coder1_YH!AK193="","",IF(coder1_YH!AK193=coder2_NY_MT!AE194,1,0))</f>
        <v>1</v>
      </c>
      <c r="AD194" s="20">
        <f>IF(OR(coder2_NY_MT!AF193="", coder1_YH!AL193 = ""),0,1)</f>
        <v>1</v>
      </c>
      <c r="AF194" s="20">
        <f>IF(coder1_YH!AN193="","",IF(coder1_YH!AN193=coder2_NY_MT!AH194,1,0))</f>
        <v>1</v>
      </c>
      <c r="AG194" s="20">
        <f>IF(coder1_YH!AO193="","",IF(coder1_YH!AO193=coder2_NY_MT!AI194,1,0))</f>
        <v>1</v>
      </c>
      <c r="AH194" s="20">
        <f>IF(coder1_YH!AP193="","",IF(coder1_YH!AP193=coder2_NY_MT!AJ194,1,0))</f>
        <v>1</v>
      </c>
      <c r="AI194" s="20">
        <f>IF(coder1_YH!AQ193="","",IF(coder1_YH!AQ193=coder2_NY_MT!AK194,1,0))</f>
        <v>1</v>
      </c>
      <c r="AJ194" s="20">
        <f>IF(coder1_YH!AR193="","",IF(coder1_YH!AR193=coder2_NY_MT!AL194,1,0))</f>
        <v>1</v>
      </c>
      <c r="AK194" s="20">
        <f>IF(coder1_YH!AS193="","",IF(coder1_YH!AS193=coder2_NY_MT!AM194,1,0))</f>
        <v>1</v>
      </c>
      <c r="AL194" s="20" t="str">
        <f>IF(coder1_YH!AZ193="","",IF(coder1_YH!AZ193=coder2_NY_MT!AT194,1,0))</f>
        <v/>
      </c>
      <c r="AM194" s="20" t="str">
        <f>IF(coder1_YH!BA193="","",IF(coder1_YH!BA193=coder2_NY_MT!AU194,1,0))</f>
        <v/>
      </c>
      <c r="AN194" s="2"/>
    </row>
    <row r="195" spans="1:40" s="20" customFormat="1" ht="17" customHeight="1" x14ac:dyDescent="0.2">
      <c r="A195" s="20">
        <f>IF(coder1_YH!G194="","",IF(coder1_YH!G194=coder2_NY_MT!A195,1,0))</f>
        <v>0</v>
      </c>
      <c r="B195" s="20">
        <f>IF(coder1_YH!H194="","",IF(RIGHT(coder1_YH!H194,2)=RIGHT(coder2_NY_MT!B195,2),1,0))</f>
        <v>0</v>
      </c>
      <c r="C195" s="20">
        <f>IF(coder1_YH!I194="","",IF(coder1_YH!I194=coder2_NY_MT!C195,1,0))</f>
        <v>0</v>
      </c>
      <c r="E195" s="20">
        <f>IF(coder1_YH!K194="","",IF(coder1_YH!K194=coder2_NY_MT!E195,1,0))</f>
        <v>0</v>
      </c>
      <c r="F195" s="20">
        <f>IF(coder1_YH!L194="","",IF(coder1_YH!L194=coder2_NY_MT!F195,1,0))</f>
        <v>0</v>
      </c>
      <c r="G195" s="20">
        <f>IF(coder1_YH!M194="","",IF(coder1_YH!M194=coder2_NY_MT!G195,1,0))</f>
        <v>0</v>
      </c>
      <c r="H195" s="20">
        <f>IF(coder1_YH!P194="","",IF(RIGHT(coder1_YH!P194,3)=RIGHT(coder2_NY_MT!J195,3),1,0))</f>
        <v>0</v>
      </c>
      <c r="I195" s="20">
        <f>IF(H195="","",IF(OR(coder2_NY_MT!K195="", coder1_YH!Q194 = ""),0,1))</f>
        <v>1</v>
      </c>
      <c r="J195" s="20">
        <f>IF(coder1_YH!R194="","",IF(coder1_YH!R194=coder2_NY_MT!L195,1,0))</f>
        <v>1</v>
      </c>
      <c r="K195" s="20">
        <f>IF(coder1_YH!S194="","",IF(coder1_YH!S194=coder2_NY_MT!M195,1,0))</f>
        <v>1</v>
      </c>
      <c r="L195" s="20">
        <f>IF(coder1_YH!T194="","",IF(coder1_YH!T194=coder2_NY_MT!N195,1,0))</f>
        <v>1</v>
      </c>
      <c r="M195" s="20">
        <f>IF(coder1_YH!U194="","",IF(coder1_YH!U194=coder2_NY_MT!O195,1,0))</f>
        <v>1</v>
      </c>
      <c r="N195" s="20">
        <f>IF(coder1_YH!V194="","",IF(coder1_YH!V194=coder2_NY_MT!P195,1,0))</f>
        <v>1</v>
      </c>
      <c r="O195" s="20">
        <f>IF(coder1_YH!W194="","",IF(coder1_YH!W194=coder2_NY_MT!Q195,1,0))</f>
        <v>1</v>
      </c>
      <c r="P195" s="20">
        <f>IF(coder1_YH!X194="","",IF(coder1_YH!X194=coder2_NY_MT!R195,1,0))</f>
        <v>1</v>
      </c>
      <c r="Q195" s="20">
        <f>IF(coder1_YH!Y194="","",IF(coder1_YH!Y194=coder2_NY_MT!S195,1,0))</f>
        <v>1</v>
      </c>
      <c r="R195" s="20">
        <f>IF(coder1_YH!Z194="","",IF(coder1_YH!Z194=coder2_NY_MT!T195,1,0))</f>
        <v>1</v>
      </c>
      <c r="S195" s="20">
        <f>IF(R195="","",IF(OR(coder2_NY_MT!U195="", coder1_YH!AA194 = ""),0,1))</f>
        <v>1</v>
      </c>
      <c r="T195" s="20">
        <f>IF(coder1_YH!AB194="","",IF(coder1_YH!AB194=coder2_NY_MT!V195,1,0))</f>
        <v>1</v>
      </c>
      <c r="U195" s="20">
        <f>IF(coder1_YH!AC194="","",IF(coder1_YH!AC194=coder2_NY_MT!W195,1,0))</f>
        <v>1</v>
      </c>
      <c r="V195" s="20">
        <f>IF(coder1_YH!AD194="","",IF(coder1_YH!AD194=coder2_NY_MT!X195,1,0))</f>
        <v>1</v>
      </c>
      <c r="W195" s="20">
        <f>IF(coder1_YH!AE194="","",IF(coder1_YH!AE194=coder2_NY_MT!Y195,1,0))</f>
        <v>1</v>
      </c>
      <c r="X195" s="20">
        <f>IF(coder1_YH!AF194="","",IF(coder1_YH!AF194=coder2_NY_MT!Z195,1,0))</f>
        <v>1</v>
      </c>
      <c r="Y195" s="20">
        <f>IF(coder1_YH!AG194="","",IF(coder1_YH!AG194=coder2_NY_MT!AA195,1,0))</f>
        <v>1</v>
      </c>
      <c r="Z195" s="20">
        <f>IF(coder1_YH!AH194="","",IF(coder1_YH!AH194=coder2_NY_MT!AB195,1,0))</f>
        <v>1</v>
      </c>
      <c r="AA195" s="20">
        <f>IF(coder1_YH!AI194="","",IF(coder1_YH!AI194=coder2_NY_MT!AC195,1,0))</f>
        <v>1</v>
      </c>
      <c r="AB195" s="20">
        <f>IF(OR(coder2_NY_MT!AD194="", coder1_YH!AJ194 = ""),0,1)</f>
        <v>1</v>
      </c>
      <c r="AC195" s="20">
        <f>IF(coder1_YH!AK194="","",IF(coder1_YH!AK194=coder2_NY_MT!AE195,1,0))</f>
        <v>1</v>
      </c>
      <c r="AD195" s="20">
        <f>IF(OR(coder2_NY_MT!AF194="", coder1_YH!AL194 = ""),0,1)</f>
        <v>1</v>
      </c>
      <c r="AF195" s="20">
        <f>IF(coder1_YH!AN194="","",IF(coder1_YH!AN194=coder2_NY_MT!AH195,1,0))</f>
        <v>1</v>
      </c>
      <c r="AG195" s="20">
        <f>IF(coder1_YH!AO194="","",IF(coder1_YH!AO194=coder2_NY_MT!AI195,1,0))</f>
        <v>1</v>
      </c>
      <c r="AH195" s="20">
        <f>IF(coder1_YH!AP194="","",IF(coder1_YH!AP194=coder2_NY_MT!AJ195,1,0))</f>
        <v>1</v>
      </c>
      <c r="AI195" s="20">
        <f>IF(coder1_YH!AQ194="","",IF(coder1_YH!AQ194=coder2_NY_MT!AK195,1,0))</f>
        <v>1</v>
      </c>
      <c r="AJ195" s="20">
        <f>IF(coder1_YH!AR194="","",IF(coder1_YH!AR194=coder2_NY_MT!AL195,1,0))</f>
        <v>1</v>
      </c>
      <c r="AK195" s="20">
        <f>IF(coder1_YH!AS194="","",IF(coder1_YH!AS194=coder2_NY_MT!AM195,1,0))</f>
        <v>1</v>
      </c>
      <c r="AL195" s="20" t="str">
        <f>IF(coder1_YH!AZ194="","",IF(coder1_YH!AZ194=coder2_NY_MT!AT195,1,0))</f>
        <v/>
      </c>
      <c r="AM195" s="20" t="str">
        <f>IF(coder1_YH!BA194="","",IF(coder1_YH!BA194=coder2_NY_MT!AU195,1,0))</f>
        <v/>
      </c>
      <c r="AN195" s="2"/>
    </row>
    <row r="196" spans="1:40" s="20" customFormat="1" ht="17" customHeight="1" x14ac:dyDescent="0.2">
      <c r="A196" s="20">
        <f>IF(coder1_YH!G195="","",IF(coder1_YH!G195=coder2_NY_MT!A196,1,0))</f>
        <v>1</v>
      </c>
      <c r="B196" s="20">
        <f>IF(coder1_YH!H195="","",IF(RIGHT(coder1_YH!H195,2)=RIGHT(coder2_NY_MT!B196,2),1,0))</f>
        <v>1</v>
      </c>
      <c r="C196" s="20">
        <f>IF(coder1_YH!I195="","",IF(coder1_YH!I195=coder2_NY_MT!C196,1,0))</f>
        <v>1</v>
      </c>
      <c r="E196" s="20">
        <f>IF(coder1_YH!K195="","",IF(coder1_YH!K195=coder2_NY_MT!E196,1,0))</f>
        <v>1</v>
      </c>
      <c r="F196" s="20">
        <f>IF(coder1_YH!L195="","",IF(coder1_YH!L195=coder2_NY_MT!F196,1,0))</f>
        <v>1</v>
      </c>
      <c r="G196" s="20">
        <v>1</v>
      </c>
      <c r="H196" s="20">
        <f>IF(coder1_YH!P195="","",IF(RIGHT(coder1_YH!P195,3)=RIGHT(coder2_NY_MT!J196,3),1,0))</f>
        <v>1</v>
      </c>
      <c r="I196" s="20">
        <f>IF(H196="","",IF(OR(coder2_NY_MT!K196="", coder1_YH!Q195 = ""),0,1))</f>
        <v>1</v>
      </c>
      <c r="J196" s="20">
        <f>IF(coder1_YH!R195="","",IF(coder1_YH!R195=coder2_NY_MT!L196,1,0))</f>
        <v>0</v>
      </c>
      <c r="K196" s="20">
        <f>IF(coder1_YH!S195="","",IF(coder1_YH!S195=coder2_NY_MT!M196,1,0))</f>
        <v>1</v>
      </c>
      <c r="L196" s="20">
        <f>IF(coder1_YH!T195="","",IF(coder1_YH!T195=coder2_NY_MT!N196,1,0))</f>
        <v>1</v>
      </c>
      <c r="M196" s="20">
        <f>IF(coder1_YH!U195="","",IF(coder1_YH!U195=coder2_NY_MT!O196,1,0))</f>
        <v>1</v>
      </c>
      <c r="N196" s="20">
        <f>IF(coder1_YH!V195="","",IF(coder1_YH!V195=coder2_NY_MT!P196,1,0))</f>
        <v>1</v>
      </c>
      <c r="O196" s="20">
        <f>IF(coder1_YH!W195="","",IF(coder1_YH!W195=coder2_NY_MT!Q196,1,0))</f>
        <v>1</v>
      </c>
      <c r="P196" s="20">
        <f>IF(coder1_YH!X195="","",IF(coder1_YH!X195=coder2_NY_MT!R196,1,0))</f>
        <v>1</v>
      </c>
      <c r="Q196" s="20">
        <f>IF(coder1_YH!Y195="","",IF(coder1_YH!Y195=coder2_NY_MT!S196,1,0))</f>
        <v>1</v>
      </c>
      <c r="R196" s="20">
        <f>IF(coder1_YH!Z195="","",IF(coder1_YH!Z195=coder2_NY_MT!T196,1,0))</f>
        <v>1</v>
      </c>
      <c r="S196" s="20">
        <f>IF(R196="","",IF(OR(coder2_NY_MT!U196="", coder1_YH!AA195 = ""),0,1))</f>
        <v>1</v>
      </c>
      <c r="T196" s="20">
        <f>IF(coder1_YH!AB195="","",IF(coder1_YH!AB195=coder2_NY_MT!V196,1,0))</f>
        <v>1</v>
      </c>
      <c r="U196" s="20">
        <f>IF(coder1_YH!AC195="","",IF(coder1_YH!AC195=coder2_NY_MT!W196,1,0))</f>
        <v>1</v>
      </c>
      <c r="V196" s="20">
        <f>IF(coder1_YH!AD195="","",IF(coder1_YH!AD195=coder2_NY_MT!X196,1,0))</f>
        <v>1</v>
      </c>
      <c r="W196" s="20">
        <f>IF(coder1_YH!AE195="","",IF(coder1_YH!AE195=coder2_NY_MT!Y196,1,0))</f>
        <v>1</v>
      </c>
      <c r="X196" s="20">
        <f>IF(coder1_YH!AF195="","",IF(coder1_YH!AF195=coder2_NY_MT!Z196,1,0))</f>
        <v>1</v>
      </c>
      <c r="Y196" s="20">
        <f>IF(coder1_YH!AG195="","",IF(coder1_YH!AG195=coder2_NY_MT!AA196,1,0))</f>
        <v>1</v>
      </c>
      <c r="Z196" s="20">
        <f>IF(coder1_YH!AH195="","",IF(coder1_YH!AH195=coder2_NY_MT!AB196,1,0))</f>
        <v>1</v>
      </c>
      <c r="AA196" s="20">
        <f>IF(coder1_YH!AI195="","",IF(coder1_YH!AI195=coder2_NY_MT!AC196,1,0))</f>
        <v>1</v>
      </c>
      <c r="AB196" s="20">
        <f>IF(OR(coder2_NY_MT!AD195="", coder1_YH!AJ195 = ""),0,1)</f>
        <v>1</v>
      </c>
      <c r="AC196" s="20">
        <f>IF(coder1_YH!AK195="","",IF(coder1_YH!AK195=coder2_NY_MT!AE196,1,0))</f>
        <v>1</v>
      </c>
      <c r="AD196" s="20">
        <f>IF(OR(coder2_NY_MT!AF195="", coder1_YH!AL195 = ""),0,1)</f>
        <v>1</v>
      </c>
      <c r="AF196" s="20">
        <f>IF(coder1_YH!AN195="","",IF(coder1_YH!AN195=coder2_NY_MT!AH196,1,0))</f>
        <v>1</v>
      </c>
      <c r="AG196" s="20">
        <f>IF(coder1_YH!AO195="","",IF(coder1_YH!AO195=coder2_NY_MT!AI196,1,0))</f>
        <v>1</v>
      </c>
      <c r="AH196" s="20">
        <f>IF(coder1_YH!AP195="","",IF(coder1_YH!AP195=coder2_NY_MT!AJ196,1,0))</f>
        <v>1</v>
      </c>
      <c r="AI196" s="20">
        <f>IF(coder1_YH!AQ195="","",IF(coder1_YH!AQ195=coder2_NY_MT!AK196,1,0))</f>
        <v>1</v>
      </c>
      <c r="AJ196" s="20">
        <f>IF(coder1_YH!AR195="","",IF(coder1_YH!AR195=coder2_NY_MT!AL196,1,0))</f>
        <v>1</v>
      </c>
      <c r="AK196" s="20">
        <f>IF(coder1_YH!AS195="","",IF(coder1_YH!AS195=coder2_NY_MT!AM196,1,0))</f>
        <v>1</v>
      </c>
      <c r="AL196" s="20" t="str">
        <f>IF(coder1_YH!AZ195="","",IF(coder1_YH!AZ195=coder2_NY_MT!AT196,1,0))</f>
        <v/>
      </c>
      <c r="AM196" s="20" t="str">
        <f>IF(coder1_YH!BA195="","",IF(coder1_YH!BA195=coder2_NY_MT!AU196,1,0))</f>
        <v/>
      </c>
      <c r="AN196" s="2"/>
    </row>
    <row r="197" spans="1:40" s="20" customFormat="1" ht="17" customHeight="1" x14ac:dyDescent="0.2">
      <c r="A197" s="20" t="str">
        <f>IF(coder1_YH!G196="","",IF(coder1_YH!G196=coder2_NY_MT!A197,1,0))</f>
        <v/>
      </c>
      <c r="B197" s="20" t="str">
        <f>IF(coder1_YH!H196="","",IF(RIGHT(coder1_YH!H196,2)=RIGHT(coder2_NY_MT!B197,2),1,0))</f>
        <v/>
      </c>
      <c r="C197" s="20" t="str">
        <f>IF(coder1_YH!I196="","",IF(coder1_YH!I196=coder2_NY_MT!C197,1,0))</f>
        <v/>
      </c>
      <c r="E197" s="20" t="str">
        <f>IF(coder1_YH!K196="","",IF(coder1_YH!K196=coder2_NY_MT!E197,1,0))</f>
        <v/>
      </c>
      <c r="F197" s="20" t="str">
        <f>IF(coder1_YH!L196="","",IF(coder1_YH!L196=coder2_NY_MT!F197,1,0))</f>
        <v/>
      </c>
      <c r="G197" s="20" t="str">
        <f>IF(coder1_YH!M196="","",IF(coder1_YH!M196=coder2_NY_MT!G197,1,0))</f>
        <v/>
      </c>
      <c r="H197" s="20">
        <f>IF(coder1_YH!P196="","",IF(RIGHT(coder1_YH!P196,3)=RIGHT(coder2_NY_MT!J197,3),1,0))</f>
        <v>0</v>
      </c>
      <c r="I197" s="20">
        <f>IF(H197="","",IF(OR(coder2_NY_MT!K197="", coder1_YH!Q196 = ""),0,1))</f>
        <v>1</v>
      </c>
      <c r="J197" s="20">
        <f>IF(coder1_YH!R196="","",IF(coder1_YH!R196=coder2_NY_MT!L197,1,0))</f>
        <v>0</v>
      </c>
      <c r="K197" s="20">
        <f>IF(coder1_YH!S196="","",IF(coder1_YH!S196=coder2_NY_MT!M197,1,0))</f>
        <v>1</v>
      </c>
      <c r="L197" s="20">
        <f>IF(coder1_YH!T196="","",IF(coder1_YH!T196=coder2_NY_MT!N197,1,0))</f>
        <v>1</v>
      </c>
      <c r="M197" s="20">
        <f>IF(coder1_YH!U196="","",IF(coder1_YH!U196=coder2_NY_MT!O197,1,0))</f>
        <v>1</v>
      </c>
      <c r="N197" s="20">
        <f>IF(coder1_YH!V196="","",IF(coder1_YH!V196=coder2_NY_MT!P197,1,0))</f>
        <v>1</v>
      </c>
      <c r="O197" s="20">
        <f>IF(coder1_YH!W196="","",IF(coder1_YH!W196=coder2_NY_MT!Q197,1,0))</f>
        <v>1</v>
      </c>
      <c r="P197" s="20">
        <f>IF(coder1_YH!X196="","",IF(coder1_YH!X196=coder2_NY_MT!R197,1,0))</f>
        <v>1</v>
      </c>
      <c r="Q197" s="20">
        <f>IF(coder1_YH!Y196="","",IF(coder1_YH!Y196=coder2_NY_MT!S197,1,0))</f>
        <v>1</v>
      </c>
      <c r="R197" s="20">
        <f>IF(coder1_YH!Z196="","",IF(coder1_YH!Z196=coder2_NY_MT!T197,1,0))</f>
        <v>1</v>
      </c>
      <c r="S197" s="20">
        <f>IF(R197="","",IF(OR(coder2_NY_MT!U197="", coder1_YH!AA196 = ""),0,1))</f>
        <v>1</v>
      </c>
      <c r="T197" s="20">
        <f>IF(coder1_YH!AB196="","",IF(coder1_YH!AB196=coder2_NY_MT!V197,1,0))</f>
        <v>1</v>
      </c>
      <c r="U197" s="20">
        <f>IF(coder1_YH!AC196="","",IF(coder1_YH!AC196=coder2_NY_MT!W197,1,0))</f>
        <v>1</v>
      </c>
      <c r="V197" s="20">
        <f>IF(coder1_YH!AD196="","",IF(coder1_YH!AD196=coder2_NY_MT!X197,1,0))</f>
        <v>1</v>
      </c>
      <c r="W197" s="20">
        <f>IF(coder1_YH!AE196="","",IF(coder1_YH!AE196=coder2_NY_MT!Y197,1,0))</f>
        <v>1</v>
      </c>
      <c r="X197" s="20">
        <f>IF(coder1_YH!AF196="","",IF(coder1_YH!AF196=coder2_NY_MT!Z197,1,0))</f>
        <v>1</v>
      </c>
      <c r="Y197" s="20">
        <f>IF(coder1_YH!AG196="","",IF(coder1_YH!AG196=coder2_NY_MT!AA197,1,0))</f>
        <v>1</v>
      </c>
      <c r="Z197" s="20">
        <f>IF(coder1_YH!AH196="","",IF(coder1_YH!AH196=coder2_NY_MT!AB197,1,0))</f>
        <v>1</v>
      </c>
      <c r="AA197" s="20">
        <f>IF(coder1_YH!AI196="","",IF(coder1_YH!AI196=coder2_NY_MT!AC197,1,0))</f>
        <v>1</v>
      </c>
      <c r="AB197" s="20">
        <f>IF(OR(coder2_NY_MT!AD196="", coder1_YH!AJ196 = ""),0,1)</f>
        <v>1</v>
      </c>
      <c r="AC197" s="20">
        <f>IF(coder1_YH!AK196="","",IF(coder1_YH!AK196=coder2_NY_MT!AE197,1,0))</f>
        <v>1</v>
      </c>
      <c r="AD197" s="20">
        <f>IF(OR(coder2_NY_MT!AF196="", coder1_YH!AL196 = ""),0,1)</f>
        <v>1</v>
      </c>
      <c r="AF197" s="20">
        <f>IF(coder1_YH!AN196="","",IF(coder1_YH!AN196=coder2_NY_MT!AH197,1,0))</f>
        <v>1</v>
      </c>
      <c r="AG197" s="20">
        <f>IF(coder1_YH!AO196="","",IF(coder1_YH!AO196=coder2_NY_MT!AI197,1,0))</f>
        <v>1</v>
      </c>
      <c r="AH197" s="20">
        <f>IF(coder1_YH!AP196="","",IF(coder1_YH!AP196=coder2_NY_MT!AJ197,1,0))</f>
        <v>1</v>
      </c>
      <c r="AI197" s="20">
        <f>IF(coder1_YH!AQ196="","",IF(coder1_YH!AQ196=coder2_NY_MT!AK197,1,0))</f>
        <v>1</v>
      </c>
      <c r="AJ197" s="20">
        <f>IF(coder1_YH!AR196="","",IF(coder1_YH!AR196=coder2_NY_MT!AL197,1,0))</f>
        <v>1</v>
      </c>
      <c r="AK197" s="20">
        <f>IF(coder1_YH!AS196="","",IF(coder1_YH!AS196=coder2_NY_MT!AM197,1,0))</f>
        <v>1</v>
      </c>
      <c r="AL197" s="20" t="str">
        <f>IF(coder1_YH!AZ196="","",IF(coder1_YH!AZ196=coder2_NY_MT!AT197,1,0))</f>
        <v/>
      </c>
      <c r="AM197" s="20" t="str">
        <f>IF(coder1_YH!BA196="","",IF(coder1_YH!BA196=coder2_NY_MT!AU197,1,0))</f>
        <v/>
      </c>
      <c r="AN197" s="2"/>
    </row>
    <row r="198" spans="1:40" s="20" customFormat="1" ht="17" customHeight="1" x14ac:dyDescent="0.2">
      <c r="A198" s="20">
        <f>IF(coder1_YH!G197="","",IF(coder1_YH!G197=coder2_NY_MT!A198,1,0))</f>
        <v>1</v>
      </c>
      <c r="B198" s="20">
        <f>IF(coder1_YH!H197="","",IF(RIGHT(coder1_YH!H197,2)=RIGHT(coder2_NY_MT!B198,2),1,0))</f>
        <v>1</v>
      </c>
      <c r="C198" s="20">
        <f>IF(coder1_YH!I197="","",IF(coder1_YH!I197=coder2_NY_MT!C198,1,0))</f>
        <v>1</v>
      </c>
      <c r="E198" s="20">
        <f>IF(coder1_YH!K197="","",IF(coder1_YH!K197=coder2_NY_MT!E198,1,0))</f>
        <v>1</v>
      </c>
      <c r="F198" s="20">
        <f>IF(coder1_YH!L197="","",IF(coder1_YH!L197=coder2_NY_MT!F198,1,0))</f>
        <v>1</v>
      </c>
      <c r="G198" s="20">
        <f>IF(coder1_YH!M197="","",IF(coder1_YH!M197=coder2_NY_MT!G198,1,0))</f>
        <v>1</v>
      </c>
      <c r="H198" s="20">
        <f>IF(coder1_YH!P197="","",IF(RIGHT(coder1_YH!P197,3)=RIGHT(coder2_NY_MT!J198,3),1,0))</f>
        <v>1</v>
      </c>
      <c r="I198" s="20">
        <f>IF(H198="","",IF(OR(coder2_NY_MT!K198="", coder1_YH!Q197 = ""),0,1))</f>
        <v>1</v>
      </c>
      <c r="J198" s="20">
        <f>IF(coder1_YH!R197="","",IF(coder1_YH!R197=coder2_NY_MT!L198,1,0))</f>
        <v>1</v>
      </c>
      <c r="K198" s="20">
        <f>IF(coder1_YH!S197="","",IF(coder1_YH!S197=coder2_NY_MT!M198,1,0))</f>
        <v>0</v>
      </c>
      <c r="L198" s="20">
        <f>IF(coder1_YH!T197="","",IF(coder1_YH!T197=coder2_NY_MT!N198,1,0))</f>
        <v>1</v>
      </c>
      <c r="M198" s="20">
        <f>IF(coder1_YH!U197="","",IF(coder1_YH!U197=coder2_NY_MT!O198,1,0))</f>
        <v>1</v>
      </c>
      <c r="N198" s="20">
        <f>IF(coder1_YH!V197="","",IF(coder1_YH!V197=coder2_NY_MT!P198,1,0))</f>
        <v>1</v>
      </c>
      <c r="O198" s="20">
        <f>IF(coder1_YH!W197="","",IF(coder1_YH!W197=coder2_NY_MT!Q198,1,0))</f>
        <v>1</v>
      </c>
      <c r="P198" s="20">
        <f>IF(coder1_YH!X197="","",IF(coder1_YH!X197=coder2_NY_MT!R198,1,0))</f>
        <v>1</v>
      </c>
      <c r="Q198" s="20">
        <f>IF(coder1_YH!Y197="","",IF(coder1_YH!Y197=coder2_NY_MT!S198,1,0))</f>
        <v>1</v>
      </c>
      <c r="R198" s="20">
        <f>IF(coder1_YH!Z197="","",IF(coder1_YH!Z197=coder2_NY_MT!T198,1,0))</f>
        <v>1</v>
      </c>
      <c r="S198" s="20">
        <f>IF(R198="","",IF(OR(coder2_NY_MT!U198="", coder1_YH!AA197 = ""),0,1))</f>
        <v>1</v>
      </c>
      <c r="T198" s="20">
        <f>IF(coder1_YH!AB197="","",IF(coder1_YH!AB197=coder2_NY_MT!V198,1,0))</f>
        <v>1</v>
      </c>
      <c r="U198" s="20">
        <f>IF(coder1_YH!AC197="","",IF(coder1_YH!AC197=coder2_NY_MT!W198,1,0))</f>
        <v>1</v>
      </c>
      <c r="V198" s="20">
        <f>IF(coder1_YH!AD197="","",IF(coder1_YH!AD197=coder2_NY_MT!X198,1,0))</f>
        <v>0</v>
      </c>
      <c r="W198" s="20">
        <f>IF(coder1_YH!AE197="","",IF(coder1_YH!AE197=coder2_NY_MT!Y198,1,0))</f>
        <v>1</v>
      </c>
      <c r="X198" s="20">
        <f>IF(coder1_YH!AF197="","",IF(coder1_YH!AF197=coder2_NY_MT!Z198,1,0))</f>
        <v>1</v>
      </c>
      <c r="Y198" s="20">
        <f>IF(coder1_YH!AG197="","",IF(coder1_YH!AG197=coder2_NY_MT!AA198,1,0))</f>
        <v>1</v>
      </c>
      <c r="Z198" s="20">
        <f>IF(coder1_YH!AH197="","",IF(coder1_YH!AH197=coder2_NY_MT!AB198,1,0))</f>
        <v>1</v>
      </c>
      <c r="AA198" s="20">
        <f>IF(coder1_YH!AI197="","",IF(coder1_YH!AI197=coder2_NY_MT!AC198,1,0))</f>
        <v>1</v>
      </c>
      <c r="AB198" s="20">
        <f>IF(OR(coder2_NY_MT!AD197="", coder1_YH!AJ197 = ""),0,1)</f>
        <v>1</v>
      </c>
      <c r="AC198" s="20">
        <f>IF(coder1_YH!AK197="","",IF(coder1_YH!AK197=coder2_NY_MT!AE198,1,0))</f>
        <v>1</v>
      </c>
      <c r="AD198" s="20">
        <f>IF(OR(coder2_NY_MT!AF197="", coder1_YH!AL197 = ""),0,1)</f>
        <v>1</v>
      </c>
      <c r="AF198" s="20">
        <f>IF(coder1_YH!AN197="","",IF(coder1_YH!AN197=coder2_NY_MT!AH198,1,0))</f>
        <v>1</v>
      </c>
      <c r="AG198" s="20">
        <f>IF(coder1_YH!AO197="","",IF(coder1_YH!AO197=coder2_NY_MT!AI198,1,0))</f>
        <v>1</v>
      </c>
      <c r="AH198" s="20">
        <f>IF(coder1_YH!AP197="","",IF(coder1_YH!AP197=coder2_NY_MT!AJ198,1,0))</f>
        <v>1</v>
      </c>
      <c r="AI198" s="20">
        <f>IF(coder1_YH!AQ197="","",IF(coder1_YH!AQ197=coder2_NY_MT!AK198,1,0))</f>
        <v>1</v>
      </c>
      <c r="AJ198" s="20">
        <f>IF(coder1_YH!AR197="","",IF(coder1_YH!AR197=coder2_NY_MT!AL198,1,0))</f>
        <v>1</v>
      </c>
      <c r="AK198" s="20">
        <f>IF(coder1_YH!AS197="","",IF(coder1_YH!AS197=coder2_NY_MT!AM198,1,0))</f>
        <v>1</v>
      </c>
      <c r="AL198" s="20" t="str">
        <f>IF(coder1_YH!AZ197="","",IF(coder1_YH!AZ197=coder2_NY_MT!AT198,1,0))</f>
        <v/>
      </c>
      <c r="AM198" s="20" t="str">
        <f>IF(coder1_YH!BA197="","",IF(coder1_YH!BA197=coder2_NY_MT!AU198,1,0))</f>
        <v/>
      </c>
      <c r="AN198" s="2"/>
    </row>
    <row r="199" spans="1:40" s="20" customFormat="1" ht="17" customHeight="1" x14ac:dyDescent="0.2">
      <c r="A199" s="20" t="str">
        <f>IF(coder1_YH!G198="","",IF(coder1_YH!G198=coder2_NY_MT!A199,1,0))</f>
        <v/>
      </c>
      <c r="B199" s="20" t="str">
        <f>IF(coder1_YH!H198="","",IF(RIGHT(coder1_YH!H198,2)=RIGHT(coder2_NY_MT!B199,2),1,0))</f>
        <v/>
      </c>
      <c r="C199" s="20" t="str">
        <f>IF(coder1_YH!I198="","",IF(coder1_YH!I198=coder2_NY_MT!C199,1,0))</f>
        <v/>
      </c>
      <c r="E199" s="20" t="str">
        <f>IF(coder1_YH!K198="","",IF(coder1_YH!K198=coder2_NY_MT!E199,1,0))</f>
        <v/>
      </c>
      <c r="F199" s="20" t="str">
        <f>IF(coder1_YH!L198="","",IF(coder1_YH!L198=coder2_NY_MT!F199,1,0))</f>
        <v/>
      </c>
      <c r="G199" s="20" t="str">
        <f>IF(coder1_YH!M198="","",IF(coder1_YH!M198=coder2_NY_MT!G199,1,0))</f>
        <v/>
      </c>
      <c r="H199" s="20">
        <f>IF(coder1_YH!P198="","",IF(RIGHT(coder1_YH!P198,3)=RIGHT(coder2_NY_MT!J199,3),1,0))</f>
        <v>0</v>
      </c>
      <c r="I199" s="20">
        <f>IF(H199="","",IF(OR(coder2_NY_MT!K199="", coder1_YH!Q198 = ""),0,1))</f>
        <v>1</v>
      </c>
      <c r="J199" s="20">
        <f>IF(coder1_YH!R198="","",IF(coder1_YH!R198=coder2_NY_MT!L199,1,0))</f>
        <v>1</v>
      </c>
      <c r="K199" s="20">
        <f>IF(coder1_YH!S198="","",IF(coder1_YH!S198=coder2_NY_MT!M199,1,0))</f>
        <v>0</v>
      </c>
      <c r="L199" s="20">
        <f>IF(coder1_YH!T198="","",IF(coder1_YH!T198=coder2_NY_MT!N199,1,0))</f>
        <v>1</v>
      </c>
      <c r="M199" s="20">
        <f>IF(coder1_YH!U198="","",IF(coder1_YH!U198=coder2_NY_MT!O199,1,0))</f>
        <v>1</v>
      </c>
      <c r="N199" s="20">
        <f>IF(coder1_YH!V198="","",IF(coder1_YH!V198=coder2_NY_MT!P199,1,0))</f>
        <v>1</v>
      </c>
      <c r="O199" s="20">
        <f>IF(coder1_YH!W198="","",IF(coder1_YH!W198=coder2_NY_MT!Q199,1,0))</f>
        <v>1</v>
      </c>
      <c r="P199" s="20">
        <f>IF(coder1_YH!X198="","",IF(coder1_YH!X198=coder2_NY_MT!R199,1,0))</f>
        <v>1</v>
      </c>
      <c r="Q199" s="20">
        <f>IF(coder1_YH!Y198="","",IF(coder1_YH!Y198=coder2_NY_MT!S199,1,0))</f>
        <v>1</v>
      </c>
      <c r="R199" s="20">
        <f>IF(coder1_YH!Z198="","",IF(coder1_YH!Z198=coder2_NY_MT!T199,1,0))</f>
        <v>0</v>
      </c>
      <c r="S199" s="20">
        <f>IF(R199="","",IF(OR(coder2_NY_MT!U199="", coder1_YH!AA198 = ""),0,1))</f>
        <v>1</v>
      </c>
      <c r="T199" s="20">
        <f>IF(coder1_YH!AB198="","",IF(coder1_YH!AB198=coder2_NY_MT!V199,1,0))</f>
        <v>1</v>
      </c>
      <c r="U199" s="20">
        <f>IF(coder1_YH!AC198="","",IF(coder1_YH!AC198=coder2_NY_MT!W199,1,0))</f>
        <v>1</v>
      </c>
      <c r="V199" s="20">
        <f>IF(coder1_YH!AD198="","",IF(coder1_YH!AD198=coder2_NY_MT!X199,1,0))</f>
        <v>1</v>
      </c>
      <c r="W199" s="20">
        <f>IF(coder1_YH!AE198="","",IF(coder1_YH!AE198=coder2_NY_MT!Y199,1,0))</f>
        <v>1</v>
      </c>
      <c r="X199" s="20">
        <f>IF(coder1_YH!AF198="","",IF(coder1_YH!AF198=coder2_NY_MT!Z199,1,0))</f>
        <v>1</v>
      </c>
      <c r="Y199" s="20">
        <f>IF(coder1_YH!AG198="","",IF(coder1_YH!AG198=coder2_NY_MT!AA199,1,0))</f>
        <v>1</v>
      </c>
      <c r="Z199" s="20">
        <f>IF(coder1_YH!AH198="","",IF(coder1_YH!AH198=coder2_NY_MT!AB199,1,0))</f>
        <v>1</v>
      </c>
      <c r="AA199" s="20">
        <f>IF(coder1_YH!AI198="","",IF(coder1_YH!AI198=coder2_NY_MT!AC199,1,0))</f>
        <v>1</v>
      </c>
      <c r="AB199" s="20">
        <f>IF(OR(coder2_NY_MT!AD198="", coder1_YH!AJ198 = ""),0,1)</f>
        <v>1</v>
      </c>
      <c r="AC199" s="20">
        <f>IF(coder1_YH!AK198="","",IF(coder1_YH!AK198=coder2_NY_MT!AE199,1,0))</f>
        <v>1</v>
      </c>
      <c r="AD199" s="20">
        <f>IF(OR(coder2_NY_MT!AF198="", coder1_YH!AL198 = ""),0,1)</f>
        <v>1</v>
      </c>
      <c r="AF199" s="20">
        <f>IF(coder1_YH!AN198="","",IF(coder1_YH!AN198=coder2_NY_MT!AH199,1,0))</f>
        <v>1</v>
      </c>
      <c r="AG199" s="20">
        <f>IF(coder1_YH!AO198="","",IF(coder1_YH!AO198=coder2_NY_MT!AI199,1,0))</f>
        <v>1</v>
      </c>
      <c r="AH199" s="20">
        <f>IF(coder1_YH!AP198="","",IF(coder1_YH!AP198=coder2_NY_MT!AJ199,1,0))</f>
        <v>1</v>
      </c>
      <c r="AI199" s="20">
        <f>IF(coder1_YH!AQ198="","",IF(coder1_YH!AQ198=coder2_NY_MT!AK199,1,0))</f>
        <v>1</v>
      </c>
      <c r="AJ199" s="20">
        <f>IF(coder1_YH!AR198="","",IF(coder1_YH!AR198=coder2_NY_MT!AL199,1,0))</f>
        <v>1</v>
      </c>
      <c r="AK199" s="20">
        <f>IF(coder1_YH!AS198="","",IF(coder1_YH!AS198=coder2_NY_MT!AM199,1,0))</f>
        <v>1</v>
      </c>
      <c r="AL199" s="20" t="str">
        <f>IF(coder1_YH!AZ198="","",IF(coder1_YH!AZ198=coder2_NY_MT!AT199,1,0))</f>
        <v/>
      </c>
      <c r="AM199" s="20" t="str">
        <f>IF(coder1_YH!BA198="","",IF(coder1_YH!BA198=coder2_NY_MT!AU199,1,0))</f>
        <v/>
      </c>
      <c r="AN199" s="2"/>
    </row>
    <row r="200" spans="1:40" s="20" customFormat="1" ht="17" customHeight="1" x14ac:dyDescent="0.2">
      <c r="A200" s="20">
        <f>IF(coder1_YH!G199="","",IF(coder1_YH!G199=coder2_NY_MT!A200,1,0))</f>
        <v>1</v>
      </c>
      <c r="B200" s="20">
        <f>IF(coder1_YH!H199="","",IF(RIGHT(coder1_YH!H199,2)=RIGHT(coder2_NY_MT!B200,2),1,0))</f>
        <v>1</v>
      </c>
      <c r="C200" s="20">
        <f>IF(coder1_YH!I199="","",IF(coder1_YH!I199=coder2_NY_MT!C200,1,0))</f>
        <v>1</v>
      </c>
      <c r="E200" s="20">
        <f>IF(coder1_YH!K199="","",IF(coder1_YH!K199=coder2_NY_MT!E200,1,0))</f>
        <v>1</v>
      </c>
      <c r="F200" s="20">
        <f>IF(coder1_YH!L199="","",IF(coder1_YH!L199=coder2_NY_MT!F200,1,0))</f>
        <v>1</v>
      </c>
      <c r="G200" s="20">
        <f>IF(coder1_YH!M199="","",IF(coder1_YH!M199=coder2_NY_MT!G200,1,0))</f>
        <v>1</v>
      </c>
      <c r="H200" s="20">
        <f>IF(coder1_YH!P199="","",IF(RIGHT(coder1_YH!P199,3)=RIGHT(coder2_NY_MT!J200,3),1,0))</f>
        <v>1</v>
      </c>
      <c r="I200" s="20">
        <f>IF(H200="","",IF(OR(coder2_NY_MT!K200="", coder1_YH!Q199 = ""),0,1))</f>
        <v>1</v>
      </c>
      <c r="J200" s="20">
        <f>IF(coder1_YH!R199="","",IF(coder1_YH!R199=coder2_NY_MT!L200,1,0))</f>
        <v>1</v>
      </c>
      <c r="K200" s="20">
        <f>IF(coder1_YH!S199="","",IF(coder1_YH!S199=coder2_NY_MT!M200,1,0))</f>
        <v>0</v>
      </c>
      <c r="L200" s="20">
        <f>IF(coder1_YH!T199="","",IF(coder1_YH!T199=coder2_NY_MT!N200,1,0))</f>
        <v>1</v>
      </c>
      <c r="M200" s="20">
        <f>IF(coder1_YH!U199="","",IF(coder1_YH!U199=coder2_NY_MT!O200,1,0))</f>
        <v>1</v>
      </c>
      <c r="N200" s="20">
        <f>IF(coder1_YH!V199="","",IF(coder1_YH!V199=coder2_NY_MT!P200,1,0))</f>
        <v>1</v>
      </c>
      <c r="O200" s="20">
        <f>IF(coder1_YH!W199="","",IF(coder1_YH!W199=coder2_NY_MT!Q200,1,0))</f>
        <v>1</v>
      </c>
      <c r="P200" s="20">
        <f>IF(coder1_YH!X199="","",IF(coder1_YH!X199=coder2_NY_MT!R200,1,0))</f>
        <v>1</v>
      </c>
      <c r="Q200" s="20">
        <f>IF(coder1_YH!Y199="","",IF(coder1_YH!Y199=coder2_NY_MT!S200,1,0))</f>
        <v>1</v>
      </c>
      <c r="R200" s="20">
        <f>IF(coder1_YH!Z199="","",IF(coder1_YH!Z199=coder2_NY_MT!T200,1,0))</f>
        <v>1</v>
      </c>
      <c r="S200" s="20">
        <f>IF(R200="","",IF(OR(coder2_NY_MT!U200="", coder1_YH!AA199 = ""),0,1))</f>
        <v>1</v>
      </c>
      <c r="T200" s="20">
        <f>IF(coder1_YH!AB199="","",IF(coder1_YH!AB199=coder2_NY_MT!V200,1,0))</f>
        <v>0</v>
      </c>
      <c r="U200" s="20">
        <f>IF(coder1_YH!AC199="","",IF(coder1_YH!AC199=coder2_NY_MT!W200,1,0))</f>
        <v>0</v>
      </c>
      <c r="V200" s="20">
        <f>IF(coder1_YH!AD199="","",IF(coder1_YH!AD199=coder2_NY_MT!X200,1,0))</f>
        <v>1</v>
      </c>
      <c r="W200" s="20">
        <f>IF(coder1_YH!AE199="","",IF(coder1_YH!AE199=coder2_NY_MT!Y200,1,0))</f>
        <v>1</v>
      </c>
      <c r="X200" s="20">
        <f>IF(coder1_YH!AF199="","",IF(coder1_YH!AF199=coder2_NY_MT!Z200,1,0))</f>
        <v>1</v>
      </c>
      <c r="Y200" s="20">
        <f>IF(coder1_YH!AG199="","",IF(coder1_YH!AG199=coder2_NY_MT!AA200,1,0))</f>
        <v>1</v>
      </c>
      <c r="Z200" s="20">
        <f>IF(coder1_YH!AH199="","",IF(coder1_YH!AH199=coder2_NY_MT!AB200,1,0))</f>
        <v>1</v>
      </c>
      <c r="AA200" s="20">
        <f>IF(coder1_YH!AI199="","",IF(coder1_YH!AI199=coder2_NY_MT!AC200,1,0))</f>
        <v>1</v>
      </c>
      <c r="AB200" s="20">
        <f>IF(OR(coder2_NY_MT!AD199="", coder1_YH!AJ199 = ""),0,1)</f>
        <v>1</v>
      </c>
      <c r="AC200" s="20">
        <f>IF(coder1_YH!AK199="","",IF(coder1_YH!AK199=coder2_NY_MT!AE200,1,0))</f>
        <v>1</v>
      </c>
      <c r="AD200" s="20">
        <f>IF(OR(coder2_NY_MT!AF199="", coder1_YH!AL199 = ""),0,1)</f>
        <v>1</v>
      </c>
      <c r="AF200" s="20">
        <f>IF(coder1_YH!AN199="","",IF(coder1_YH!AN199=coder2_NY_MT!AH200,1,0))</f>
        <v>1</v>
      </c>
      <c r="AG200" s="20">
        <f>IF(coder1_YH!AO199="","",IF(coder1_YH!AO199=coder2_NY_MT!AI200,1,0))</f>
        <v>1</v>
      </c>
      <c r="AH200" s="20">
        <f>IF(coder1_YH!AP199="","",IF(coder1_YH!AP199=coder2_NY_MT!AJ200,1,0))</f>
        <v>1</v>
      </c>
      <c r="AI200" s="20">
        <f>IF(coder1_YH!AQ199="","",IF(coder1_YH!AQ199=coder2_NY_MT!AK200,1,0))</f>
        <v>1</v>
      </c>
      <c r="AJ200" s="20">
        <f>IF(coder1_YH!AR199="","",IF(coder1_YH!AR199=coder2_NY_MT!AL200,1,0))</f>
        <v>1</v>
      </c>
      <c r="AK200" s="20">
        <f>IF(coder1_YH!AS199="","",IF(coder1_YH!AS199=coder2_NY_MT!AM200,1,0))</f>
        <v>1</v>
      </c>
      <c r="AL200" s="20" t="str">
        <f>IF(coder1_YH!AZ199="","",IF(coder1_YH!AZ199=coder2_NY_MT!AT200,1,0))</f>
        <v/>
      </c>
      <c r="AM200" s="20" t="str">
        <f>IF(coder1_YH!BA199="","",IF(coder1_YH!BA199=coder2_NY_MT!AU200,1,0))</f>
        <v/>
      </c>
      <c r="AN200" s="2"/>
    </row>
    <row r="201" spans="1:40" s="20" customFormat="1" ht="17" customHeight="1" x14ac:dyDescent="0.2">
      <c r="A201" s="20" t="str">
        <f>IF(coder1_YH!G200="","",IF(coder1_YH!G200=coder2_NY_MT!A201,1,0))</f>
        <v/>
      </c>
      <c r="B201" s="20" t="str">
        <f>IF(coder1_YH!H200="","",IF(RIGHT(coder1_YH!H200,2)=RIGHT(coder2_NY_MT!B201,2),1,0))</f>
        <v/>
      </c>
      <c r="C201" s="20" t="str">
        <f>IF(coder1_YH!I200="","",IF(coder1_YH!I200=coder2_NY_MT!C201,1,0))</f>
        <v/>
      </c>
      <c r="E201" s="20" t="str">
        <f>IF(coder1_YH!K200="","",IF(coder1_YH!K200=coder2_NY_MT!E201,1,0))</f>
        <v/>
      </c>
      <c r="F201" s="20" t="str">
        <f>IF(coder1_YH!L200="","",IF(coder1_YH!L200=coder2_NY_MT!F201,1,0))</f>
        <v/>
      </c>
      <c r="G201" s="20" t="str">
        <f>IF(coder1_YH!M200="","",IF(coder1_YH!M200=coder2_NY_MT!G201,1,0))</f>
        <v/>
      </c>
      <c r="H201" s="20" t="str">
        <f>IF(coder1_YH!P200="","",IF(RIGHT(coder1_YH!P200,3)=RIGHT(coder2_NY_MT!J201,3),1,0))</f>
        <v/>
      </c>
      <c r="I201" s="20" t="str">
        <f>IF(H201="","",IF(OR(coder2_NY_MT!K201="", coder1_YH!Q200 = ""),0,1))</f>
        <v/>
      </c>
      <c r="J201" s="20" t="str">
        <f>IF(coder1_YH!R200="","",IF(coder1_YH!R200=coder2_NY_MT!L201,1,0))</f>
        <v/>
      </c>
      <c r="K201" s="20" t="str">
        <f>IF(coder1_YH!S200="","",IF(coder1_YH!S200=coder2_NY_MT!M201,1,0))</f>
        <v/>
      </c>
      <c r="L201" s="20" t="str">
        <f>IF(coder1_YH!T200="","",IF(coder1_YH!T200=coder2_NY_MT!N201,1,0))</f>
        <v/>
      </c>
      <c r="M201" s="20" t="str">
        <f>IF(coder1_YH!U200="","",IF(coder1_YH!U200=coder2_NY_MT!O201,1,0))</f>
        <v/>
      </c>
      <c r="N201" s="20" t="str">
        <f>IF(coder1_YH!V200="","",IF(coder1_YH!V200=coder2_NY_MT!P201,1,0))</f>
        <v/>
      </c>
      <c r="O201" s="20" t="str">
        <f>IF(coder1_YH!W200="","",IF(coder1_YH!W200=coder2_NY_MT!Q201,1,0))</f>
        <v/>
      </c>
      <c r="P201" s="20" t="str">
        <f>IF(coder1_YH!X200="","",IF(coder1_YH!X200=coder2_NY_MT!R201,1,0))</f>
        <v/>
      </c>
      <c r="Q201" s="20" t="str">
        <f>IF(coder1_YH!Y200="","",IF(coder1_YH!Y200=coder2_NY_MT!S201,1,0))</f>
        <v/>
      </c>
      <c r="R201" s="20" t="str">
        <f>IF(coder1_YH!Z200="","",IF(coder1_YH!Z200=coder2_NY_MT!T201,1,0))</f>
        <v/>
      </c>
      <c r="S201" s="20" t="str">
        <f>IF(R201="","",IF(OR(coder2_NY_MT!U201="", coder1_YH!AA200 = ""),0,1))</f>
        <v/>
      </c>
      <c r="T201" s="20" t="str">
        <f>IF(coder1_YH!AB200="","",IF(coder1_YH!AB200=coder2_NY_MT!V201,1,0))</f>
        <v/>
      </c>
      <c r="U201" s="20" t="str">
        <f>IF(coder1_YH!AC200="","",IF(coder1_YH!AC200=coder2_NY_MT!W201,1,0))</f>
        <v/>
      </c>
      <c r="V201" s="20" t="str">
        <f>IF(coder1_YH!AD200="","",IF(coder1_YH!AD200=coder2_NY_MT!X201,1,0))</f>
        <v/>
      </c>
      <c r="W201" s="20" t="str">
        <f>IF(coder1_YH!AE200="","",IF(coder1_YH!AE200=coder2_NY_MT!Y201,1,0))</f>
        <v/>
      </c>
      <c r="X201" s="20" t="str">
        <f>IF(coder1_YH!AF200="","",IF(coder1_YH!AF200=coder2_NY_MT!Z201,1,0))</f>
        <v/>
      </c>
      <c r="Y201" s="20" t="str">
        <f>IF(coder1_YH!AG200="","",IF(coder1_YH!AG200=coder2_NY_MT!AA201,1,0))</f>
        <v/>
      </c>
      <c r="Z201" s="20" t="str">
        <f>IF(coder1_YH!AH200="","",IF(coder1_YH!AH200=coder2_NY_MT!AB201,1,0))</f>
        <v/>
      </c>
      <c r="AA201" s="20" t="str">
        <f>IF(coder1_YH!AI200="","",IF(coder1_YH!AI200=coder2_NY_MT!AC201,1,0))</f>
        <v/>
      </c>
      <c r="AB201" s="20">
        <f>IF(OR(coder2_NY_MT!AD200="", coder1_YH!AJ200 = ""),0,1)</f>
        <v>1</v>
      </c>
      <c r="AC201" s="20">
        <f>IF(coder1_YH!AK200="","",IF(coder1_YH!AK200=coder2_NY_MT!AE201,1,0))</f>
        <v>1</v>
      </c>
      <c r="AD201" s="20">
        <f>IF(OR(coder2_NY_MT!AF200="", coder1_YH!AL200 = ""),0,1)</f>
        <v>1</v>
      </c>
      <c r="AF201" s="20">
        <f>IF(coder1_YH!AN200="","",IF(coder1_YH!AN200=coder2_NY_MT!AH201,1,0))</f>
        <v>1</v>
      </c>
      <c r="AG201" s="20">
        <f>IF(coder1_YH!AO200="","",IF(coder1_YH!AO200=coder2_NY_MT!AI201,1,0))</f>
        <v>1</v>
      </c>
      <c r="AH201" s="20">
        <f>IF(coder1_YH!AP200="","",IF(coder1_YH!AP200=coder2_NY_MT!AJ201,1,0))</f>
        <v>1</v>
      </c>
      <c r="AI201" s="20">
        <f>IF(coder1_YH!AQ200="","",IF(coder1_YH!AQ200=coder2_NY_MT!AK201,1,0))</f>
        <v>1</v>
      </c>
      <c r="AJ201" s="20">
        <f>IF(coder1_YH!AR200="","",IF(coder1_YH!AR200=coder2_NY_MT!AL201,1,0))</f>
        <v>1</v>
      </c>
      <c r="AK201" s="20">
        <f>IF(coder1_YH!AS200="","",IF(coder1_YH!AS200=coder2_NY_MT!AM201,1,0))</f>
        <v>1</v>
      </c>
      <c r="AL201" s="20" t="str">
        <f>IF(coder1_YH!AZ200="","",IF(coder1_YH!AZ200=coder2_NY_MT!AT201,1,0))</f>
        <v/>
      </c>
      <c r="AM201" s="20" t="str">
        <f>IF(coder1_YH!BA200="","",IF(coder1_YH!BA200=coder2_NY_MT!AU201,1,0))</f>
        <v/>
      </c>
      <c r="AN201" s="2"/>
    </row>
    <row r="202" spans="1:40" s="20" customFormat="1" ht="17" customHeight="1" x14ac:dyDescent="0.2">
      <c r="A202" s="20" t="str">
        <f>IF(coder1_YH!G201="","",IF(coder1_YH!G201=coder2_NY_MT!A202,1,0))</f>
        <v/>
      </c>
      <c r="B202" s="20" t="str">
        <f>IF(coder1_YH!H201="","",IF(RIGHT(coder1_YH!H201,2)=RIGHT(coder2_NY_MT!B202,2),1,0))</f>
        <v/>
      </c>
      <c r="C202" s="20" t="str">
        <f>IF(coder1_YH!I201="","",IF(coder1_YH!I201=coder2_NY_MT!C202,1,0))</f>
        <v/>
      </c>
      <c r="E202" s="20" t="str">
        <f>IF(coder1_YH!K201="","",IF(coder1_YH!K201=coder2_NY_MT!E202,1,0))</f>
        <v/>
      </c>
      <c r="F202" s="20" t="str">
        <f>IF(coder1_YH!L201="","",IF(coder1_YH!L201=coder2_NY_MT!F202,1,0))</f>
        <v/>
      </c>
      <c r="G202" s="20" t="str">
        <f>IF(coder1_YH!M201="","",IF(coder1_YH!M201=coder2_NY_MT!G202,1,0))</f>
        <v/>
      </c>
      <c r="H202" s="20" t="str">
        <f>IF(coder1_YH!P201="","",IF(RIGHT(coder1_YH!P201,3)=RIGHT(coder2_NY_MT!J202,3),1,0))</f>
        <v/>
      </c>
      <c r="I202" s="20" t="str">
        <f>IF(H202="","",IF(OR(coder2_NY_MT!K202="", coder1_YH!Q201 = ""),0,1))</f>
        <v/>
      </c>
      <c r="J202" s="20" t="str">
        <f>IF(coder1_YH!R201="","",IF(coder1_YH!R201=coder2_NY_MT!L202,1,0))</f>
        <v/>
      </c>
      <c r="K202" s="20" t="str">
        <f>IF(coder1_YH!S201="","",IF(coder1_YH!S201=coder2_NY_MT!M202,1,0))</f>
        <v/>
      </c>
      <c r="L202" s="20" t="str">
        <f>IF(coder1_YH!T201="","",IF(coder1_YH!T201=coder2_NY_MT!N202,1,0))</f>
        <v/>
      </c>
      <c r="M202" s="20" t="str">
        <f>IF(coder1_YH!U201="","",IF(coder1_YH!U201=coder2_NY_MT!O202,1,0))</f>
        <v/>
      </c>
      <c r="N202" s="20" t="str">
        <f>IF(coder1_YH!V201="","",IF(coder1_YH!V201=coder2_NY_MT!P202,1,0))</f>
        <v/>
      </c>
      <c r="O202" s="20" t="str">
        <f>IF(coder1_YH!W201="","",IF(coder1_YH!W201=coder2_NY_MT!Q202,1,0))</f>
        <v/>
      </c>
      <c r="P202" s="20" t="str">
        <f>IF(coder1_YH!X201="","",IF(coder1_YH!X201=coder2_NY_MT!R202,1,0))</f>
        <v/>
      </c>
      <c r="Q202" s="20" t="str">
        <f>IF(coder1_YH!Y201="","",IF(coder1_YH!Y201=coder2_NY_MT!S202,1,0))</f>
        <v/>
      </c>
      <c r="R202" s="20" t="str">
        <f>IF(coder1_YH!Z201="","",IF(coder1_YH!Z201=coder2_NY_MT!T202,1,0))</f>
        <v/>
      </c>
      <c r="S202" s="20" t="str">
        <f>IF(R202="","",IF(OR(coder2_NY_MT!U202="", coder1_YH!AA201 = ""),0,1))</f>
        <v/>
      </c>
      <c r="T202" s="20" t="str">
        <f>IF(coder1_YH!AB201="","",IF(coder1_YH!AB201=coder2_NY_MT!V202,1,0))</f>
        <v/>
      </c>
      <c r="U202" s="20" t="str">
        <f>IF(coder1_YH!AC201="","",IF(coder1_YH!AC201=coder2_NY_MT!W202,1,0))</f>
        <v/>
      </c>
      <c r="V202" s="20" t="str">
        <f>IF(coder1_YH!AD201="","",IF(coder1_YH!AD201=coder2_NY_MT!X202,1,0))</f>
        <v/>
      </c>
      <c r="W202" s="20" t="str">
        <f>IF(coder1_YH!AE201="","",IF(coder1_YH!AE201=coder2_NY_MT!Y202,1,0))</f>
        <v/>
      </c>
      <c r="X202" s="20" t="str">
        <f>IF(coder1_YH!AF201="","",IF(coder1_YH!AF201=coder2_NY_MT!Z202,1,0))</f>
        <v/>
      </c>
      <c r="Y202" s="20" t="str">
        <f>IF(coder1_YH!AG201="","",IF(coder1_YH!AG201=coder2_NY_MT!AA202,1,0))</f>
        <v/>
      </c>
      <c r="Z202" s="20" t="str">
        <f>IF(coder1_YH!AH201="","",IF(coder1_YH!AH201=coder2_NY_MT!AB202,1,0))</f>
        <v/>
      </c>
      <c r="AA202" s="20" t="str">
        <f>IF(coder1_YH!AI201="","",IF(coder1_YH!AI201=coder2_NY_MT!AC202,1,0))</f>
        <v/>
      </c>
      <c r="AB202" s="20">
        <f>IF(OR(coder2_NY_MT!AD201="", coder1_YH!AJ201 = ""),0,1)</f>
        <v>1</v>
      </c>
      <c r="AC202" s="20">
        <f>IF(coder1_YH!AK201="","",IF(coder1_YH!AK201=coder2_NY_MT!AE202,1,0))</f>
        <v>1</v>
      </c>
      <c r="AD202" s="20">
        <f>IF(OR(coder2_NY_MT!AF201="", coder1_YH!AL201 = ""),0,1)</f>
        <v>1</v>
      </c>
      <c r="AF202" s="20">
        <f>IF(coder1_YH!AN201="","",IF(coder1_YH!AN201=coder2_NY_MT!AH202,1,0))</f>
        <v>1</v>
      </c>
      <c r="AG202" s="20">
        <f>IF(coder1_YH!AO201="","",IF(coder1_YH!AO201=coder2_NY_MT!AI202,1,0))</f>
        <v>1</v>
      </c>
      <c r="AH202" s="20">
        <f>IF(coder1_YH!AP201="","",IF(coder1_YH!AP201=coder2_NY_MT!AJ202,1,0))</f>
        <v>1</v>
      </c>
      <c r="AI202" s="20">
        <f>IF(coder1_YH!AQ201="","",IF(coder1_YH!AQ201=coder2_NY_MT!AK202,1,0))</f>
        <v>1</v>
      </c>
      <c r="AJ202" s="20">
        <f>IF(coder1_YH!AR201="","",IF(coder1_YH!AR201=coder2_NY_MT!AL202,1,0))</f>
        <v>1</v>
      </c>
      <c r="AK202" s="20">
        <f>IF(coder1_YH!AS201="","",IF(coder1_YH!AS201=coder2_NY_MT!AM202,1,0))</f>
        <v>1</v>
      </c>
      <c r="AL202" s="20" t="str">
        <f>IF(coder1_YH!AZ201="","",IF(coder1_YH!AZ201=coder2_NY_MT!AT202,1,0))</f>
        <v/>
      </c>
      <c r="AM202" s="20" t="str">
        <f>IF(coder1_YH!BA201="","",IF(coder1_YH!BA201=coder2_NY_MT!AU202,1,0))</f>
        <v/>
      </c>
      <c r="AN202" s="2"/>
    </row>
    <row r="203" spans="1:40" s="20" customFormat="1" ht="17" customHeight="1" x14ac:dyDescent="0.2">
      <c r="A203" s="20" t="str">
        <f>IF(coder1_YH!G202="","",IF(coder1_YH!G202=coder2_NY_MT!A203,1,0))</f>
        <v/>
      </c>
      <c r="B203" s="20" t="str">
        <f>IF(coder1_YH!H202="","",IF(RIGHT(coder1_YH!H202,2)=RIGHT(coder2_NY_MT!B203,2),1,0))</f>
        <v/>
      </c>
      <c r="C203" s="20" t="str">
        <f>IF(coder1_YH!I202="","",IF(coder1_YH!I202=coder2_NY_MT!C203,1,0))</f>
        <v/>
      </c>
      <c r="E203" s="20" t="str">
        <f>IF(coder1_YH!K202="","",IF(coder1_YH!K202=coder2_NY_MT!E203,1,0))</f>
        <v/>
      </c>
      <c r="F203" s="20" t="str">
        <f>IF(coder1_YH!L202="","",IF(coder1_YH!L202=coder2_NY_MT!F203,1,0))</f>
        <v/>
      </c>
      <c r="G203" s="20" t="str">
        <f>IF(coder1_YH!M202="","",IF(coder1_YH!M202=coder2_NY_MT!G203,1,0))</f>
        <v/>
      </c>
      <c r="H203" s="20">
        <f>IF(coder1_YH!P202="","",IF(RIGHT(coder1_YH!P202,3)=RIGHT(coder2_NY_MT!J203,3),1,0))</f>
        <v>0</v>
      </c>
      <c r="I203" s="20">
        <f>IF(H203="","",IF(OR(coder2_NY_MT!K203="", coder1_YH!Q202 = ""),0,1))</f>
        <v>1</v>
      </c>
      <c r="J203" s="20">
        <f>IF(coder1_YH!R202="","",IF(coder1_YH!R202=coder2_NY_MT!L203,1,0))</f>
        <v>1</v>
      </c>
      <c r="K203" s="20">
        <f>IF(coder1_YH!S202="","",IF(coder1_YH!S202=coder2_NY_MT!M203,1,0))</f>
        <v>0</v>
      </c>
      <c r="L203" s="20">
        <f>IF(coder1_YH!T202="","",IF(coder1_YH!T202=coder2_NY_MT!N203,1,0))</f>
        <v>1</v>
      </c>
      <c r="M203" s="20">
        <f>IF(coder1_YH!U202="","",IF(coder1_YH!U202=coder2_NY_MT!O203,1,0))</f>
        <v>1</v>
      </c>
      <c r="N203" s="20">
        <f>IF(coder1_YH!V202="","",IF(coder1_YH!V202=coder2_NY_MT!P203,1,0))</f>
        <v>1</v>
      </c>
      <c r="O203" s="20">
        <f>IF(coder1_YH!W202="","",IF(coder1_YH!W202=coder2_NY_MT!Q203,1,0))</f>
        <v>1</v>
      </c>
      <c r="P203" s="20">
        <f>IF(coder1_YH!X202="","",IF(coder1_YH!X202=coder2_NY_MT!R203,1,0))</f>
        <v>1</v>
      </c>
      <c r="Q203" s="20">
        <f>IF(coder1_YH!Y202="","",IF(coder1_YH!Y202=coder2_NY_MT!S203,1,0))</f>
        <v>1</v>
      </c>
      <c r="R203" s="20">
        <f>IF(coder1_YH!Z202="","",IF(coder1_YH!Z202=coder2_NY_MT!T203,1,0))</f>
        <v>0</v>
      </c>
      <c r="S203" s="20">
        <f>IF(R203="","",IF(OR(coder2_NY_MT!U203="", coder1_YH!AA202 = ""),0,1))</f>
        <v>1</v>
      </c>
      <c r="T203" s="20">
        <f>IF(coder1_YH!AB202="","",IF(coder1_YH!AB202=coder2_NY_MT!V203,1,0))</f>
        <v>0</v>
      </c>
      <c r="U203" s="20" t="str">
        <f>IF(coder1_YH!AC202="","",IF(coder1_YH!AC202=coder2_NY_MT!W203,1,0))</f>
        <v/>
      </c>
      <c r="V203" s="20">
        <f>IF(coder1_YH!AD202="","",IF(coder1_YH!AD202=coder2_NY_MT!X203,1,0))</f>
        <v>1</v>
      </c>
      <c r="W203" s="20">
        <f>IF(coder1_YH!AE202="","",IF(coder1_YH!AE202=coder2_NY_MT!Y203,1,0))</f>
        <v>1</v>
      </c>
      <c r="X203" s="20">
        <f>IF(coder1_YH!AF202="","",IF(coder1_YH!AF202=coder2_NY_MT!Z203,1,0))</f>
        <v>1</v>
      </c>
      <c r="Y203" s="20">
        <f>IF(coder1_YH!AG202="","",IF(coder1_YH!AG202=coder2_NY_MT!AA203,1,0))</f>
        <v>1</v>
      </c>
      <c r="Z203" s="20">
        <f>IF(coder1_YH!AH202="","",IF(coder1_YH!AH202=coder2_NY_MT!AB203,1,0))</f>
        <v>1</v>
      </c>
      <c r="AA203" s="20">
        <f>IF(coder1_YH!AI202="","",IF(coder1_YH!AI202=coder2_NY_MT!AC203,1,0))</f>
        <v>1</v>
      </c>
      <c r="AB203" s="20">
        <f>IF(OR(coder2_NY_MT!AD202="", coder1_YH!AJ202 = ""),0,1)</f>
        <v>1</v>
      </c>
      <c r="AC203" s="20">
        <f>IF(coder1_YH!AK202="","",IF(coder1_YH!AK202=coder2_NY_MT!AE203,1,0))</f>
        <v>1</v>
      </c>
      <c r="AD203" s="20">
        <f>IF(OR(coder2_NY_MT!AF202="", coder1_YH!AL202 = ""),0,1)</f>
        <v>1</v>
      </c>
      <c r="AF203" s="20">
        <f>IF(coder1_YH!AN202="","",IF(coder1_YH!AN202=coder2_NY_MT!AH203,1,0))</f>
        <v>1</v>
      </c>
      <c r="AG203" s="20">
        <f>IF(coder1_YH!AO202="","",IF(coder1_YH!AO202=coder2_NY_MT!AI203,1,0))</f>
        <v>1</v>
      </c>
      <c r="AH203" s="20">
        <f>IF(coder1_YH!AP202="","",IF(coder1_YH!AP202=coder2_NY_MT!AJ203,1,0))</f>
        <v>1</v>
      </c>
      <c r="AI203" s="20">
        <f>IF(coder1_YH!AQ202="","",IF(coder1_YH!AQ202=coder2_NY_MT!AK203,1,0))</f>
        <v>1</v>
      </c>
      <c r="AJ203" s="20">
        <f>IF(coder1_YH!AR202="","",IF(coder1_YH!AR202=coder2_NY_MT!AL203,1,0))</f>
        <v>1</v>
      </c>
      <c r="AK203" s="20">
        <f>IF(coder1_YH!AS202="","",IF(coder1_YH!AS202=coder2_NY_MT!AM203,1,0))</f>
        <v>1</v>
      </c>
      <c r="AL203" s="20" t="str">
        <f>IF(coder1_YH!AZ202="","",IF(coder1_YH!AZ202=coder2_NY_MT!AT203,1,0))</f>
        <v/>
      </c>
      <c r="AM203" s="20" t="str">
        <f>IF(coder1_YH!BA202="","",IF(coder1_YH!BA202=coder2_NY_MT!AU203,1,0))</f>
        <v/>
      </c>
      <c r="AN203" s="2"/>
    </row>
    <row r="204" spans="1:40" s="20" customFormat="1" ht="17" customHeight="1" x14ac:dyDescent="0.2">
      <c r="A204" s="20" t="str">
        <f>IF(coder1_YH!G203="","",IF(coder1_YH!G203=coder2_NY_MT!A204,1,0))</f>
        <v/>
      </c>
      <c r="B204" s="20" t="str">
        <f>IF(coder1_YH!H203="","",IF(RIGHT(coder1_YH!H203,2)=RIGHT(coder2_NY_MT!B204,2),1,0))</f>
        <v/>
      </c>
      <c r="C204" s="20" t="str">
        <f>IF(coder1_YH!I203="","",IF(coder1_YH!I203=coder2_NY_MT!C204,1,0))</f>
        <v/>
      </c>
      <c r="E204" s="20" t="str">
        <f>IF(coder1_YH!K203="","",IF(coder1_YH!K203=coder2_NY_MT!E204,1,0))</f>
        <v/>
      </c>
      <c r="F204" s="20" t="str">
        <f>IF(coder1_YH!L203="","",IF(coder1_YH!L203=coder2_NY_MT!F204,1,0))</f>
        <v/>
      </c>
      <c r="G204" s="20" t="str">
        <f>IF(coder1_YH!M203="","",IF(coder1_YH!M203=coder2_NY_MT!G204,1,0))</f>
        <v/>
      </c>
      <c r="H204" s="20" t="str">
        <f>IF(coder1_YH!P203="","",IF(RIGHT(coder1_YH!P203,3)=RIGHT(coder2_NY_MT!J204,3),1,0))</f>
        <v/>
      </c>
      <c r="I204" s="20" t="str">
        <f>IF(H204="","",IF(OR(coder2_NY_MT!K204="", coder1_YH!Q203 = ""),0,1))</f>
        <v/>
      </c>
      <c r="J204" s="20" t="str">
        <f>IF(coder1_YH!R203="","",IF(coder1_YH!R203=coder2_NY_MT!L204,1,0))</f>
        <v/>
      </c>
      <c r="K204" s="20" t="str">
        <f>IF(coder1_YH!S203="","",IF(coder1_YH!S203=coder2_NY_MT!M204,1,0))</f>
        <v/>
      </c>
      <c r="L204" s="20" t="str">
        <f>IF(coder1_YH!T203="","",IF(coder1_YH!T203=coder2_NY_MT!N204,1,0))</f>
        <v/>
      </c>
      <c r="M204" s="20" t="str">
        <f>IF(coder1_YH!U203="","",IF(coder1_YH!U203=coder2_NY_MT!O204,1,0))</f>
        <v/>
      </c>
      <c r="N204" s="20" t="str">
        <f>IF(coder1_YH!V203="","",IF(coder1_YH!V203=coder2_NY_MT!P204,1,0))</f>
        <v/>
      </c>
      <c r="O204" s="20" t="str">
        <f>IF(coder1_YH!W203="","",IF(coder1_YH!W203=coder2_NY_MT!Q204,1,0))</f>
        <v/>
      </c>
      <c r="P204" s="20" t="str">
        <f>IF(coder1_YH!X203="","",IF(coder1_YH!X203=coder2_NY_MT!R204,1,0))</f>
        <v/>
      </c>
      <c r="Q204" s="20" t="str">
        <f>IF(coder1_YH!Y203="","",IF(coder1_YH!Y203=coder2_NY_MT!S204,1,0))</f>
        <v/>
      </c>
      <c r="R204" s="20" t="str">
        <f>IF(coder1_YH!Z203="","",IF(coder1_YH!Z203=coder2_NY_MT!T204,1,0))</f>
        <v/>
      </c>
      <c r="S204" s="20" t="str">
        <f>IF(R204="","",IF(OR(coder2_NY_MT!U204="", coder1_YH!AA203 = ""),0,1))</f>
        <v/>
      </c>
      <c r="T204" s="20" t="str">
        <f>IF(coder1_YH!AB203="","",IF(coder1_YH!AB203=coder2_NY_MT!V204,1,0))</f>
        <v/>
      </c>
      <c r="U204" s="20" t="str">
        <f>IF(coder1_YH!AC203="","",IF(coder1_YH!AC203=coder2_NY_MT!W204,1,0))</f>
        <v/>
      </c>
      <c r="V204" s="20" t="str">
        <f>IF(coder1_YH!AD203="","",IF(coder1_YH!AD203=coder2_NY_MT!X204,1,0))</f>
        <v/>
      </c>
      <c r="W204" s="20" t="str">
        <f>IF(coder1_YH!AE203="","",IF(coder1_YH!AE203=coder2_NY_MT!Y204,1,0))</f>
        <v/>
      </c>
      <c r="X204" s="20" t="str">
        <f>IF(coder1_YH!AF203="","",IF(coder1_YH!AF203=coder2_NY_MT!Z204,1,0))</f>
        <v/>
      </c>
      <c r="Y204" s="20" t="str">
        <f>IF(coder1_YH!AG203="","",IF(coder1_YH!AG203=coder2_NY_MT!AA204,1,0))</f>
        <v/>
      </c>
      <c r="Z204" s="20" t="str">
        <f>IF(coder1_YH!AH203="","",IF(coder1_YH!AH203=coder2_NY_MT!AB204,1,0))</f>
        <v/>
      </c>
      <c r="AA204" s="20" t="str">
        <f>IF(coder1_YH!AI203="","",IF(coder1_YH!AI203=coder2_NY_MT!AC204,1,0))</f>
        <v/>
      </c>
      <c r="AB204" s="20">
        <f>IF(OR(coder2_NY_MT!AD203="", coder1_YH!AJ203 = ""),0,1)</f>
        <v>1</v>
      </c>
      <c r="AC204" s="20">
        <f>IF(coder1_YH!AK203="","",IF(coder1_YH!AK203=coder2_NY_MT!AE204,1,0))</f>
        <v>1</v>
      </c>
      <c r="AD204" s="20">
        <f>IF(OR(coder2_NY_MT!AF203="", coder1_YH!AL203 = ""),0,1)</f>
        <v>1</v>
      </c>
      <c r="AF204" s="20">
        <f>IF(coder1_YH!AN203="","",IF(coder1_YH!AN203=coder2_NY_MT!AH204,1,0))</f>
        <v>1</v>
      </c>
      <c r="AG204" s="20">
        <f>IF(coder1_YH!AO203="","",IF(coder1_YH!AO203=coder2_NY_MT!AI204,1,0))</f>
        <v>1</v>
      </c>
      <c r="AH204" s="20">
        <f>IF(coder1_YH!AP203="","",IF(coder1_YH!AP203=coder2_NY_MT!AJ204,1,0))</f>
        <v>1</v>
      </c>
      <c r="AI204" s="20">
        <f>IF(coder1_YH!AQ203="","",IF(coder1_YH!AQ203=coder2_NY_MT!AK204,1,0))</f>
        <v>1</v>
      </c>
      <c r="AJ204" s="20">
        <f>IF(coder1_YH!AR203="","",IF(coder1_YH!AR203=coder2_NY_MT!AL204,1,0))</f>
        <v>1</v>
      </c>
      <c r="AK204" s="20">
        <f>IF(coder1_YH!AS203="","",IF(coder1_YH!AS203=coder2_NY_MT!AM204,1,0))</f>
        <v>1</v>
      </c>
      <c r="AL204" s="20" t="str">
        <f>IF(coder1_YH!AZ203="","",IF(coder1_YH!AZ203=coder2_NY_MT!AT204,1,0))</f>
        <v/>
      </c>
      <c r="AM204" s="20" t="str">
        <f>IF(coder1_YH!BA203="","",IF(coder1_YH!BA203=coder2_NY_MT!AU204,1,0))</f>
        <v/>
      </c>
      <c r="AN204" s="2"/>
    </row>
    <row r="205" spans="1:40" s="20" customFormat="1" ht="17" customHeight="1" x14ac:dyDescent="0.2">
      <c r="A205" s="20" t="str">
        <f>IF(coder1_YH!G204="","",IF(coder1_YH!G204=coder2_NY_MT!A205,1,0))</f>
        <v/>
      </c>
      <c r="B205" s="20" t="str">
        <f>IF(coder1_YH!H204="","",IF(RIGHT(coder1_YH!H204,2)=RIGHT(coder2_NY_MT!B205,2),1,0))</f>
        <v/>
      </c>
      <c r="C205" s="20" t="str">
        <f>IF(coder1_YH!I204="","",IF(coder1_YH!I204=coder2_NY_MT!C205,1,0))</f>
        <v/>
      </c>
      <c r="E205" s="20" t="str">
        <f>IF(coder1_YH!K204="","",IF(coder1_YH!K204=coder2_NY_MT!E205,1,0))</f>
        <v/>
      </c>
      <c r="F205" s="20" t="str">
        <f>IF(coder1_YH!L204="","",IF(coder1_YH!L204=coder2_NY_MT!F205,1,0))</f>
        <v/>
      </c>
      <c r="G205" s="20" t="str">
        <f>IF(coder1_YH!M204="","",IF(coder1_YH!M204=coder2_NY_MT!G205,1,0))</f>
        <v/>
      </c>
      <c r="H205" s="20" t="str">
        <f>IF(coder1_YH!P204="","",IF(RIGHT(coder1_YH!P204,3)=RIGHT(coder2_NY_MT!J205,3),1,0))</f>
        <v/>
      </c>
      <c r="I205" s="20" t="str">
        <f>IF(H205="","",IF(OR(coder2_NY_MT!K205="", coder1_YH!Q204 = ""),0,1))</f>
        <v/>
      </c>
      <c r="J205" s="20" t="str">
        <f>IF(coder1_YH!R204="","",IF(coder1_YH!R204=coder2_NY_MT!L205,1,0))</f>
        <v/>
      </c>
      <c r="K205" s="20" t="str">
        <f>IF(coder1_YH!S204="","",IF(coder1_YH!S204=coder2_NY_MT!M205,1,0))</f>
        <v/>
      </c>
      <c r="L205" s="20" t="str">
        <f>IF(coder1_YH!T204="","",IF(coder1_YH!T204=coder2_NY_MT!N205,1,0))</f>
        <v/>
      </c>
      <c r="M205" s="20" t="str">
        <f>IF(coder1_YH!U204="","",IF(coder1_YH!U204=coder2_NY_MT!O205,1,0))</f>
        <v/>
      </c>
      <c r="N205" s="20" t="str">
        <f>IF(coder1_YH!V204="","",IF(coder1_YH!V204=coder2_NY_MT!P205,1,0))</f>
        <v/>
      </c>
      <c r="O205" s="20" t="str">
        <f>IF(coder1_YH!W204="","",IF(coder1_YH!W204=coder2_NY_MT!Q205,1,0))</f>
        <v/>
      </c>
      <c r="P205" s="20" t="str">
        <f>IF(coder1_YH!X204="","",IF(coder1_YH!X204=coder2_NY_MT!R205,1,0))</f>
        <v/>
      </c>
      <c r="Q205" s="20" t="str">
        <f>IF(coder1_YH!Y204="","",IF(coder1_YH!Y204=coder2_NY_MT!S205,1,0))</f>
        <v/>
      </c>
      <c r="R205" s="20" t="str">
        <f>IF(coder1_YH!Z204="","",IF(coder1_YH!Z204=coder2_NY_MT!T205,1,0))</f>
        <v/>
      </c>
      <c r="S205" s="20" t="str">
        <f>IF(R205="","",IF(OR(coder2_NY_MT!U205="", coder1_YH!AA204 = ""),0,1))</f>
        <v/>
      </c>
      <c r="T205" s="20" t="str">
        <f>IF(coder1_YH!AB204="","",IF(coder1_YH!AB204=coder2_NY_MT!V205,1,0))</f>
        <v/>
      </c>
      <c r="U205" s="20" t="str">
        <f>IF(coder1_YH!AC204="","",IF(coder1_YH!AC204=coder2_NY_MT!W205,1,0))</f>
        <v/>
      </c>
      <c r="V205" s="20" t="str">
        <f>IF(coder1_YH!AD204="","",IF(coder1_YH!AD204=coder2_NY_MT!X205,1,0))</f>
        <v/>
      </c>
      <c r="W205" s="20" t="str">
        <f>IF(coder1_YH!AE204="","",IF(coder1_YH!AE204=coder2_NY_MT!Y205,1,0))</f>
        <v/>
      </c>
      <c r="X205" s="20" t="str">
        <f>IF(coder1_YH!AF204="","",IF(coder1_YH!AF204=coder2_NY_MT!Z205,1,0))</f>
        <v/>
      </c>
      <c r="Y205" s="20" t="str">
        <f>IF(coder1_YH!AG204="","",IF(coder1_YH!AG204=coder2_NY_MT!AA205,1,0))</f>
        <v/>
      </c>
      <c r="Z205" s="20" t="str">
        <f>IF(coder1_YH!AH204="","",IF(coder1_YH!AH204=coder2_NY_MT!AB205,1,0))</f>
        <v/>
      </c>
      <c r="AA205" s="20" t="str">
        <f>IF(coder1_YH!AI204="","",IF(coder1_YH!AI204=coder2_NY_MT!AC205,1,0))</f>
        <v/>
      </c>
      <c r="AB205" s="20">
        <f>IF(OR(coder2_NY_MT!AD204="", coder1_YH!AJ204 = ""),0,1)</f>
        <v>1</v>
      </c>
      <c r="AC205" s="20">
        <f>IF(coder1_YH!AK204="","",IF(coder1_YH!AK204=coder2_NY_MT!AE205,1,0))</f>
        <v>1</v>
      </c>
      <c r="AD205" s="20">
        <f>IF(OR(coder2_NY_MT!AF204="", coder1_YH!AL204 = ""),0,1)</f>
        <v>1</v>
      </c>
      <c r="AF205" s="20">
        <f>IF(coder1_YH!AN204="","",IF(coder1_YH!AN204=coder2_NY_MT!AH205,1,0))</f>
        <v>1</v>
      </c>
      <c r="AG205" s="20">
        <f>IF(coder1_YH!AO204="","",IF(coder1_YH!AO204=coder2_NY_MT!AI205,1,0))</f>
        <v>1</v>
      </c>
      <c r="AH205" s="20">
        <f>IF(coder1_YH!AP204="","",IF(coder1_YH!AP204=coder2_NY_MT!AJ205,1,0))</f>
        <v>1</v>
      </c>
      <c r="AI205" s="20">
        <f>IF(coder1_YH!AQ204="","",IF(coder1_YH!AQ204=coder2_NY_MT!AK205,1,0))</f>
        <v>1</v>
      </c>
      <c r="AJ205" s="20">
        <f>IF(coder1_YH!AR204="","",IF(coder1_YH!AR204=coder2_NY_MT!AL205,1,0))</f>
        <v>1</v>
      </c>
      <c r="AK205" s="20">
        <f>IF(coder1_YH!AS204="","",IF(coder1_YH!AS204=coder2_NY_MT!AM205,1,0))</f>
        <v>1</v>
      </c>
      <c r="AL205" s="20" t="str">
        <f>IF(coder1_YH!AZ204="","",IF(coder1_YH!AZ204=coder2_NY_MT!AT205,1,0))</f>
        <v/>
      </c>
      <c r="AM205" s="20" t="str">
        <f>IF(coder1_YH!BA204="","",IF(coder1_YH!BA204=coder2_NY_MT!AU205,1,0))</f>
        <v/>
      </c>
      <c r="AN205" s="2"/>
    </row>
  </sheetData>
  <dataConsolidate/>
  <mergeCells count="7">
    <mergeCell ref="AF1:AK1"/>
    <mergeCell ref="A1:G1"/>
    <mergeCell ref="H1:Q1"/>
    <mergeCell ref="R1:T1"/>
    <mergeCell ref="U1:AA1"/>
    <mergeCell ref="AB1:AC1"/>
    <mergeCell ref="AE1:AE2"/>
  </mergeCells>
  <conditionalFormatting sqref="A2:C2 E2:Q2 U2:W2 AA2:AC2">
    <cfRule type="cellIs" dxfId="32" priority="12" operator="notEqual">
      <formula>#REF!</formula>
    </cfRule>
    <cfRule type="cellIs" dxfId="31" priority="13" operator="notEqual">
      <formula>#REF!+#REF!</formula>
    </cfRule>
  </conditionalFormatting>
  <conditionalFormatting sqref="A1:AC1 AF1:XFD2 A2:C2 E2:W2 AA2:AC2 A3:XFD1048576">
    <cfRule type="containsText" dxfId="30" priority="7" operator="containsText" text="0">
      <formula>NOT(ISERROR(SEARCH("0",A1)))</formula>
    </cfRule>
  </conditionalFormatting>
  <conditionalFormatting sqref="D2">
    <cfRule type="cellIs" dxfId="29" priority="3" operator="notEqual">
      <formula>#REF!</formula>
    </cfRule>
    <cfRule type="cellIs" dxfId="28" priority="4" operator="notEqual">
      <formula>#REF!+#REF!</formula>
    </cfRule>
  </conditionalFormatting>
  <conditionalFormatting sqref="X2:Z2">
    <cfRule type="cellIs" dxfId="27" priority="5" operator="notEqual">
      <formula>#REF!</formula>
    </cfRule>
    <cfRule type="cellIs" dxfId="26" priority="6" operator="notEqual">
      <formula>#REF!+#REF!</formula>
    </cfRule>
  </conditionalFormatting>
  <conditionalFormatting sqref="AE1 AD2">
    <cfRule type="cellIs" dxfId="25" priority="1" operator="notEqual">
      <formula>#REF!</formula>
    </cfRule>
    <cfRule type="cellIs" dxfId="24" priority="2" operator="notEqual">
      <formula>#REF!+#REF!</formula>
    </cfRule>
  </conditionalFormatting>
  <conditionalFormatting sqref="AI2:AM2">
    <cfRule type="cellIs" dxfId="23" priority="8" operator="notEqual">
      <formula>#REF!</formula>
    </cfRule>
    <cfRule type="cellIs" dxfId="22" priority="9" operator="notEqual">
      <formula>#REF!+#REF!</formula>
    </cfRule>
  </conditionalFormatting>
  <dataValidations count="12">
    <dataValidation type="list" allowBlank="1" showInputMessage="1" showErrorMessage="1" sqref="F206:F1048576" xr:uid="{6FCC6AB3-3212-9848-BFBD-EA687ED022B2}">
      <formula1>" 0 = peer reviewed paper,   1 = disseration,   2 = report/chapter/others"</formula1>
    </dataValidation>
    <dataValidation type="list" allowBlank="1" showInputMessage="1" showErrorMessage="1" sqref="G206:G1048576" xr:uid="{E9713301-4852-3E4A-A40D-37DC7FA1E60F}">
      <formula1>" 0 = RCT,   1 = QED with matched group  "</formula1>
    </dataValidation>
    <dataValidation type="list" allowBlank="1" showInputMessage="1" showErrorMessage="1" sqref="V206:V1048576" xr:uid="{91F944F2-D0A1-A341-856E-929DC357AC78}">
      <formula1>"BAU, NA, 0 = classroom/ large group,  1 = small group (3–7 students),  2 = individual  (1–2 students)"</formula1>
    </dataValidation>
    <dataValidation type="list" allowBlank="1" showInputMessage="1" showErrorMessage="1" sqref="W206:W1048576" xr:uid="{7D2B32AE-C60D-5647-A5CB-F6F023B9F213}">
      <formula1>"BAU, NA, 0 = Research Staff,  1 = School Staff,  2 =  CAI,  3 = 50% T and 50% R"</formula1>
    </dataValidation>
    <dataValidation type="list" allowBlank="1" showInputMessage="1" showErrorMessage="1" sqref="U206:V1048576" xr:uid="{EBEBDF77-B99A-7F47-949E-36B0455FE87A}">
      <formula1>"BAU, 0 = No / Not reported,  1 = Yes (Including CAI)"</formula1>
    </dataValidation>
    <dataValidation type="list" allowBlank="1" showInputMessage="1" showErrorMessage="1" sqref="AA206:AA1048576" xr:uid="{E946A633-40F2-AF41-96D9-4735E9F0D63A}">
      <formula1>"BAU, 0 = Not reported , 1 = Reported"</formula1>
    </dataValidation>
    <dataValidation type="list" allowBlank="1" showInputMessage="1" showErrorMessage="1" sqref="AC206:AC1048576" xr:uid="{EEEB5529-41DB-F448-AF93-D32CBA967F5C}">
      <formula1>"0 = NO - Not standardized,  1 = YES - standardized"</formula1>
    </dataValidation>
    <dataValidation type="list" allowBlank="1" showInputMessage="1" showErrorMessage="1" sqref="AL206:AL1048576" xr:uid="{C75F54E0-1145-214F-B3CE-6D4E87CB5912}">
      <formula1>"cohen's d,  Hedges' g,  T test,  F test , z score,  Other types"</formula1>
    </dataValidation>
    <dataValidation type="list" allowBlank="1" showInputMessage="1" showErrorMessage="1" sqref="AM206:AM1048576" xr:uid="{4A55ABAA-3ACB-5342-BEFB-E809FD4FC0C7}">
      <formula1>"0,1,2,3,4,5"</formula1>
    </dataValidation>
    <dataValidation type="list" allowBlank="1" showInputMessage="1" showErrorMessage="1" sqref="R206:R1048576" xr:uid="{5235F92C-9F1F-274C-A504-A582AD1007E5}">
      <formula1>"BAU, AC (other area),... ,c = code-based,  m = meaning-based, cm = combined coding + meaning "</formula1>
    </dataValidation>
    <dataValidation type="list" allowBlank="1" showInputMessage="1" showErrorMessage="1" sqref="T206:T1048576" xr:uid="{C23C9E61-91A2-BB44-A2DF-2B4566213A20}">
      <formula1>"0 = Researcher-developed curriculum,   1 = Published or Commercially available curriculum,  2 = District/State curriculum, 3 = NA or Cannot determine  "</formula1>
    </dataValidation>
    <dataValidation type="list" allowBlank="1" showInputMessage="1" showErrorMessage="1" sqref="E206:E1048576" xr:uid="{5CCCA2F9-B9D7-E94D-BB0E-C5FBFB70955C}">
      <formula1>"0=School Environment, 1=After school Program"</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98B7-D815-214F-BB24-5A54DE661DA4}">
  <dimension ref="A1:AR206"/>
  <sheetViews>
    <sheetView zoomScaleNormal="125" workbookViewId="0">
      <pane xSplit="9" ySplit="2" topLeftCell="AB163" activePane="bottomRight" state="frozen"/>
      <selection pane="topRight" activeCell="H1" sqref="H1"/>
      <selection pane="bottomLeft" activeCell="A3" sqref="A3"/>
      <selection pane="bottomRight" activeCell="AR192" sqref="AR192"/>
    </sheetView>
  </sheetViews>
  <sheetFormatPr baseColWidth="10" defaultColWidth="11.5" defaultRowHeight="15" x14ac:dyDescent="0.2"/>
  <cols>
    <col min="1" max="1" width="17.83203125" style="11" customWidth="1"/>
    <col min="2" max="2" width="6.1640625" style="11" customWidth="1"/>
    <col min="3" max="4" width="6" style="11" customWidth="1"/>
    <col min="5" max="5" width="5.5" style="11" customWidth="1"/>
    <col min="6" max="6" width="4.5" style="11" customWidth="1"/>
    <col min="7" max="7" width="7.33203125" style="11" customWidth="1"/>
    <col min="8" max="8" width="9.33203125" style="11" customWidth="1"/>
    <col min="9" max="9" width="12.6640625" style="11" customWidth="1"/>
    <col min="10" max="10" width="11.5" style="11"/>
    <col min="11" max="11" width="11.5" style="17"/>
    <col min="12" max="12" width="14.33203125" style="17" customWidth="1"/>
    <col min="13" max="17" width="9.83203125" style="17" customWidth="1"/>
    <col min="18" max="18" width="15.6640625" style="11" customWidth="1"/>
    <col min="19" max="19" width="10.33203125" style="12" customWidth="1"/>
    <col min="20" max="20" width="16.33203125" style="11" customWidth="1"/>
    <col min="21" max="21" width="11.5" style="11"/>
    <col min="22" max="22" width="13.83203125" style="11" customWidth="1"/>
    <col min="23" max="23" width="16.5" style="11" customWidth="1"/>
    <col min="24" max="25" width="13" style="11" customWidth="1"/>
    <col min="26" max="26" width="13.5" style="11" customWidth="1"/>
    <col min="27" max="27" width="11.5" style="11"/>
    <col min="28" max="28" width="20.1640625" style="11" customWidth="1"/>
    <col min="29" max="29" width="12.5" style="11" customWidth="1"/>
    <col min="30" max="31" width="18.33203125" style="11" customWidth="1"/>
    <col min="32" max="34" width="12.33203125" style="11" customWidth="1"/>
    <col min="35" max="37" width="11.5" style="11"/>
    <col min="38" max="38" width="13.83203125" style="11" customWidth="1"/>
    <col min="39" max="39" width="20" style="11" customWidth="1"/>
    <col min="40" max="40" width="23.83203125" style="1" customWidth="1"/>
    <col min="41" max="41" width="11.5" style="11"/>
    <col min="42" max="43" width="11.5" style="52"/>
    <col min="44" max="16384" width="11.5" style="11"/>
  </cols>
  <sheetData>
    <row r="1" spans="1:44" ht="21" customHeight="1" x14ac:dyDescent="0.2">
      <c r="A1" s="411" t="s">
        <v>0</v>
      </c>
      <c r="B1" s="411"/>
      <c r="C1" s="411"/>
      <c r="D1" s="411"/>
      <c r="E1" s="411"/>
      <c r="F1" s="411"/>
      <c r="G1" s="411"/>
      <c r="H1" s="412" t="s">
        <v>1</v>
      </c>
      <c r="I1" s="412"/>
      <c r="J1" s="412"/>
      <c r="K1" s="412"/>
      <c r="L1" s="412"/>
      <c r="M1" s="412"/>
      <c r="N1" s="412"/>
      <c r="O1" s="412"/>
      <c r="P1" s="412"/>
      <c r="Q1" s="412"/>
      <c r="R1" s="413" t="s">
        <v>2</v>
      </c>
      <c r="S1" s="413"/>
      <c r="T1" s="413"/>
      <c r="U1" s="414" t="s">
        <v>3</v>
      </c>
      <c r="V1" s="414"/>
      <c r="W1" s="414"/>
      <c r="X1" s="414"/>
      <c r="Y1" s="414"/>
      <c r="Z1" s="414"/>
      <c r="AA1" s="414"/>
      <c r="AB1" s="410" t="s">
        <v>4</v>
      </c>
      <c r="AC1" s="410"/>
      <c r="AD1" s="57"/>
      <c r="AE1" s="415" t="s">
        <v>449</v>
      </c>
      <c r="AF1" s="410" t="s">
        <v>5</v>
      </c>
      <c r="AG1" s="410"/>
      <c r="AH1" s="410"/>
      <c r="AI1" s="410"/>
      <c r="AJ1" s="410"/>
      <c r="AK1" s="410"/>
      <c r="AL1" s="14" t="s">
        <v>6</v>
      </c>
      <c r="AM1" s="14" t="s">
        <v>7</v>
      </c>
    </row>
    <row r="2" spans="1:44" ht="38" customHeight="1" x14ac:dyDescent="0.2">
      <c r="A2" s="4" t="s">
        <v>10</v>
      </c>
      <c r="B2" s="4" t="s">
        <v>11</v>
      </c>
      <c r="C2" s="4" t="s">
        <v>12</v>
      </c>
      <c r="D2" s="159" t="s">
        <v>450</v>
      </c>
      <c r="E2" s="5" t="s">
        <v>13</v>
      </c>
      <c r="F2" s="5" t="s">
        <v>14</v>
      </c>
      <c r="G2" s="5" t="s">
        <v>15</v>
      </c>
      <c r="H2" s="6" t="s">
        <v>16</v>
      </c>
      <c r="I2" s="6" t="s">
        <v>17</v>
      </c>
      <c r="J2" s="6" t="s">
        <v>18</v>
      </c>
      <c r="K2" s="16" t="s">
        <v>19</v>
      </c>
      <c r="L2" s="6" t="s">
        <v>20</v>
      </c>
      <c r="M2" s="3" t="s">
        <v>21</v>
      </c>
      <c r="N2" s="3" t="s">
        <v>22</v>
      </c>
      <c r="O2" s="3" t="s">
        <v>23</v>
      </c>
      <c r="P2" s="3" t="s">
        <v>24</v>
      </c>
      <c r="Q2" s="3" t="s">
        <v>25</v>
      </c>
      <c r="R2" s="36" t="s">
        <v>26</v>
      </c>
      <c r="S2" s="37" t="s">
        <v>27</v>
      </c>
      <c r="T2" s="35" t="s">
        <v>28</v>
      </c>
      <c r="U2" s="8" t="s">
        <v>29</v>
      </c>
      <c r="V2" s="8" t="s">
        <v>30</v>
      </c>
      <c r="W2" s="8" t="s">
        <v>31</v>
      </c>
      <c r="X2" s="9" t="s">
        <v>32</v>
      </c>
      <c r="Y2" s="9" t="s">
        <v>443</v>
      </c>
      <c r="Z2" s="9" t="s">
        <v>33</v>
      </c>
      <c r="AA2" s="8" t="s">
        <v>34</v>
      </c>
      <c r="AB2" s="4" t="s">
        <v>35</v>
      </c>
      <c r="AC2" s="5" t="s">
        <v>36</v>
      </c>
      <c r="AD2" s="115" t="s">
        <v>451</v>
      </c>
      <c r="AE2" s="416"/>
      <c r="AF2" s="7" t="s">
        <v>38</v>
      </c>
      <c r="AG2" s="7" t="s">
        <v>39</v>
      </c>
      <c r="AH2" s="7" t="s">
        <v>40</v>
      </c>
      <c r="AI2" s="10" t="s">
        <v>41</v>
      </c>
      <c r="AJ2" s="10" t="s">
        <v>42</v>
      </c>
      <c r="AK2" s="10" t="s">
        <v>43</v>
      </c>
      <c r="AL2" s="15" t="s">
        <v>44</v>
      </c>
      <c r="AM2" s="15" t="s">
        <v>45</v>
      </c>
    </row>
    <row r="3" spans="1:44" s="20" customFormat="1" ht="17" customHeight="1" x14ac:dyDescent="0.2">
      <c r="A3" s="53">
        <v>1</v>
      </c>
      <c r="B3" s="53">
        <v>1</v>
      </c>
      <c r="C3" s="53">
        <v>1</v>
      </c>
      <c r="D3" s="53"/>
      <c r="E3" s="53">
        <v>1</v>
      </c>
      <c r="F3" s="53">
        <v>1</v>
      </c>
      <c r="G3" s="53">
        <v>1</v>
      </c>
      <c r="H3" s="53">
        <v>1</v>
      </c>
      <c r="I3" s="53">
        <v>1</v>
      </c>
      <c r="J3" s="53">
        <v>1</v>
      </c>
      <c r="K3" s="20">
        <v>0</v>
      </c>
      <c r="L3" s="53">
        <v>1</v>
      </c>
      <c r="M3" s="53">
        <v>1</v>
      </c>
      <c r="N3" s="53">
        <v>1</v>
      </c>
      <c r="O3" s="53">
        <v>1</v>
      </c>
      <c r="P3" s="53">
        <v>1</v>
      </c>
      <c r="Q3" s="53">
        <v>1</v>
      </c>
      <c r="R3" s="54">
        <v>1</v>
      </c>
      <c r="S3" s="54">
        <v>1</v>
      </c>
      <c r="T3" s="53">
        <v>1</v>
      </c>
      <c r="U3" s="53">
        <v>1</v>
      </c>
      <c r="V3" s="53">
        <v>1</v>
      </c>
      <c r="W3" s="53">
        <v>1</v>
      </c>
      <c r="X3" s="53">
        <v>1</v>
      </c>
      <c r="Z3" s="53">
        <v>1</v>
      </c>
      <c r="AA3" s="53">
        <v>1</v>
      </c>
      <c r="AB3" s="53">
        <v>1</v>
      </c>
      <c r="AC3" s="53">
        <v>1</v>
      </c>
      <c r="AD3" s="53">
        <v>1</v>
      </c>
      <c r="AE3" s="53"/>
      <c r="AF3" s="53">
        <v>1</v>
      </c>
      <c r="AG3" s="53">
        <v>1</v>
      </c>
      <c r="AH3" s="53">
        <v>1</v>
      </c>
      <c r="AI3" s="53">
        <v>1</v>
      </c>
      <c r="AJ3" s="53">
        <v>1</v>
      </c>
      <c r="AK3" s="53">
        <v>1</v>
      </c>
      <c r="AL3" s="53">
        <v>1</v>
      </c>
      <c r="AM3" s="53">
        <v>1</v>
      </c>
      <c r="AN3" s="2" t="s">
        <v>128</v>
      </c>
      <c r="AO3" s="20" t="s">
        <v>129</v>
      </c>
      <c r="AP3" s="20" t="s">
        <v>130</v>
      </c>
      <c r="AQ3" s="20" t="s">
        <v>131</v>
      </c>
      <c r="AR3" s="55" t="s">
        <v>132</v>
      </c>
    </row>
    <row r="4" spans="1:44" s="20" customFormat="1" ht="17" customHeight="1" x14ac:dyDescent="0.2">
      <c r="A4" s="53"/>
      <c r="B4" s="53"/>
      <c r="C4" s="53"/>
      <c r="D4" s="53"/>
      <c r="E4" s="53"/>
      <c r="F4" s="53"/>
      <c r="G4" s="53"/>
      <c r="H4" s="53">
        <v>1</v>
      </c>
      <c r="I4" s="53">
        <v>1</v>
      </c>
      <c r="J4" s="53">
        <v>1</v>
      </c>
      <c r="K4" s="53">
        <v>1</v>
      </c>
      <c r="L4" s="53">
        <v>1</v>
      </c>
      <c r="M4" s="53">
        <v>1</v>
      </c>
      <c r="N4" s="53">
        <v>1</v>
      </c>
      <c r="O4" s="53">
        <v>1</v>
      </c>
      <c r="P4" s="53">
        <v>1</v>
      </c>
      <c r="Q4" s="53">
        <v>1</v>
      </c>
      <c r="R4" s="53">
        <v>1</v>
      </c>
      <c r="S4" s="54">
        <v>1</v>
      </c>
      <c r="T4" s="53">
        <v>1</v>
      </c>
      <c r="U4" s="53">
        <v>1</v>
      </c>
      <c r="V4" s="53">
        <v>1</v>
      </c>
      <c r="W4" s="53">
        <v>1</v>
      </c>
      <c r="X4" s="53">
        <v>1</v>
      </c>
      <c r="Z4" s="53">
        <v>1</v>
      </c>
      <c r="AA4" s="53">
        <v>1</v>
      </c>
      <c r="AB4" s="53">
        <v>1</v>
      </c>
      <c r="AC4" s="53">
        <v>1</v>
      </c>
      <c r="AD4" s="53">
        <v>1</v>
      </c>
      <c r="AE4" s="53"/>
      <c r="AF4" s="53">
        <v>1</v>
      </c>
      <c r="AG4" s="53">
        <v>1</v>
      </c>
      <c r="AH4" s="53">
        <v>1</v>
      </c>
      <c r="AI4" s="53">
        <v>1</v>
      </c>
      <c r="AJ4" s="53">
        <v>1</v>
      </c>
      <c r="AK4" s="53">
        <v>1</v>
      </c>
      <c r="AL4" s="53">
        <v>1</v>
      </c>
      <c r="AM4" s="53">
        <v>1</v>
      </c>
      <c r="AN4" s="2" t="s">
        <v>133</v>
      </c>
      <c r="AO4" s="20" t="s">
        <v>134</v>
      </c>
      <c r="AP4" s="54">
        <f>SUM(A3:G22)</f>
        <v>30</v>
      </c>
      <c r="AQ4" s="54">
        <f>COUNT(A3:G22)</f>
        <v>30</v>
      </c>
      <c r="AR4" s="55">
        <f>AP4/AQ4</f>
        <v>1</v>
      </c>
    </row>
    <row r="5" spans="1:44" s="20" customFormat="1" ht="17" customHeight="1" x14ac:dyDescent="0.2">
      <c r="A5" s="53">
        <v>1</v>
      </c>
      <c r="B5" s="53">
        <v>1</v>
      </c>
      <c r="C5" s="53">
        <v>1</v>
      </c>
      <c r="D5" s="53"/>
      <c r="E5" s="53">
        <v>1</v>
      </c>
      <c r="F5" s="53">
        <v>1</v>
      </c>
      <c r="G5" s="53">
        <v>1</v>
      </c>
      <c r="H5" s="53">
        <v>1</v>
      </c>
      <c r="I5" s="53">
        <v>1</v>
      </c>
      <c r="J5" s="53">
        <v>1</v>
      </c>
      <c r="K5" s="53">
        <v>1</v>
      </c>
      <c r="L5" s="53">
        <v>1</v>
      </c>
      <c r="M5" s="53">
        <v>1</v>
      </c>
      <c r="N5" s="53">
        <v>1</v>
      </c>
      <c r="O5" s="53">
        <v>1</v>
      </c>
      <c r="P5" s="53">
        <v>1</v>
      </c>
      <c r="Q5" s="53">
        <v>1</v>
      </c>
      <c r="R5" s="54">
        <v>0</v>
      </c>
      <c r="S5" s="54">
        <v>1</v>
      </c>
      <c r="T5" s="53">
        <v>1</v>
      </c>
      <c r="U5" s="53">
        <v>1</v>
      </c>
      <c r="V5" s="53">
        <v>1</v>
      </c>
      <c r="W5" s="53">
        <v>1</v>
      </c>
      <c r="X5" s="53">
        <v>1</v>
      </c>
      <c r="Z5" s="53">
        <v>1</v>
      </c>
      <c r="AA5" s="53">
        <v>1</v>
      </c>
      <c r="AB5" s="53">
        <v>1</v>
      </c>
      <c r="AC5" s="53">
        <v>1</v>
      </c>
      <c r="AD5" s="53">
        <v>1</v>
      </c>
      <c r="AE5" s="53"/>
      <c r="AF5" s="53">
        <v>1</v>
      </c>
      <c r="AG5" s="53">
        <v>1</v>
      </c>
      <c r="AH5" s="53">
        <v>1</v>
      </c>
      <c r="AI5" s="53">
        <v>1</v>
      </c>
      <c r="AJ5" s="53">
        <v>1</v>
      </c>
      <c r="AK5" s="53">
        <v>1</v>
      </c>
      <c r="AL5" s="53">
        <v>1</v>
      </c>
      <c r="AM5" s="53">
        <v>1</v>
      </c>
      <c r="AN5" s="2" t="s">
        <v>135</v>
      </c>
      <c r="AO5" s="20" t="s">
        <v>136</v>
      </c>
      <c r="AP5" s="54">
        <f>SUM(H3:Q22)</f>
        <v>133</v>
      </c>
      <c r="AQ5" s="20">
        <f>COUNT(H3:Q22)</f>
        <v>140</v>
      </c>
      <c r="AR5" s="55">
        <f>AP5/AQ5</f>
        <v>0.95</v>
      </c>
    </row>
    <row r="6" spans="1:44" s="20" customFormat="1" ht="17" customHeight="1" x14ac:dyDescent="0.2">
      <c r="A6" s="53"/>
      <c r="B6" s="53"/>
      <c r="C6" s="53"/>
      <c r="D6" s="53"/>
      <c r="E6" s="53"/>
      <c r="F6" s="53"/>
      <c r="G6" s="53"/>
      <c r="H6" s="53" t="s">
        <v>137</v>
      </c>
      <c r="I6" s="53" t="s">
        <v>137</v>
      </c>
      <c r="J6" s="53" t="s">
        <v>137</v>
      </c>
      <c r="K6" s="53" t="s">
        <v>137</v>
      </c>
      <c r="L6" s="53" t="s">
        <v>137</v>
      </c>
      <c r="M6" s="53" t="s">
        <v>137</v>
      </c>
      <c r="N6" s="53" t="s">
        <v>137</v>
      </c>
      <c r="O6" s="53" t="s">
        <v>137</v>
      </c>
      <c r="P6" s="53" t="s">
        <v>137</v>
      </c>
      <c r="Q6" s="53" t="s">
        <v>137</v>
      </c>
      <c r="R6" s="53" t="s">
        <v>137</v>
      </c>
      <c r="S6" s="54" t="s">
        <v>137</v>
      </c>
      <c r="T6" s="53" t="s">
        <v>137</v>
      </c>
      <c r="U6" s="53" t="s">
        <v>137</v>
      </c>
      <c r="V6" s="53" t="s">
        <v>137</v>
      </c>
      <c r="W6" s="53" t="s">
        <v>137</v>
      </c>
      <c r="X6" s="53" t="s">
        <v>137</v>
      </c>
      <c r="Z6" s="53" t="s">
        <v>137</v>
      </c>
      <c r="AA6" s="53" t="s">
        <v>137</v>
      </c>
      <c r="AB6" s="53">
        <v>1</v>
      </c>
      <c r="AC6" s="53">
        <v>1</v>
      </c>
      <c r="AD6" s="53">
        <v>1</v>
      </c>
      <c r="AE6" s="53"/>
      <c r="AF6" s="53">
        <v>1</v>
      </c>
      <c r="AG6" s="53">
        <v>1</v>
      </c>
      <c r="AH6" s="53">
        <v>1</v>
      </c>
      <c r="AI6" s="53">
        <v>1</v>
      </c>
      <c r="AJ6" s="53">
        <v>1</v>
      </c>
      <c r="AK6" s="53">
        <v>1</v>
      </c>
      <c r="AL6" s="53">
        <v>1</v>
      </c>
      <c r="AM6" s="53">
        <v>1</v>
      </c>
      <c r="AN6" s="2" t="s">
        <v>138</v>
      </c>
      <c r="AO6" s="20" t="s">
        <v>139</v>
      </c>
      <c r="AP6" s="54">
        <f>SUM(R3:AA22)</f>
        <v>109</v>
      </c>
      <c r="AQ6" s="20">
        <f>COUNT(R3:AA22)</f>
        <v>127</v>
      </c>
      <c r="AR6" s="55">
        <f>AP6/AQ6</f>
        <v>0.8582677165354331</v>
      </c>
    </row>
    <row r="7" spans="1:44" s="20" customFormat="1" ht="17" customHeight="1" x14ac:dyDescent="0.2">
      <c r="A7" s="53"/>
      <c r="B7" s="53"/>
      <c r="C7" s="53"/>
      <c r="D7" s="53"/>
      <c r="E7" s="53"/>
      <c r="F7" s="53"/>
      <c r="G7" s="53"/>
      <c r="H7" s="53">
        <v>1</v>
      </c>
      <c r="I7" s="53">
        <v>1</v>
      </c>
      <c r="J7" s="53">
        <v>1</v>
      </c>
      <c r="K7" s="53">
        <v>1</v>
      </c>
      <c r="L7" s="53">
        <v>1</v>
      </c>
      <c r="M7" s="53">
        <v>1</v>
      </c>
      <c r="N7" s="53">
        <v>1</v>
      </c>
      <c r="O7" s="53">
        <v>1</v>
      </c>
      <c r="P7" s="53">
        <v>1</v>
      </c>
      <c r="Q7" s="53">
        <v>1</v>
      </c>
      <c r="R7" s="54">
        <v>0</v>
      </c>
      <c r="S7" s="54">
        <v>1</v>
      </c>
      <c r="T7" s="53">
        <v>1</v>
      </c>
      <c r="U7" s="53">
        <v>1</v>
      </c>
      <c r="V7" s="53">
        <v>1</v>
      </c>
      <c r="W7" s="53">
        <v>1</v>
      </c>
      <c r="X7" s="53">
        <v>1</v>
      </c>
      <c r="Z7" s="53">
        <v>1</v>
      </c>
      <c r="AA7" s="53">
        <v>1</v>
      </c>
      <c r="AB7" s="53">
        <v>1</v>
      </c>
      <c r="AC7" s="53">
        <v>1</v>
      </c>
      <c r="AD7" s="53">
        <v>1</v>
      </c>
      <c r="AE7" s="53"/>
      <c r="AF7" s="53">
        <v>1</v>
      </c>
      <c r="AG7" s="53">
        <v>1</v>
      </c>
      <c r="AH7" s="53">
        <v>1</v>
      </c>
      <c r="AI7" s="53">
        <v>1</v>
      </c>
      <c r="AJ7" s="53">
        <v>1</v>
      </c>
      <c r="AK7" s="53">
        <v>1</v>
      </c>
      <c r="AL7" s="53">
        <v>1</v>
      </c>
      <c r="AM7" s="53">
        <v>1</v>
      </c>
      <c r="AN7" s="2" t="s">
        <v>140</v>
      </c>
      <c r="AO7" s="20" t="s">
        <v>141</v>
      </c>
      <c r="AP7" s="54">
        <f>SUM(AB3:AM22)</f>
        <v>217</v>
      </c>
      <c r="AQ7" s="20">
        <f>COUNT(AB3:AM22)</f>
        <v>220</v>
      </c>
      <c r="AR7" s="55">
        <f>AP7/AQ7</f>
        <v>0.98636363636363633</v>
      </c>
    </row>
    <row r="8" spans="1:44" s="20" customFormat="1" ht="17" customHeight="1" x14ac:dyDescent="0.2">
      <c r="A8" s="53"/>
      <c r="B8" s="53"/>
      <c r="C8" s="53"/>
      <c r="D8" s="53"/>
      <c r="E8" s="53"/>
      <c r="F8" s="53"/>
      <c r="G8" s="53"/>
      <c r="H8" s="53" t="s">
        <v>137</v>
      </c>
      <c r="I8" s="53" t="s">
        <v>137</v>
      </c>
      <c r="J8" s="53" t="s">
        <v>137</v>
      </c>
      <c r="K8" s="53" t="s">
        <v>137</v>
      </c>
      <c r="L8" s="53" t="s">
        <v>137</v>
      </c>
      <c r="M8" s="53" t="s">
        <v>137</v>
      </c>
      <c r="N8" s="53" t="s">
        <v>137</v>
      </c>
      <c r="O8" s="53" t="s">
        <v>137</v>
      </c>
      <c r="P8" s="53" t="s">
        <v>137</v>
      </c>
      <c r="Q8" s="53" t="s">
        <v>137</v>
      </c>
      <c r="R8" s="53" t="s">
        <v>137</v>
      </c>
      <c r="S8" s="54" t="s">
        <v>137</v>
      </c>
      <c r="T8" s="53" t="s">
        <v>137</v>
      </c>
      <c r="U8" s="53" t="s">
        <v>137</v>
      </c>
      <c r="V8" s="53" t="s">
        <v>137</v>
      </c>
      <c r="W8" s="53" t="s">
        <v>137</v>
      </c>
      <c r="X8" s="53" t="s">
        <v>137</v>
      </c>
      <c r="Z8" s="53" t="s">
        <v>137</v>
      </c>
      <c r="AA8" s="53" t="s">
        <v>137</v>
      </c>
      <c r="AB8" s="53">
        <v>1</v>
      </c>
      <c r="AC8" s="53">
        <v>1</v>
      </c>
      <c r="AD8" s="53">
        <v>1</v>
      </c>
      <c r="AE8" s="53"/>
      <c r="AF8" s="53">
        <v>1</v>
      </c>
      <c r="AG8" s="53">
        <v>1</v>
      </c>
      <c r="AH8" s="53">
        <v>1</v>
      </c>
      <c r="AI8" s="53">
        <v>1</v>
      </c>
      <c r="AJ8" s="53">
        <v>1</v>
      </c>
      <c r="AK8" s="53">
        <v>1</v>
      </c>
      <c r="AL8" s="53">
        <v>1</v>
      </c>
      <c r="AM8" s="53">
        <v>1</v>
      </c>
      <c r="AN8" s="2"/>
      <c r="AR8" s="55"/>
    </row>
    <row r="9" spans="1:44" s="20" customFormat="1" ht="17" customHeight="1" x14ac:dyDescent="0.2">
      <c r="A9" s="53"/>
      <c r="B9" s="53"/>
      <c r="C9" s="53"/>
      <c r="D9" s="53"/>
      <c r="E9" s="53"/>
      <c r="F9" s="53"/>
      <c r="G9" s="53"/>
      <c r="H9" s="53">
        <v>1</v>
      </c>
      <c r="I9" s="53">
        <v>1</v>
      </c>
      <c r="J9" s="53">
        <v>1</v>
      </c>
      <c r="K9" s="53">
        <v>1</v>
      </c>
      <c r="L9" s="53">
        <v>1</v>
      </c>
      <c r="M9" s="53">
        <v>1</v>
      </c>
      <c r="N9" s="53">
        <v>1</v>
      </c>
      <c r="O9" s="53">
        <v>1</v>
      </c>
      <c r="P9" s="53">
        <v>1</v>
      </c>
      <c r="Q9" s="53">
        <v>1</v>
      </c>
      <c r="R9" s="53">
        <v>1</v>
      </c>
      <c r="S9" s="54">
        <v>1</v>
      </c>
      <c r="T9" s="53">
        <v>1</v>
      </c>
      <c r="U9" s="53">
        <v>1</v>
      </c>
      <c r="V9" s="53">
        <v>1</v>
      </c>
      <c r="W9" s="53">
        <v>1</v>
      </c>
      <c r="X9" s="53">
        <v>1</v>
      </c>
      <c r="Z9" s="53">
        <v>1</v>
      </c>
      <c r="AA9" s="53">
        <v>1</v>
      </c>
      <c r="AB9" s="53">
        <v>1</v>
      </c>
      <c r="AC9" s="53">
        <v>1</v>
      </c>
      <c r="AD9" s="53">
        <v>1</v>
      </c>
      <c r="AE9" s="53"/>
      <c r="AF9" s="53">
        <v>1</v>
      </c>
      <c r="AG9" s="53">
        <v>1</v>
      </c>
      <c r="AH9" s="53">
        <v>1</v>
      </c>
      <c r="AI9" s="53">
        <v>1</v>
      </c>
      <c r="AJ9" s="53">
        <v>1</v>
      </c>
      <c r="AK9" s="53">
        <v>1</v>
      </c>
      <c r="AL9" s="53">
        <v>1</v>
      </c>
      <c r="AM9" s="53">
        <v>1</v>
      </c>
      <c r="AN9" s="2" t="s">
        <v>142</v>
      </c>
      <c r="AO9" s="20" t="s">
        <v>143</v>
      </c>
      <c r="AP9" s="54">
        <f>SUM(A3:AM22)</f>
        <v>489</v>
      </c>
      <c r="AQ9" s="20">
        <f>COUNT(A3:AM22)</f>
        <v>517</v>
      </c>
      <c r="AR9" s="55">
        <f>AP9/AQ9</f>
        <v>0.9458413926499033</v>
      </c>
    </row>
    <row r="10" spans="1:44" s="20" customFormat="1" ht="17" customHeight="1" x14ac:dyDescent="0.2">
      <c r="A10" s="53"/>
      <c r="B10" s="53"/>
      <c r="C10" s="53"/>
      <c r="D10" s="53"/>
      <c r="E10" s="53"/>
      <c r="F10" s="53"/>
      <c r="G10" s="53"/>
      <c r="H10" s="53" t="s">
        <v>137</v>
      </c>
      <c r="I10" s="53" t="s">
        <v>137</v>
      </c>
      <c r="J10" s="53" t="s">
        <v>137</v>
      </c>
      <c r="K10" s="53"/>
      <c r="L10" s="53" t="s">
        <v>137</v>
      </c>
      <c r="M10" s="53" t="s">
        <v>137</v>
      </c>
      <c r="N10" s="53" t="s">
        <v>137</v>
      </c>
      <c r="O10" s="53" t="s">
        <v>137</v>
      </c>
      <c r="P10" s="53" t="s">
        <v>137</v>
      </c>
      <c r="Q10" s="53" t="s">
        <v>137</v>
      </c>
      <c r="R10" s="53" t="s">
        <v>137</v>
      </c>
      <c r="S10" s="54" t="s">
        <v>137</v>
      </c>
      <c r="T10" s="53" t="s">
        <v>137</v>
      </c>
      <c r="U10" s="53" t="s">
        <v>137</v>
      </c>
      <c r="V10" s="53" t="s">
        <v>137</v>
      </c>
      <c r="W10" s="53" t="s">
        <v>137</v>
      </c>
      <c r="X10" s="53" t="s">
        <v>137</v>
      </c>
      <c r="Z10" s="53" t="s">
        <v>137</v>
      </c>
      <c r="AA10" s="53" t="s">
        <v>137</v>
      </c>
      <c r="AB10" s="53">
        <v>1</v>
      </c>
      <c r="AC10" s="53">
        <v>1</v>
      </c>
      <c r="AD10" s="53">
        <v>1</v>
      </c>
      <c r="AE10" s="53"/>
      <c r="AF10" s="53">
        <v>1</v>
      </c>
      <c r="AG10" s="53">
        <v>1</v>
      </c>
      <c r="AH10" s="53">
        <v>1</v>
      </c>
      <c r="AI10" s="53">
        <v>1</v>
      </c>
      <c r="AJ10" s="53">
        <v>1</v>
      </c>
      <c r="AK10" s="53">
        <v>1</v>
      </c>
      <c r="AL10" s="53">
        <v>1</v>
      </c>
      <c r="AM10" s="53">
        <v>1</v>
      </c>
      <c r="AN10" s="2" t="s">
        <v>144</v>
      </c>
      <c r="AP10" s="54">
        <f>SUM(AP4:AP7)</f>
        <v>489</v>
      </c>
      <c r="AQ10" s="54">
        <f>SUM(AQ4:AQ7)</f>
        <v>517</v>
      </c>
      <c r="AR10" s="55">
        <f>AP10/AQ10</f>
        <v>0.9458413926499033</v>
      </c>
    </row>
    <row r="11" spans="1:44" s="20" customFormat="1" ht="17" customHeight="1" x14ac:dyDescent="0.2">
      <c r="A11" s="53">
        <v>1</v>
      </c>
      <c r="B11" s="53">
        <v>1</v>
      </c>
      <c r="C11" s="53">
        <v>1</v>
      </c>
      <c r="D11" s="53"/>
      <c r="E11" s="53">
        <v>1</v>
      </c>
      <c r="F11" s="53">
        <v>1</v>
      </c>
      <c r="G11" s="53">
        <v>1</v>
      </c>
      <c r="H11" s="53">
        <v>1</v>
      </c>
      <c r="I11" s="53">
        <v>1</v>
      </c>
      <c r="J11" s="53">
        <v>1</v>
      </c>
      <c r="K11" s="53">
        <v>1</v>
      </c>
      <c r="L11" s="53">
        <v>1</v>
      </c>
      <c r="M11" s="53">
        <v>1</v>
      </c>
      <c r="N11" s="20">
        <v>0</v>
      </c>
      <c r="O11" s="53">
        <v>1</v>
      </c>
      <c r="P11" s="53">
        <v>1</v>
      </c>
      <c r="Q11" s="53">
        <v>1</v>
      </c>
      <c r="R11" s="56">
        <v>1</v>
      </c>
      <c r="S11" s="54">
        <v>1</v>
      </c>
      <c r="T11" s="53">
        <v>1</v>
      </c>
      <c r="U11" s="53">
        <v>1</v>
      </c>
      <c r="V11" s="53">
        <v>1</v>
      </c>
      <c r="W11" s="53">
        <v>1</v>
      </c>
      <c r="X11" s="53">
        <v>0</v>
      </c>
      <c r="Z11" s="53">
        <v>0</v>
      </c>
      <c r="AA11" s="53">
        <v>1</v>
      </c>
      <c r="AB11" s="53">
        <v>1</v>
      </c>
      <c r="AC11" s="53">
        <v>1</v>
      </c>
      <c r="AD11" s="53">
        <v>1</v>
      </c>
      <c r="AE11" s="53"/>
      <c r="AF11" s="53">
        <v>1</v>
      </c>
      <c r="AG11" s="53">
        <v>1</v>
      </c>
      <c r="AH11" s="53">
        <v>1</v>
      </c>
      <c r="AI11" s="53">
        <v>1</v>
      </c>
      <c r="AJ11" s="53">
        <v>1</v>
      </c>
      <c r="AK11" s="53">
        <v>1</v>
      </c>
      <c r="AL11" s="53">
        <v>1</v>
      </c>
      <c r="AM11" s="53">
        <v>1</v>
      </c>
      <c r="AN11" s="2"/>
      <c r="AP11" s="55"/>
      <c r="AQ11" s="55"/>
    </row>
    <row r="12" spans="1:44" s="20" customFormat="1" ht="17" customHeight="1" x14ac:dyDescent="0.2">
      <c r="A12" s="53"/>
      <c r="B12" s="53"/>
      <c r="C12" s="53"/>
      <c r="D12" s="53"/>
      <c r="E12" s="53"/>
      <c r="F12" s="53"/>
      <c r="G12" s="53"/>
      <c r="H12" s="53">
        <v>1</v>
      </c>
      <c r="I12" s="53">
        <v>1</v>
      </c>
      <c r="J12" s="53">
        <v>1</v>
      </c>
      <c r="K12" s="53">
        <v>1</v>
      </c>
      <c r="L12" s="53">
        <v>1</v>
      </c>
      <c r="M12" s="53">
        <v>1</v>
      </c>
      <c r="N12" s="20">
        <v>0</v>
      </c>
      <c r="O12" s="53">
        <v>1</v>
      </c>
      <c r="P12" s="53">
        <v>1</v>
      </c>
      <c r="Q12" s="53">
        <v>1</v>
      </c>
      <c r="R12" s="53">
        <v>1</v>
      </c>
      <c r="S12" s="54">
        <v>1</v>
      </c>
      <c r="T12" s="53">
        <v>1</v>
      </c>
      <c r="U12" s="53">
        <v>1</v>
      </c>
      <c r="V12" s="53">
        <v>1</v>
      </c>
      <c r="W12" s="53">
        <v>1</v>
      </c>
      <c r="X12" s="53">
        <v>1</v>
      </c>
      <c r="Z12" s="53">
        <v>1</v>
      </c>
      <c r="AA12" s="53">
        <v>1</v>
      </c>
      <c r="AB12" s="53">
        <v>1</v>
      </c>
      <c r="AC12" s="53">
        <v>1</v>
      </c>
      <c r="AD12" s="53">
        <v>1</v>
      </c>
      <c r="AE12" s="53"/>
      <c r="AF12" s="53">
        <v>1</v>
      </c>
      <c r="AG12" s="53">
        <v>1</v>
      </c>
      <c r="AH12" s="53">
        <v>1</v>
      </c>
      <c r="AI12" s="53">
        <v>1</v>
      </c>
      <c r="AJ12" s="53">
        <v>1</v>
      </c>
      <c r="AK12" s="53">
        <v>1</v>
      </c>
      <c r="AL12" s="53">
        <v>1</v>
      </c>
      <c r="AM12" s="53">
        <v>1</v>
      </c>
      <c r="AN12" s="2"/>
      <c r="AP12" s="55"/>
      <c r="AQ12" s="55"/>
    </row>
    <row r="13" spans="1:44" s="20" customFormat="1" ht="17" customHeight="1" x14ac:dyDescent="0.2">
      <c r="A13" s="53"/>
      <c r="B13" s="53"/>
      <c r="C13" s="53"/>
      <c r="D13" s="53"/>
      <c r="E13" s="53"/>
      <c r="F13" s="53"/>
      <c r="G13" s="53"/>
      <c r="H13" s="53">
        <v>1</v>
      </c>
      <c r="I13" s="53">
        <v>1</v>
      </c>
      <c r="J13" s="53">
        <v>1</v>
      </c>
      <c r="K13" s="53">
        <v>1</v>
      </c>
      <c r="L13" s="53">
        <v>1</v>
      </c>
      <c r="M13" s="53">
        <v>1</v>
      </c>
      <c r="N13" s="20">
        <v>0</v>
      </c>
      <c r="O13" s="53">
        <v>1</v>
      </c>
      <c r="P13" s="53">
        <v>1</v>
      </c>
      <c r="Q13" s="53">
        <v>1</v>
      </c>
      <c r="R13" s="53">
        <v>1</v>
      </c>
      <c r="S13" s="54">
        <v>1</v>
      </c>
      <c r="T13" s="53">
        <v>0</v>
      </c>
      <c r="U13" s="53">
        <v>1</v>
      </c>
      <c r="V13" s="53">
        <v>1</v>
      </c>
      <c r="W13" s="53">
        <v>1</v>
      </c>
      <c r="X13" s="53">
        <v>1</v>
      </c>
      <c r="Z13" s="53">
        <v>1</v>
      </c>
      <c r="AA13" s="53">
        <v>1</v>
      </c>
      <c r="AB13" s="53">
        <v>1</v>
      </c>
      <c r="AC13" s="53">
        <v>1</v>
      </c>
      <c r="AD13" s="53">
        <v>1</v>
      </c>
      <c r="AE13" s="53"/>
      <c r="AF13" s="53">
        <v>1</v>
      </c>
      <c r="AG13" s="53">
        <v>1</v>
      </c>
      <c r="AH13" s="53">
        <v>1</v>
      </c>
      <c r="AI13" s="53">
        <v>1</v>
      </c>
      <c r="AJ13" s="53">
        <v>1</v>
      </c>
      <c r="AK13" s="53">
        <v>1</v>
      </c>
      <c r="AL13" s="53">
        <v>1</v>
      </c>
      <c r="AM13" s="53">
        <v>1</v>
      </c>
      <c r="AN13" s="2"/>
      <c r="AP13" s="55"/>
      <c r="AQ13" s="55"/>
    </row>
    <row r="14" spans="1:44" s="20" customFormat="1" ht="17" customHeight="1" x14ac:dyDescent="0.2">
      <c r="A14" s="53">
        <v>1</v>
      </c>
      <c r="B14" s="53">
        <v>1</v>
      </c>
      <c r="C14" s="53">
        <v>1</v>
      </c>
      <c r="D14" s="53"/>
      <c r="E14" s="53">
        <v>1</v>
      </c>
      <c r="F14" s="53">
        <v>1</v>
      </c>
      <c r="G14" s="53">
        <v>1</v>
      </c>
      <c r="H14" s="53">
        <v>1</v>
      </c>
      <c r="I14" s="53">
        <v>1</v>
      </c>
      <c r="J14" s="53">
        <v>1</v>
      </c>
      <c r="K14" s="53">
        <v>1</v>
      </c>
      <c r="L14" s="53">
        <v>1</v>
      </c>
      <c r="M14" s="53">
        <v>1</v>
      </c>
      <c r="N14" s="53">
        <v>1</v>
      </c>
      <c r="O14" s="53">
        <v>1</v>
      </c>
      <c r="P14" s="53">
        <v>1</v>
      </c>
      <c r="Q14" s="53">
        <v>1</v>
      </c>
      <c r="R14" s="53">
        <v>1</v>
      </c>
      <c r="S14" s="54">
        <v>1</v>
      </c>
      <c r="T14" s="53">
        <v>1</v>
      </c>
      <c r="U14" s="53">
        <v>1</v>
      </c>
      <c r="V14" s="53">
        <v>0</v>
      </c>
      <c r="W14" s="53">
        <v>0</v>
      </c>
      <c r="X14" s="53">
        <v>1</v>
      </c>
      <c r="Z14" s="53">
        <v>1</v>
      </c>
      <c r="AA14" s="53">
        <v>1</v>
      </c>
      <c r="AB14" s="53">
        <v>1</v>
      </c>
      <c r="AC14" s="53">
        <v>1</v>
      </c>
      <c r="AD14" s="53">
        <v>1</v>
      </c>
      <c r="AE14" s="53"/>
      <c r="AF14" s="53">
        <v>1</v>
      </c>
      <c r="AG14" s="53">
        <v>1</v>
      </c>
      <c r="AH14" s="53">
        <v>1</v>
      </c>
      <c r="AI14" s="53">
        <v>1</v>
      </c>
      <c r="AJ14" s="53">
        <v>1</v>
      </c>
      <c r="AK14" s="53">
        <v>1</v>
      </c>
      <c r="AL14" s="53">
        <v>1</v>
      </c>
      <c r="AM14" s="53">
        <v>1</v>
      </c>
      <c r="AN14" s="2"/>
      <c r="AP14" s="55"/>
      <c r="AQ14" s="55"/>
    </row>
    <row r="15" spans="1:44" s="20" customFormat="1" ht="17" customHeight="1" x14ac:dyDescent="0.2">
      <c r="A15" s="53" t="s">
        <v>137</v>
      </c>
      <c r="B15" s="53" t="s">
        <v>137</v>
      </c>
      <c r="C15" s="53" t="s">
        <v>137</v>
      </c>
      <c r="D15" s="53"/>
      <c r="E15" s="53" t="s">
        <v>137</v>
      </c>
      <c r="F15" s="53" t="s">
        <v>137</v>
      </c>
      <c r="G15" s="53"/>
      <c r="H15" s="53" t="s">
        <v>137</v>
      </c>
      <c r="I15" s="53" t="s">
        <v>137</v>
      </c>
      <c r="J15" s="53" t="s">
        <v>137</v>
      </c>
      <c r="K15" s="53" t="s">
        <v>137</v>
      </c>
      <c r="L15" s="53" t="s">
        <v>137</v>
      </c>
      <c r="M15" s="53" t="s">
        <v>137</v>
      </c>
      <c r="N15" s="53" t="s">
        <v>137</v>
      </c>
      <c r="O15" s="53" t="s">
        <v>137</v>
      </c>
      <c r="P15" s="53" t="s">
        <v>137</v>
      </c>
      <c r="Q15" s="53" t="s">
        <v>137</v>
      </c>
      <c r="R15" s="53" t="s">
        <v>137</v>
      </c>
      <c r="S15" s="54" t="s">
        <v>137</v>
      </c>
      <c r="T15" s="53" t="s">
        <v>137</v>
      </c>
      <c r="U15" s="53" t="s">
        <v>137</v>
      </c>
      <c r="V15" s="53" t="s">
        <v>137</v>
      </c>
      <c r="W15" s="53" t="s">
        <v>137</v>
      </c>
      <c r="X15" s="53" t="s">
        <v>137</v>
      </c>
      <c r="Z15" s="53" t="s">
        <v>137</v>
      </c>
      <c r="AA15" s="53" t="s">
        <v>137</v>
      </c>
      <c r="AB15" s="53">
        <v>1</v>
      </c>
      <c r="AC15" s="53">
        <v>1</v>
      </c>
      <c r="AD15" s="53">
        <v>1</v>
      </c>
      <c r="AE15" s="53"/>
      <c r="AF15" s="53">
        <v>1</v>
      </c>
      <c r="AG15" s="53">
        <v>1</v>
      </c>
      <c r="AH15" s="53">
        <v>1</v>
      </c>
      <c r="AI15" s="53">
        <v>1</v>
      </c>
      <c r="AJ15" s="53">
        <v>1</v>
      </c>
      <c r="AK15" s="53">
        <v>1</v>
      </c>
      <c r="AL15" s="53">
        <v>1</v>
      </c>
      <c r="AM15" s="53">
        <v>1</v>
      </c>
      <c r="AN15" s="2"/>
      <c r="AP15" s="55"/>
      <c r="AQ15" s="55"/>
    </row>
    <row r="16" spans="1:44" s="20" customFormat="1" ht="17" customHeight="1" x14ac:dyDescent="0.2">
      <c r="A16" s="53" t="s">
        <v>137</v>
      </c>
      <c r="B16" s="53" t="s">
        <v>137</v>
      </c>
      <c r="C16" s="53" t="s">
        <v>137</v>
      </c>
      <c r="D16" s="53"/>
      <c r="E16" s="53" t="s">
        <v>137</v>
      </c>
      <c r="F16" s="53" t="s">
        <v>137</v>
      </c>
      <c r="G16" s="53"/>
      <c r="H16" s="53">
        <v>1</v>
      </c>
      <c r="I16" s="53">
        <v>1</v>
      </c>
      <c r="J16" s="53">
        <v>1</v>
      </c>
      <c r="K16" s="53">
        <v>1</v>
      </c>
      <c r="L16" s="53">
        <v>1</v>
      </c>
      <c r="M16" s="53">
        <v>1</v>
      </c>
      <c r="N16" s="53">
        <v>1</v>
      </c>
      <c r="O16" s="53">
        <v>1</v>
      </c>
      <c r="P16" s="53">
        <v>1</v>
      </c>
      <c r="Q16" s="53">
        <v>1</v>
      </c>
      <c r="R16" s="53">
        <v>1</v>
      </c>
      <c r="S16" s="54">
        <v>1</v>
      </c>
      <c r="T16" s="53">
        <v>1</v>
      </c>
      <c r="U16" s="53">
        <v>1</v>
      </c>
      <c r="V16" s="53">
        <v>0</v>
      </c>
      <c r="W16" s="53">
        <v>1</v>
      </c>
      <c r="X16" s="53">
        <v>1</v>
      </c>
      <c r="Z16" s="53">
        <v>1</v>
      </c>
      <c r="AA16" s="53">
        <v>1</v>
      </c>
      <c r="AB16" s="53">
        <v>1</v>
      </c>
      <c r="AC16" s="53">
        <v>1</v>
      </c>
      <c r="AD16" s="53">
        <v>1</v>
      </c>
      <c r="AE16" s="53"/>
      <c r="AF16" s="53">
        <v>1</v>
      </c>
      <c r="AG16" s="53">
        <v>1</v>
      </c>
      <c r="AH16" s="53">
        <v>1</v>
      </c>
      <c r="AI16" s="53">
        <v>1</v>
      </c>
      <c r="AJ16" s="53">
        <v>1</v>
      </c>
      <c r="AK16" s="53">
        <v>1</v>
      </c>
      <c r="AL16" s="53">
        <v>1</v>
      </c>
      <c r="AM16" s="53">
        <v>1</v>
      </c>
      <c r="AN16" s="2"/>
      <c r="AP16" s="55"/>
      <c r="AQ16" s="55"/>
    </row>
    <row r="17" spans="1:44" s="20" customFormat="1" ht="17" customHeight="1" x14ac:dyDescent="0.2">
      <c r="A17" s="53" t="s">
        <v>137</v>
      </c>
      <c r="B17" s="53" t="s">
        <v>137</v>
      </c>
      <c r="C17" s="53" t="s">
        <v>137</v>
      </c>
      <c r="D17" s="53"/>
      <c r="E17" s="53" t="s">
        <v>137</v>
      </c>
      <c r="F17" s="53" t="s">
        <v>137</v>
      </c>
      <c r="G17" s="53"/>
      <c r="H17" s="53" t="s">
        <v>137</v>
      </c>
      <c r="I17" s="53" t="s">
        <v>137</v>
      </c>
      <c r="J17" s="53" t="s">
        <v>137</v>
      </c>
      <c r="K17" s="53" t="s">
        <v>137</v>
      </c>
      <c r="L17" s="53" t="s">
        <v>137</v>
      </c>
      <c r="M17" s="53" t="s">
        <v>137</v>
      </c>
      <c r="N17" s="53" t="s">
        <v>137</v>
      </c>
      <c r="O17" s="53" t="s">
        <v>137</v>
      </c>
      <c r="P17" s="53" t="s">
        <v>137</v>
      </c>
      <c r="Q17" s="53" t="s">
        <v>137</v>
      </c>
      <c r="R17" s="53" t="s">
        <v>137</v>
      </c>
      <c r="S17" s="54" t="s">
        <v>137</v>
      </c>
      <c r="T17" s="53" t="s">
        <v>137</v>
      </c>
      <c r="U17" s="53" t="s">
        <v>137</v>
      </c>
      <c r="V17" s="53" t="s">
        <v>137</v>
      </c>
      <c r="W17" s="53" t="s">
        <v>137</v>
      </c>
      <c r="X17" s="53" t="s">
        <v>137</v>
      </c>
      <c r="Z17" s="53" t="s">
        <v>137</v>
      </c>
      <c r="AA17" s="53" t="s">
        <v>137</v>
      </c>
      <c r="AB17" s="53">
        <v>1</v>
      </c>
      <c r="AC17" s="53">
        <v>1</v>
      </c>
      <c r="AD17" s="53">
        <v>1</v>
      </c>
      <c r="AE17" s="53"/>
      <c r="AF17" s="53">
        <v>1</v>
      </c>
      <c r="AG17" s="53">
        <v>1</v>
      </c>
      <c r="AH17" s="53">
        <v>1</v>
      </c>
      <c r="AI17" s="53">
        <v>1</v>
      </c>
      <c r="AJ17" s="53">
        <v>1</v>
      </c>
      <c r="AK17" s="53">
        <v>1</v>
      </c>
      <c r="AL17" s="53">
        <v>1</v>
      </c>
      <c r="AM17" s="53">
        <v>1</v>
      </c>
      <c r="AN17" s="2"/>
      <c r="AP17" s="55"/>
      <c r="AQ17" s="55"/>
    </row>
    <row r="18" spans="1:44" s="20" customFormat="1" ht="17" customHeight="1" x14ac:dyDescent="0.2">
      <c r="A18" s="53" t="s">
        <v>137</v>
      </c>
      <c r="B18" s="53" t="s">
        <v>137</v>
      </c>
      <c r="C18" s="53" t="s">
        <v>137</v>
      </c>
      <c r="D18" s="53"/>
      <c r="E18" s="53" t="s">
        <v>137</v>
      </c>
      <c r="F18" s="53" t="s">
        <v>137</v>
      </c>
      <c r="G18" s="53" t="s">
        <v>137</v>
      </c>
      <c r="H18" s="53">
        <v>1</v>
      </c>
      <c r="I18" s="53">
        <v>1</v>
      </c>
      <c r="J18" s="53">
        <v>1</v>
      </c>
      <c r="K18" s="53">
        <v>1</v>
      </c>
      <c r="L18" s="53">
        <v>1</v>
      </c>
      <c r="M18" s="53">
        <v>1</v>
      </c>
      <c r="N18" s="53">
        <v>1</v>
      </c>
      <c r="O18" s="53">
        <v>1</v>
      </c>
      <c r="P18" s="53">
        <v>1</v>
      </c>
      <c r="Q18" s="53">
        <v>1</v>
      </c>
      <c r="R18" s="53">
        <v>0</v>
      </c>
      <c r="S18" s="54">
        <v>1</v>
      </c>
      <c r="T18" s="53">
        <v>0</v>
      </c>
      <c r="U18" s="53">
        <v>0</v>
      </c>
      <c r="V18" s="53">
        <v>0</v>
      </c>
      <c r="W18" s="53">
        <v>1</v>
      </c>
      <c r="X18" s="53">
        <v>1</v>
      </c>
      <c r="Z18" s="53">
        <v>1</v>
      </c>
      <c r="AA18" s="53">
        <v>1</v>
      </c>
      <c r="AB18" s="53">
        <v>1</v>
      </c>
      <c r="AC18" s="53">
        <v>1</v>
      </c>
      <c r="AD18" s="53">
        <v>1</v>
      </c>
      <c r="AE18" s="53"/>
      <c r="AF18" s="53">
        <v>1</v>
      </c>
      <c r="AG18" s="53">
        <v>1</v>
      </c>
      <c r="AH18" s="53">
        <v>1</v>
      </c>
      <c r="AI18" s="53">
        <v>1</v>
      </c>
      <c r="AJ18" s="53">
        <v>1</v>
      </c>
      <c r="AK18" s="53">
        <v>1</v>
      </c>
      <c r="AL18" s="53">
        <v>1</v>
      </c>
      <c r="AM18" s="53">
        <v>1</v>
      </c>
      <c r="AN18" s="2"/>
      <c r="AP18" s="55"/>
      <c r="AQ18" s="55"/>
    </row>
    <row r="19" spans="1:44" s="20" customFormat="1" ht="17" customHeight="1" x14ac:dyDescent="0.2">
      <c r="A19" s="53" t="s">
        <v>137</v>
      </c>
      <c r="B19" s="53" t="s">
        <v>137</v>
      </c>
      <c r="C19" s="53" t="s">
        <v>137</v>
      </c>
      <c r="D19" s="53"/>
      <c r="E19" s="53" t="s">
        <v>137</v>
      </c>
      <c r="F19" s="53" t="s">
        <v>137</v>
      </c>
      <c r="G19" s="53" t="s">
        <v>137</v>
      </c>
      <c r="H19" s="53" t="s">
        <v>137</v>
      </c>
      <c r="I19" s="53" t="s">
        <v>137</v>
      </c>
      <c r="J19" s="53" t="s">
        <v>137</v>
      </c>
      <c r="K19" s="53" t="s">
        <v>137</v>
      </c>
      <c r="L19" s="53" t="s">
        <v>137</v>
      </c>
      <c r="M19" s="53" t="s">
        <v>137</v>
      </c>
      <c r="N19" s="53" t="s">
        <v>137</v>
      </c>
      <c r="O19" s="53" t="s">
        <v>137</v>
      </c>
      <c r="P19" s="53" t="s">
        <v>137</v>
      </c>
      <c r="Q19" s="53" t="s">
        <v>137</v>
      </c>
      <c r="R19" s="53" t="s">
        <v>137</v>
      </c>
      <c r="S19" s="54" t="s">
        <v>137</v>
      </c>
      <c r="T19" s="53" t="s">
        <v>137</v>
      </c>
      <c r="U19" s="53" t="s">
        <v>137</v>
      </c>
      <c r="V19" s="53" t="s">
        <v>137</v>
      </c>
      <c r="W19" s="20">
        <v>1</v>
      </c>
      <c r="X19" s="53" t="s">
        <v>137</v>
      </c>
      <c r="Z19" s="53" t="s">
        <v>137</v>
      </c>
      <c r="AA19" s="53" t="s">
        <v>137</v>
      </c>
      <c r="AB19" s="53">
        <v>1</v>
      </c>
      <c r="AC19" s="53">
        <v>1</v>
      </c>
      <c r="AD19" s="53">
        <v>1</v>
      </c>
      <c r="AE19" s="53"/>
      <c r="AF19" s="53">
        <v>1</v>
      </c>
      <c r="AG19" s="53">
        <v>1</v>
      </c>
      <c r="AH19" s="53">
        <v>1</v>
      </c>
      <c r="AI19" s="53">
        <v>1</v>
      </c>
      <c r="AJ19" s="53">
        <v>1</v>
      </c>
      <c r="AK19" s="53">
        <v>1</v>
      </c>
      <c r="AL19" s="53">
        <v>1</v>
      </c>
      <c r="AM19" s="53">
        <v>1</v>
      </c>
      <c r="AN19" s="2"/>
      <c r="AP19" s="55"/>
      <c r="AQ19" s="55"/>
    </row>
    <row r="20" spans="1:44" s="20" customFormat="1" ht="17" customHeight="1" x14ac:dyDescent="0.2">
      <c r="A20" s="53">
        <v>1</v>
      </c>
      <c r="B20" s="53">
        <v>1</v>
      </c>
      <c r="C20" s="53">
        <v>1</v>
      </c>
      <c r="D20" s="53"/>
      <c r="E20" s="53">
        <v>1</v>
      </c>
      <c r="F20" s="53">
        <v>1</v>
      </c>
      <c r="G20" s="53">
        <v>1</v>
      </c>
      <c r="H20" s="53">
        <v>1</v>
      </c>
      <c r="I20" s="53">
        <v>1</v>
      </c>
      <c r="J20" s="53">
        <v>1</v>
      </c>
      <c r="K20" s="53">
        <v>1</v>
      </c>
      <c r="L20" s="53">
        <v>1</v>
      </c>
      <c r="M20" s="53">
        <v>1</v>
      </c>
      <c r="N20" s="53">
        <v>1</v>
      </c>
      <c r="O20" s="20">
        <v>0</v>
      </c>
      <c r="P20" s="53">
        <v>1</v>
      </c>
      <c r="Q20" s="53">
        <v>1</v>
      </c>
      <c r="R20" s="53">
        <v>1</v>
      </c>
      <c r="S20" s="54">
        <v>1</v>
      </c>
      <c r="T20" s="53">
        <v>1</v>
      </c>
      <c r="U20" s="53">
        <v>1</v>
      </c>
      <c r="V20" s="53">
        <v>1</v>
      </c>
      <c r="W20" s="20">
        <v>0</v>
      </c>
      <c r="X20" s="53">
        <v>1</v>
      </c>
      <c r="Z20" s="53">
        <v>1</v>
      </c>
      <c r="AA20" s="53">
        <v>0</v>
      </c>
      <c r="AB20" s="53">
        <v>1</v>
      </c>
      <c r="AC20" s="53">
        <v>0</v>
      </c>
      <c r="AD20" s="53">
        <v>1</v>
      </c>
      <c r="AE20" s="53"/>
      <c r="AF20" s="53">
        <v>1</v>
      </c>
      <c r="AG20" s="53">
        <v>1</v>
      </c>
      <c r="AH20" s="53">
        <v>1</v>
      </c>
      <c r="AI20" s="53">
        <v>1</v>
      </c>
      <c r="AJ20" s="53">
        <v>1</v>
      </c>
      <c r="AK20" s="53">
        <v>1</v>
      </c>
      <c r="AL20" s="53">
        <v>1</v>
      </c>
      <c r="AM20" s="53">
        <v>1</v>
      </c>
      <c r="AN20" s="2"/>
      <c r="AP20" s="55"/>
      <c r="AQ20" s="55"/>
    </row>
    <row r="21" spans="1:44" s="20" customFormat="1" ht="17" customHeight="1" x14ac:dyDescent="0.2">
      <c r="A21" s="53" t="s">
        <v>137</v>
      </c>
      <c r="B21" s="53" t="s">
        <v>137</v>
      </c>
      <c r="C21" s="53" t="s">
        <v>137</v>
      </c>
      <c r="D21" s="53"/>
      <c r="E21" s="53" t="s">
        <v>137</v>
      </c>
      <c r="F21" s="53" t="s">
        <v>137</v>
      </c>
      <c r="G21" s="53" t="s">
        <v>137</v>
      </c>
      <c r="H21" s="53">
        <v>1</v>
      </c>
      <c r="I21" s="53">
        <v>1</v>
      </c>
      <c r="J21" s="53">
        <v>1</v>
      </c>
      <c r="K21" s="53">
        <v>1</v>
      </c>
      <c r="L21" s="53">
        <v>1</v>
      </c>
      <c r="M21" s="53">
        <v>1</v>
      </c>
      <c r="N21" s="53">
        <v>1</v>
      </c>
      <c r="O21" s="20">
        <v>0</v>
      </c>
      <c r="P21" s="53">
        <v>1</v>
      </c>
      <c r="Q21" s="53">
        <v>1</v>
      </c>
      <c r="R21" s="53">
        <v>1</v>
      </c>
      <c r="S21" s="54">
        <v>1</v>
      </c>
      <c r="T21" s="53">
        <v>1</v>
      </c>
      <c r="U21" s="53">
        <v>1</v>
      </c>
      <c r="V21" s="53">
        <v>1</v>
      </c>
      <c r="W21" s="20">
        <v>0</v>
      </c>
      <c r="X21" s="53">
        <v>1</v>
      </c>
      <c r="Z21" s="53">
        <v>1</v>
      </c>
      <c r="AA21" s="53">
        <v>0</v>
      </c>
      <c r="AB21" s="53">
        <v>1</v>
      </c>
      <c r="AC21" s="53">
        <v>0</v>
      </c>
      <c r="AD21" s="53">
        <v>1</v>
      </c>
      <c r="AE21" s="53"/>
      <c r="AF21" s="53">
        <v>1</v>
      </c>
      <c r="AG21" s="53">
        <v>1</v>
      </c>
      <c r="AH21" s="53">
        <v>1</v>
      </c>
      <c r="AI21" s="53">
        <v>1</v>
      </c>
      <c r="AJ21" s="53">
        <v>1</v>
      </c>
      <c r="AK21" s="53">
        <v>1</v>
      </c>
      <c r="AL21" s="53">
        <v>1</v>
      </c>
      <c r="AM21" s="53">
        <v>1</v>
      </c>
      <c r="AN21" s="2"/>
      <c r="AP21" s="55"/>
      <c r="AQ21" s="55"/>
    </row>
    <row r="22" spans="1:44" s="66" customFormat="1" ht="17" customHeight="1" thickBot="1" x14ac:dyDescent="0.25">
      <c r="A22" s="65" t="s">
        <v>137</v>
      </c>
      <c r="B22" s="65" t="s">
        <v>137</v>
      </c>
      <c r="C22" s="65" t="s">
        <v>137</v>
      </c>
      <c r="D22" s="65"/>
      <c r="E22" s="65" t="s">
        <v>137</v>
      </c>
      <c r="F22" s="65" t="s">
        <v>137</v>
      </c>
      <c r="G22" s="65" t="s">
        <v>137</v>
      </c>
      <c r="H22" s="65">
        <v>1</v>
      </c>
      <c r="I22" s="65">
        <v>1</v>
      </c>
      <c r="J22" s="65">
        <v>1</v>
      </c>
      <c r="K22" s="65">
        <v>1</v>
      </c>
      <c r="L22" s="65">
        <v>1</v>
      </c>
      <c r="M22" s="65">
        <v>1</v>
      </c>
      <c r="N22" s="65">
        <v>1</v>
      </c>
      <c r="O22" s="66">
        <v>0</v>
      </c>
      <c r="P22" s="65">
        <v>1</v>
      </c>
      <c r="Q22" s="65">
        <v>1</v>
      </c>
      <c r="R22" s="65">
        <v>1</v>
      </c>
      <c r="S22" s="67">
        <v>1</v>
      </c>
      <c r="T22" s="65">
        <v>1</v>
      </c>
      <c r="U22" s="65">
        <v>1</v>
      </c>
      <c r="V22" s="65">
        <v>1</v>
      </c>
      <c r="W22" s="66">
        <v>0</v>
      </c>
      <c r="X22" s="65">
        <v>1</v>
      </c>
      <c r="Y22" s="20"/>
      <c r="Z22" s="65">
        <v>1</v>
      </c>
      <c r="AA22" s="65">
        <v>0</v>
      </c>
      <c r="AB22" s="65">
        <v>1</v>
      </c>
      <c r="AC22" s="65">
        <v>0</v>
      </c>
      <c r="AD22" s="65">
        <v>1</v>
      </c>
      <c r="AE22" s="65"/>
      <c r="AF22" s="65">
        <v>1</v>
      </c>
      <c r="AG22" s="65">
        <v>1</v>
      </c>
      <c r="AH22" s="65">
        <v>1</v>
      </c>
      <c r="AI22" s="65">
        <v>1</v>
      </c>
      <c r="AJ22" s="65">
        <v>1</v>
      </c>
      <c r="AK22" s="65">
        <v>1</v>
      </c>
      <c r="AL22" s="65">
        <v>1</v>
      </c>
      <c r="AM22" s="65">
        <v>1</v>
      </c>
      <c r="AN22" s="68"/>
      <c r="AP22" s="69"/>
      <c r="AQ22" s="69"/>
    </row>
    <row r="23" spans="1:44" s="70" customFormat="1" ht="17" customHeight="1" thickTop="1" x14ac:dyDescent="0.2">
      <c r="A23" s="70">
        <v>1</v>
      </c>
      <c r="B23" s="70">
        <v>1</v>
      </c>
      <c r="C23" s="70">
        <v>1</v>
      </c>
      <c r="E23" s="70">
        <v>1</v>
      </c>
      <c r="F23" s="70">
        <v>1</v>
      </c>
      <c r="G23" s="70">
        <v>1</v>
      </c>
      <c r="H23" s="70">
        <v>1</v>
      </c>
      <c r="I23" s="70">
        <v>1</v>
      </c>
      <c r="J23" s="70">
        <v>1</v>
      </c>
      <c r="K23" s="70">
        <v>1</v>
      </c>
      <c r="L23" s="70">
        <v>1</v>
      </c>
      <c r="M23" s="70">
        <v>1</v>
      </c>
      <c r="N23" s="70">
        <v>1</v>
      </c>
      <c r="O23" s="70">
        <v>1</v>
      </c>
      <c r="P23" s="70">
        <v>1</v>
      </c>
      <c r="Q23" s="70">
        <v>1</v>
      </c>
      <c r="R23" s="70">
        <v>1</v>
      </c>
      <c r="S23" s="70">
        <v>1</v>
      </c>
      <c r="T23" s="70">
        <v>1</v>
      </c>
      <c r="U23" s="70">
        <v>1</v>
      </c>
      <c r="V23" s="70">
        <v>1</v>
      </c>
      <c r="W23" s="70">
        <v>1</v>
      </c>
      <c r="X23" s="70">
        <v>1</v>
      </c>
      <c r="Y23" s="20"/>
      <c r="Z23" s="70">
        <v>1</v>
      </c>
      <c r="AA23" s="70">
        <v>1</v>
      </c>
      <c r="AB23" s="70">
        <v>1</v>
      </c>
      <c r="AC23" s="70">
        <v>0</v>
      </c>
      <c r="AD23" s="70">
        <v>1</v>
      </c>
      <c r="AF23" s="70">
        <v>1</v>
      </c>
      <c r="AG23" s="70">
        <v>1</v>
      </c>
      <c r="AH23" s="70">
        <v>1</v>
      </c>
      <c r="AI23" s="70">
        <v>1</v>
      </c>
      <c r="AJ23" s="70">
        <v>1</v>
      </c>
      <c r="AK23" s="70">
        <v>1</v>
      </c>
      <c r="AL23" s="70">
        <v>1</v>
      </c>
      <c r="AM23" s="70">
        <v>1</v>
      </c>
      <c r="AN23" s="71"/>
    </row>
    <row r="24" spans="1:44" s="20" customFormat="1" ht="17" customHeight="1" x14ac:dyDescent="0.2">
      <c r="A24" s="20" t="s">
        <v>137</v>
      </c>
      <c r="B24" s="20" t="s">
        <v>137</v>
      </c>
      <c r="C24" s="20" t="s">
        <v>137</v>
      </c>
      <c r="E24" s="20" t="s">
        <v>137</v>
      </c>
      <c r="F24" s="20" t="s">
        <v>137</v>
      </c>
      <c r="G24" s="20" t="s">
        <v>137</v>
      </c>
      <c r="H24" s="20">
        <v>1</v>
      </c>
      <c r="I24" s="20">
        <v>1</v>
      </c>
      <c r="J24" s="20">
        <v>1</v>
      </c>
      <c r="K24" s="20">
        <v>1</v>
      </c>
      <c r="L24" s="20">
        <v>1</v>
      </c>
      <c r="M24" s="20">
        <v>1</v>
      </c>
      <c r="N24" s="20">
        <v>1</v>
      </c>
      <c r="O24" s="20">
        <v>1</v>
      </c>
      <c r="P24" s="20">
        <v>1</v>
      </c>
      <c r="Q24" s="20">
        <v>1</v>
      </c>
      <c r="R24" s="20">
        <v>1</v>
      </c>
      <c r="S24" s="20">
        <v>1</v>
      </c>
      <c r="T24" s="20">
        <v>1</v>
      </c>
      <c r="U24" s="20">
        <v>1</v>
      </c>
      <c r="V24" s="20">
        <v>1</v>
      </c>
      <c r="W24" s="20">
        <v>1</v>
      </c>
      <c r="X24" s="20">
        <v>1</v>
      </c>
      <c r="Z24" s="20">
        <v>1</v>
      </c>
      <c r="AA24" s="20">
        <v>1</v>
      </c>
      <c r="AB24" s="20">
        <v>1</v>
      </c>
      <c r="AC24" s="20">
        <v>0</v>
      </c>
      <c r="AD24" s="20">
        <v>1</v>
      </c>
      <c r="AF24" s="20">
        <v>1</v>
      </c>
      <c r="AG24" s="20">
        <v>1</v>
      </c>
      <c r="AH24" s="20">
        <v>1</v>
      </c>
      <c r="AI24" s="20">
        <v>1</v>
      </c>
      <c r="AJ24" s="20">
        <v>1</v>
      </c>
      <c r="AK24" s="20">
        <v>1</v>
      </c>
      <c r="AL24" s="20">
        <v>1</v>
      </c>
      <c r="AM24" s="20">
        <v>1</v>
      </c>
      <c r="AN24" s="2" t="s">
        <v>128</v>
      </c>
      <c r="AO24" s="20" t="s">
        <v>129</v>
      </c>
      <c r="AP24" s="20" t="s">
        <v>130</v>
      </c>
      <c r="AQ24" s="20" t="s">
        <v>131</v>
      </c>
      <c r="AR24" s="55" t="s">
        <v>132</v>
      </c>
    </row>
    <row r="25" spans="1:44" s="20" customFormat="1" ht="17" customHeight="1" x14ac:dyDescent="0.2">
      <c r="A25" s="20" t="s">
        <v>137</v>
      </c>
      <c r="B25" s="20" t="s">
        <v>137</v>
      </c>
      <c r="C25" s="20" t="s">
        <v>137</v>
      </c>
      <c r="E25" s="20" t="s">
        <v>137</v>
      </c>
      <c r="F25" s="20" t="s">
        <v>137</v>
      </c>
      <c r="G25" s="20" t="s">
        <v>137</v>
      </c>
      <c r="H25" s="20">
        <v>1</v>
      </c>
      <c r="I25" s="20">
        <v>1</v>
      </c>
      <c r="J25" s="20">
        <v>1</v>
      </c>
      <c r="K25" s="20">
        <v>1</v>
      </c>
      <c r="L25" s="20">
        <v>1</v>
      </c>
      <c r="M25" s="20">
        <v>1</v>
      </c>
      <c r="N25" s="20">
        <v>1</v>
      </c>
      <c r="O25" s="20">
        <v>1</v>
      </c>
      <c r="P25" s="20">
        <v>1</v>
      </c>
      <c r="Q25" s="20">
        <v>1</v>
      </c>
      <c r="R25" s="20">
        <v>1</v>
      </c>
      <c r="S25" s="20">
        <v>1</v>
      </c>
      <c r="T25" s="20">
        <v>1</v>
      </c>
      <c r="U25" s="20">
        <v>1</v>
      </c>
      <c r="V25" s="20">
        <v>1</v>
      </c>
      <c r="W25" s="20">
        <v>1</v>
      </c>
      <c r="X25" s="20">
        <v>1</v>
      </c>
      <c r="Z25" s="20">
        <v>1</v>
      </c>
      <c r="AA25" s="20">
        <v>1</v>
      </c>
      <c r="AB25" s="20">
        <v>1</v>
      </c>
      <c r="AC25" s="20">
        <v>0</v>
      </c>
      <c r="AD25" s="20">
        <v>1</v>
      </c>
      <c r="AF25" s="20">
        <v>1</v>
      </c>
      <c r="AG25" s="20">
        <v>1</v>
      </c>
      <c r="AH25" s="20">
        <v>1</v>
      </c>
      <c r="AI25" s="20">
        <v>1</v>
      </c>
      <c r="AJ25" s="20">
        <v>1</v>
      </c>
      <c r="AK25" s="20">
        <v>1</v>
      </c>
      <c r="AL25" s="20">
        <v>1</v>
      </c>
      <c r="AM25" s="20">
        <v>1</v>
      </c>
      <c r="AN25" s="2" t="s">
        <v>133</v>
      </c>
      <c r="AO25" s="20" t="s">
        <v>217</v>
      </c>
      <c r="AP25" s="54">
        <f>SUM(A23:G45)</f>
        <v>30</v>
      </c>
      <c r="AQ25" s="54">
        <f>COUNT(A23:G45)</f>
        <v>30</v>
      </c>
      <c r="AR25" s="55">
        <f>AP25/AQ25</f>
        <v>1</v>
      </c>
    </row>
    <row r="26" spans="1:44" s="20" customFormat="1" ht="17" customHeight="1" x14ac:dyDescent="0.2">
      <c r="A26" s="20">
        <v>1</v>
      </c>
      <c r="B26" s="20">
        <v>1</v>
      </c>
      <c r="C26" s="20">
        <v>1</v>
      </c>
      <c r="E26" s="20">
        <v>1</v>
      </c>
      <c r="F26" s="20">
        <v>1</v>
      </c>
      <c r="G26" s="20">
        <v>1</v>
      </c>
      <c r="H26" s="20">
        <v>1</v>
      </c>
      <c r="I26" s="20">
        <v>1</v>
      </c>
      <c r="J26" s="20">
        <v>0</v>
      </c>
      <c r="K26" s="20">
        <v>1</v>
      </c>
      <c r="L26" s="20">
        <v>1</v>
      </c>
      <c r="M26" s="20">
        <v>1</v>
      </c>
      <c r="N26" s="20">
        <v>1</v>
      </c>
      <c r="O26" s="20">
        <v>1</v>
      </c>
      <c r="P26" s="20">
        <v>1</v>
      </c>
      <c r="Q26" s="20">
        <v>1</v>
      </c>
      <c r="R26" s="20">
        <v>1</v>
      </c>
      <c r="S26" s="20">
        <v>1</v>
      </c>
      <c r="T26" s="20">
        <v>1</v>
      </c>
      <c r="U26" s="20">
        <v>1</v>
      </c>
      <c r="V26" s="20">
        <v>1</v>
      </c>
      <c r="W26" s="20">
        <v>1</v>
      </c>
      <c r="X26" s="62">
        <v>1</v>
      </c>
      <c r="Y26" s="62"/>
      <c r="Z26" s="20">
        <v>1</v>
      </c>
      <c r="AA26" s="20">
        <v>1</v>
      </c>
      <c r="AB26" s="20">
        <v>1</v>
      </c>
      <c r="AC26" s="20">
        <v>1</v>
      </c>
      <c r="AD26" s="20">
        <v>1</v>
      </c>
      <c r="AF26" s="20">
        <v>0</v>
      </c>
      <c r="AG26" s="20">
        <v>1</v>
      </c>
      <c r="AH26" s="20">
        <v>1</v>
      </c>
      <c r="AI26" s="20">
        <v>1</v>
      </c>
      <c r="AJ26" s="20">
        <v>1</v>
      </c>
      <c r="AK26" s="20">
        <v>1</v>
      </c>
      <c r="AL26" s="20">
        <v>1</v>
      </c>
      <c r="AM26" s="20">
        <v>1</v>
      </c>
      <c r="AN26" s="2" t="s">
        <v>135</v>
      </c>
      <c r="AO26" s="20" t="s">
        <v>218</v>
      </c>
      <c r="AP26" s="54">
        <f>SUM(H23:Q45)</f>
        <v>156</v>
      </c>
      <c r="AQ26" s="20">
        <f>COUNT(H23:Q45)</f>
        <v>160</v>
      </c>
      <c r="AR26" s="55">
        <f>AP26/AQ26</f>
        <v>0.97499999999999998</v>
      </c>
    </row>
    <row r="27" spans="1:44" s="20" customFormat="1" ht="17" customHeight="1" x14ac:dyDescent="0.2">
      <c r="A27" s="20" t="s">
        <v>137</v>
      </c>
      <c r="B27" s="20" t="s">
        <v>137</v>
      </c>
      <c r="C27" s="20" t="s">
        <v>137</v>
      </c>
      <c r="E27" s="20" t="s">
        <v>137</v>
      </c>
      <c r="F27" s="20" t="s">
        <v>137</v>
      </c>
      <c r="G27" s="20" t="s">
        <v>137</v>
      </c>
      <c r="H27" s="20" t="s">
        <v>137</v>
      </c>
      <c r="I27" s="20" t="s">
        <v>137</v>
      </c>
      <c r="J27" s="20" t="s">
        <v>137</v>
      </c>
      <c r="K27" s="20" t="s">
        <v>137</v>
      </c>
      <c r="L27" s="20" t="s">
        <v>137</v>
      </c>
      <c r="M27" s="20" t="s">
        <v>137</v>
      </c>
      <c r="N27" s="20" t="s">
        <v>137</v>
      </c>
      <c r="O27" s="20" t="s">
        <v>137</v>
      </c>
      <c r="P27" s="20" t="s">
        <v>137</v>
      </c>
      <c r="Q27" s="20" t="s">
        <v>137</v>
      </c>
      <c r="R27" s="20" t="s">
        <v>137</v>
      </c>
      <c r="S27" s="20" t="s">
        <v>137</v>
      </c>
      <c r="T27" s="20" t="s">
        <v>137</v>
      </c>
      <c r="U27" s="20" t="s">
        <v>137</v>
      </c>
      <c r="V27" s="20" t="s">
        <v>137</v>
      </c>
      <c r="W27" s="20" t="s">
        <v>137</v>
      </c>
      <c r="X27" s="20" t="s">
        <v>137</v>
      </c>
      <c r="Z27" s="20" t="s">
        <v>137</v>
      </c>
      <c r="AA27" s="20" t="s">
        <v>137</v>
      </c>
      <c r="AB27" s="20">
        <v>1</v>
      </c>
      <c r="AC27" s="20">
        <v>1</v>
      </c>
      <c r="AD27" s="20">
        <v>1</v>
      </c>
      <c r="AF27" s="62">
        <v>1</v>
      </c>
      <c r="AG27" s="62">
        <v>1</v>
      </c>
      <c r="AH27" s="62">
        <v>1</v>
      </c>
      <c r="AI27" s="20">
        <v>1</v>
      </c>
      <c r="AJ27" s="20">
        <v>1</v>
      </c>
      <c r="AK27" s="20">
        <v>1</v>
      </c>
      <c r="AL27" s="20">
        <v>1</v>
      </c>
      <c r="AM27" s="20">
        <v>1</v>
      </c>
      <c r="AN27" s="2" t="s">
        <v>138</v>
      </c>
      <c r="AO27" s="20" t="s">
        <v>219</v>
      </c>
      <c r="AP27" s="54">
        <f>SUM(R23:AA45)</f>
        <v>131</v>
      </c>
      <c r="AQ27" s="20">
        <f>COUNT(R23:AA45)</f>
        <v>144</v>
      </c>
      <c r="AR27" s="55">
        <f>AP27/AQ27</f>
        <v>0.90972222222222221</v>
      </c>
    </row>
    <row r="28" spans="1:44" s="20" customFormat="1" ht="17" customHeight="1" x14ac:dyDescent="0.2">
      <c r="A28" s="20" t="s">
        <v>137</v>
      </c>
      <c r="B28" s="20" t="s">
        <v>137</v>
      </c>
      <c r="C28" s="20" t="s">
        <v>137</v>
      </c>
      <c r="E28" s="20" t="s">
        <v>137</v>
      </c>
      <c r="F28" s="20" t="s">
        <v>137</v>
      </c>
      <c r="G28" s="20" t="s">
        <v>137</v>
      </c>
      <c r="H28" s="20">
        <v>1</v>
      </c>
      <c r="I28" s="20">
        <v>1</v>
      </c>
      <c r="J28" s="20">
        <v>0</v>
      </c>
      <c r="K28" s="20">
        <v>1</v>
      </c>
      <c r="L28" s="20">
        <v>1</v>
      </c>
      <c r="M28" s="20">
        <v>1</v>
      </c>
      <c r="N28" s="20">
        <v>1</v>
      </c>
      <c r="O28" s="20">
        <v>1</v>
      </c>
      <c r="P28" s="20">
        <v>1</v>
      </c>
      <c r="Q28" s="20">
        <v>1</v>
      </c>
      <c r="R28" s="20">
        <v>1</v>
      </c>
      <c r="S28" s="20">
        <v>1</v>
      </c>
      <c r="T28" s="20">
        <v>1</v>
      </c>
      <c r="U28" s="20">
        <v>1</v>
      </c>
      <c r="V28" s="20">
        <v>0</v>
      </c>
      <c r="W28" s="20">
        <v>1</v>
      </c>
      <c r="X28" s="62">
        <v>1</v>
      </c>
      <c r="Y28" s="62"/>
      <c r="Z28" s="20">
        <v>1</v>
      </c>
      <c r="AA28" s="20">
        <v>1</v>
      </c>
      <c r="AB28" s="20">
        <v>1</v>
      </c>
      <c r="AC28" s="20">
        <v>1</v>
      </c>
      <c r="AD28" s="20">
        <v>1</v>
      </c>
      <c r="AF28" s="20">
        <v>1</v>
      </c>
      <c r="AG28" s="20">
        <v>1</v>
      </c>
      <c r="AH28" s="20">
        <v>1</v>
      </c>
      <c r="AI28" s="20">
        <v>1</v>
      </c>
      <c r="AJ28" s="20">
        <v>1</v>
      </c>
      <c r="AK28" s="20">
        <v>1</v>
      </c>
      <c r="AL28" s="20">
        <v>1</v>
      </c>
      <c r="AM28" s="20">
        <v>1</v>
      </c>
      <c r="AN28" s="2" t="s">
        <v>140</v>
      </c>
      <c r="AO28" s="20" t="s">
        <v>220</v>
      </c>
      <c r="AP28" s="54">
        <f>SUM(AB23:AM45)</f>
        <v>247</v>
      </c>
      <c r="AQ28" s="20">
        <f>COUNT(AB23:AM45)</f>
        <v>253</v>
      </c>
      <c r="AR28" s="55">
        <f>AP28/AQ28</f>
        <v>0.97628458498023718</v>
      </c>
    </row>
    <row r="29" spans="1:44" s="20" customFormat="1" ht="17" customHeight="1" x14ac:dyDescent="0.2">
      <c r="A29" s="20" t="s">
        <v>137</v>
      </c>
      <c r="B29" s="20" t="s">
        <v>137</v>
      </c>
      <c r="C29" s="20" t="s">
        <v>137</v>
      </c>
      <c r="E29" s="20" t="s">
        <v>137</v>
      </c>
      <c r="F29" s="20" t="s">
        <v>137</v>
      </c>
      <c r="G29" s="20" t="s">
        <v>137</v>
      </c>
      <c r="H29" s="20" t="s">
        <v>137</v>
      </c>
      <c r="I29" s="20" t="s">
        <v>137</v>
      </c>
      <c r="J29" s="20" t="s">
        <v>137</v>
      </c>
      <c r="K29" s="20" t="s">
        <v>137</v>
      </c>
      <c r="L29" s="20" t="s">
        <v>137</v>
      </c>
      <c r="M29" s="20" t="s">
        <v>137</v>
      </c>
      <c r="N29" s="20" t="s">
        <v>137</v>
      </c>
      <c r="O29" s="20" t="s">
        <v>137</v>
      </c>
      <c r="P29" s="20" t="s">
        <v>137</v>
      </c>
      <c r="Q29" s="20" t="s">
        <v>137</v>
      </c>
      <c r="R29" s="20" t="s">
        <v>137</v>
      </c>
      <c r="S29" s="20" t="s">
        <v>137</v>
      </c>
      <c r="T29" s="20" t="s">
        <v>137</v>
      </c>
      <c r="U29" s="20" t="s">
        <v>137</v>
      </c>
      <c r="V29" s="20" t="s">
        <v>137</v>
      </c>
      <c r="W29" s="20" t="s">
        <v>137</v>
      </c>
      <c r="X29" s="20" t="s">
        <v>137</v>
      </c>
      <c r="Z29" s="20" t="s">
        <v>137</v>
      </c>
      <c r="AA29" s="20" t="s">
        <v>137</v>
      </c>
      <c r="AB29" s="20">
        <v>1</v>
      </c>
      <c r="AC29" s="20">
        <v>1</v>
      </c>
      <c r="AD29" s="20">
        <v>1</v>
      </c>
      <c r="AF29" s="62">
        <v>1</v>
      </c>
      <c r="AG29" s="62">
        <v>1</v>
      </c>
      <c r="AH29" s="62">
        <v>1</v>
      </c>
      <c r="AI29" s="20">
        <v>1</v>
      </c>
      <c r="AJ29" s="20">
        <v>1</v>
      </c>
      <c r="AK29" s="20">
        <v>1</v>
      </c>
      <c r="AL29" s="20">
        <v>1</v>
      </c>
      <c r="AM29" s="20">
        <v>1</v>
      </c>
      <c r="AN29" s="2"/>
      <c r="AR29" s="55"/>
    </row>
    <row r="30" spans="1:44" s="20" customFormat="1" ht="17" customHeight="1" x14ac:dyDescent="0.2">
      <c r="A30" s="20" t="s">
        <v>137</v>
      </c>
      <c r="B30" s="20" t="s">
        <v>137</v>
      </c>
      <c r="C30" s="20" t="s">
        <v>137</v>
      </c>
      <c r="E30" s="20" t="s">
        <v>137</v>
      </c>
      <c r="F30" s="20" t="s">
        <v>137</v>
      </c>
      <c r="G30" s="20" t="s">
        <v>137</v>
      </c>
      <c r="H30" s="20">
        <v>1</v>
      </c>
      <c r="I30" s="20">
        <v>1</v>
      </c>
      <c r="J30" s="20">
        <v>0</v>
      </c>
      <c r="K30" s="20">
        <v>1</v>
      </c>
      <c r="L30" s="20">
        <v>1</v>
      </c>
      <c r="M30" s="20">
        <v>1</v>
      </c>
      <c r="N30" s="20">
        <v>1</v>
      </c>
      <c r="O30" s="20">
        <v>1</v>
      </c>
      <c r="P30" s="20">
        <v>1</v>
      </c>
      <c r="Q30" s="20">
        <v>1</v>
      </c>
      <c r="R30" s="20">
        <v>1</v>
      </c>
      <c r="S30" s="20">
        <v>1</v>
      </c>
      <c r="T30" s="20">
        <v>1</v>
      </c>
      <c r="U30" s="20">
        <v>1</v>
      </c>
      <c r="V30" s="20">
        <v>0</v>
      </c>
      <c r="W30" s="20">
        <v>1</v>
      </c>
      <c r="X30" s="62">
        <v>1</v>
      </c>
      <c r="Y30" s="62"/>
      <c r="Z30" s="20">
        <v>1</v>
      </c>
      <c r="AA30" s="20">
        <v>1</v>
      </c>
      <c r="AB30" s="20">
        <v>1</v>
      </c>
      <c r="AC30" s="20">
        <v>1</v>
      </c>
      <c r="AD30" s="20">
        <v>1</v>
      </c>
      <c r="AF30" s="20">
        <v>1</v>
      </c>
      <c r="AG30" s="20">
        <v>1</v>
      </c>
      <c r="AH30" s="20">
        <v>1</v>
      </c>
      <c r="AI30" s="20">
        <v>1</v>
      </c>
      <c r="AJ30" s="20">
        <v>1</v>
      </c>
      <c r="AK30" s="20">
        <v>1</v>
      </c>
      <c r="AL30" s="20">
        <v>1</v>
      </c>
      <c r="AM30" s="20">
        <v>1</v>
      </c>
      <c r="AN30" s="2" t="s">
        <v>142</v>
      </c>
      <c r="AO30" s="20" t="s">
        <v>222</v>
      </c>
      <c r="AP30" s="54">
        <f>SUM(A23:AM45)</f>
        <v>564</v>
      </c>
      <c r="AQ30" s="20">
        <f>COUNT(A23:AM45)</f>
        <v>587</v>
      </c>
      <c r="AR30" s="55">
        <f>AP30/AQ30</f>
        <v>0.96081771720613285</v>
      </c>
    </row>
    <row r="31" spans="1:44" s="20" customFormat="1" ht="17" customHeight="1" x14ac:dyDescent="0.2">
      <c r="A31" s="20" t="s">
        <v>137</v>
      </c>
      <c r="B31" s="20" t="s">
        <v>137</v>
      </c>
      <c r="C31" s="20" t="s">
        <v>137</v>
      </c>
      <c r="E31" s="20" t="s">
        <v>137</v>
      </c>
      <c r="F31" s="20" t="s">
        <v>137</v>
      </c>
      <c r="G31" s="20" t="s">
        <v>137</v>
      </c>
      <c r="H31" s="20" t="s">
        <v>137</v>
      </c>
      <c r="I31" s="20" t="s">
        <v>137</v>
      </c>
      <c r="J31" s="20" t="s">
        <v>137</v>
      </c>
      <c r="K31" s="20" t="s">
        <v>137</v>
      </c>
      <c r="L31" s="20" t="s">
        <v>137</v>
      </c>
      <c r="M31" s="20" t="s">
        <v>137</v>
      </c>
      <c r="N31" s="20" t="s">
        <v>137</v>
      </c>
      <c r="O31" s="20" t="s">
        <v>137</v>
      </c>
      <c r="P31" s="20" t="s">
        <v>137</v>
      </c>
      <c r="Q31" s="20" t="s">
        <v>137</v>
      </c>
      <c r="R31" s="20" t="s">
        <v>137</v>
      </c>
      <c r="S31" s="20" t="s">
        <v>137</v>
      </c>
      <c r="T31" s="20" t="s">
        <v>137</v>
      </c>
      <c r="U31" s="20" t="s">
        <v>137</v>
      </c>
      <c r="V31" s="20" t="s">
        <v>137</v>
      </c>
      <c r="W31" s="20" t="s">
        <v>137</v>
      </c>
      <c r="X31" s="20" t="s">
        <v>137</v>
      </c>
      <c r="Z31" s="20" t="s">
        <v>137</v>
      </c>
      <c r="AA31" s="20" t="s">
        <v>137</v>
      </c>
      <c r="AB31" s="20">
        <v>1</v>
      </c>
      <c r="AC31" s="20">
        <v>1</v>
      </c>
      <c r="AD31" s="20">
        <v>1</v>
      </c>
      <c r="AF31" s="62">
        <v>1</v>
      </c>
      <c r="AG31" s="62">
        <v>1</v>
      </c>
      <c r="AH31" s="62">
        <v>1</v>
      </c>
      <c r="AI31" s="20">
        <v>1</v>
      </c>
      <c r="AJ31" s="20">
        <v>1</v>
      </c>
      <c r="AK31" s="20">
        <v>1</v>
      </c>
      <c r="AL31" s="20">
        <v>1</v>
      </c>
      <c r="AM31" s="20">
        <v>1</v>
      </c>
      <c r="AN31" s="2" t="s">
        <v>144</v>
      </c>
      <c r="AP31" s="54">
        <f>SUM(AP25:AP28)</f>
        <v>564</v>
      </c>
      <c r="AQ31" s="54">
        <f>SUM(AQ25:AQ28)</f>
        <v>587</v>
      </c>
      <c r="AR31" s="55">
        <f>AP31/AQ31</f>
        <v>0.96081771720613285</v>
      </c>
    </row>
    <row r="32" spans="1:44" s="20" customFormat="1" ht="17" customHeight="1" x14ac:dyDescent="0.2">
      <c r="A32" s="20" t="s">
        <v>137</v>
      </c>
      <c r="B32" s="20" t="s">
        <v>137</v>
      </c>
      <c r="C32" s="20" t="s">
        <v>137</v>
      </c>
      <c r="E32" s="20" t="s">
        <v>137</v>
      </c>
      <c r="F32" s="20" t="s">
        <v>137</v>
      </c>
      <c r="G32" s="20" t="s">
        <v>137</v>
      </c>
      <c r="H32" s="20">
        <v>1</v>
      </c>
      <c r="I32" s="20">
        <v>1</v>
      </c>
      <c r="J32" s="20">
        <v>0</v>
      </c>
      <c r="K32" s="20">
        <v>1</v>
      </c>
      <c r="L32" s="20">
        <v>1</v>
      </c>
      <c r="M32" s="20">
        <v>1</v>
      </c>
      <c r="N32" s="20">
        <v>1</v>
      </c>
      <c r="O32" s="20">
        <v>1</v>
      </c>
      <c r="P32" s="20">
        <v>1</v>
      </c>
      <c r="Q32" s="20">
        <v>1</v>
      </c>
      <c r="R32" s="20">
        <v>1</v>
      </c>
      <c r="S32" s="20">
        <v>1</v>
      </c>
      <c r="T32" s="20">
        <v>1</v>
      </c>
      <c r="U32" s="20">
        <v>1</v>
      </c>
      <c r="V32" s="20">
        <v>0</v>
      </c>
      <c r="W32" s="20">
        <v>1</v>
      </c>
      <c r="X32" s="62">
        <v>1</v>
      </c>
      <c r="Y32" s="62"/>
      <c r="Z32" s="20">
        <v>1</v>
      </c>
      <c r="AA32" s="20">
        <v>1</v>
      </c>
      <c r="AB32" s="20">
        <v>1</v>
      </c>
      <c r="AC32" s="20">
        <v>1</v>
      </c>
      <c r="AD32" s="20">
        <v>1</v>
      </c>
      <c r="AF32" s="20">
        <v>1</v>
      </c>
      <c r="AG32" s="20">
        <v>1</v>
      </c>
      <c r="AH32" s="20">
        <v>1</v>
      </c>
      <c r="AI32" s="20">
        <v>1</v>
      </c>
      <c r="AJ32" s="20">
        <v>1</v>
      </c>
      <c r="AK32" s="20">
        <v>1</v>
      </c>
      <c r="AL32" s="20">
        <v>1</v>
      </c>
      <c r="AM32" s="20">
        <v>1</v>
      </c>
      <c r="AN32" s="2"/>
    </row>
    <row r="33" spans="1:44" s="20" customFormat="1" ht="17" customHeight="1" x14ac:dyDescent="0.2">
      <c r="A33" s="20" t="s">
        <v>137</v>
      </c>
      <c r="B33" s="20" t="s">
        <v>137</v>
      </c>
      <c r="C33" s="20" t="s">
        <v>137</v>
      </c>
      <c r="E33" s="20" t="s">
        <v>137</v>
      </c>
      <c r="F33" s="20" t="s">
        <v>137</v>
      </c>
      <c r="G33" s="20" t="s">
        <v>137</v>
      </c>
      <c r="H33" s="20" t="s">
        <v>137</v>
      </c>
      <c r="I33" s="20" t="s">
        <v>137</v>
      </c>
      <c r="J33" s="20" t="s">
        <v>137</v>
      </c>
      <c r="K33" s="20" t="s">
        <v>137</v>
      </c>
      <c r="L33" s="20" t="s">
        <v>137</v>
      </c>
      <c r="M33" s="20" t="s">
        <v>137</v>
      </c>
      <c r="N33" s="20" t="s">
        <v>137</v>
      </c>
      <c r="O33" s="20" t="s">
        <v>137</v>
      </c>
      <c r="P33" s="20" t="s">
        <v>137</v>
      </c>
      <c r="Q33" s="20" t="s">
        <v>137</v>
      </c>
      <c r="R33" s="20" t="s">
        <v>137</v>
      </c>
      <c r="S33" s="20" t="s">
        <v>137</v>
      </c>
      <c r="T33" s="20" t="s">
        <v>137</v>
      </c>
      <c r="U33" s="20" t="s">
        <v>137</v>
      </c>
      <c r="V33" s="20" t="s">
        <v>137</v>
      </c>
      <c r="W33" s="20" t="s">
        <v>137</v>
      </c>
      <c r="X33" s="20" t="s">
        <v>137</v>
      </c>
      <c r="Z33" s="20" t="s">
        <v>137</v>
      </c>
      <c r="AA33" s="20" t="s">
        <v>137</v>
      </c>
      <c r="AB33" s="20">
        <v>1</v>
      </c>
      <c r="AC33" s="20">
        <v>1</v>
      </c>
      <c r="AD33" s="20">
        <v>1</v>
      </c>
      <c r="AF33" s="62">
        <v>1</v>
      </c>
      <c r="AG33" s="62">
        <v>1</v>
      </c>
      <c r="AH33" s="62">
        <v>1</v>
      </c>
      <c r="AI33" s="20">
        <v>1</v>
      </c>
      <c r="AJ33" s="20">
        <v>1</v>
      </c>
      <c r="AK33" s="20">
        <v>1</v>
      </c>
      <c r="AL33" s="20">
        <v>1</v>
      </c>
      <c r="AM33" s="20">
        <v>1</v>
      </c>
      <c r="AN33" s="2" t="s">
        <v>223</v>
      </c>
      <c r="AO33" s="20" t="s">
        <v>221</v>
      </c>
      <c r="AP33" s="54">
        <f>SUM(A3:AM45)</f>
        <v>1053</v>
      </c>
      <c r="AQ33" s="20">
        <f>COUNT(A3:AM45)</f>
        <v>1104</v>
      </c>
      <c r="AR33" s="55">
        <f>AP33/AQ33</f>
        <v>0.95380434782608692</v>
      </c>
    </row>
    <row r="34" spans="1:44" s="20" customFormat="1" ht="17" customHeight="1" x14ac:dyDescent="0.2">
      <c r="A34" s="20">
        <v>1</v>
      </c>
      <c r="B34" s="20">
        <v>1</v>
      </c>
      <c r="C34" s="20">
        <v>1</v>
      </c>
      <c r="E34" s="20">
        <v>1</v>
      </c>
      <c r="F34" s="20">
        <v>1</v>
      </c>
      <c r="G34" s="20">
        <v>1</v>
      </c>
      <c r="H34" s="20">
        <v>1</v>
      </c>
      <c r="I34" s="20">
        <v>1</v>
      </c>
      <c r="J34" s="20">
        <v>1</v>
      </c>
      <c r="K34" s="20">
        <v>1</v>
      </c>
      <c r="L34" s="20">
        <v>1</v>
      </c>
      <c r="M34" s="20">
        <v>1</v>
      </c>
      <c r="N34" s="20">
        <v>1</v>
      </c>
      <c r="O34" s="20">
        <v>1</v>
      </c>
      <c r="P34" s="20">
        <v>1</v>
      </c>
      <c r="Q34" s="20">
        <v>1</v>
      </c>
      <c r="R34" s="20">
        <v>0</v>
      </c>
      <c r="S34" s="20">
        <v>1</v>
      </c>
      <c r="T34" s="20">
        <v>1</v>
      </c>
      <c r="U34" s="20">
        <v>1</v>
      </c>
      <c r="V34" s="20">
        <v>1</v>
      </c>
      <c r="W34" s="20">
        <v>1</v>
      </c>
      <c r="X34" s="20">
        <v>0</v>
      </c>
      <c r="Z34" s="20">
        <v>1</v>
      </c>
      <c r="AA34" s="20">
        <v>1</v>
      </c>
      <c r="AB34" s="20">
        <v>1</v>
      </c>
      <c r="AC34" s="20">
        <v>1</v>
      </c>
      <c r="AD34" s="62">
        <v>1</v>
      </c>
      <c r="AE34" s="62"/>
      <c r="AF34" s="20">
        <v>1</v>
      </c>
      <c r="AG34" s="20">
        <v>1</v>
      </c>
      <c r="AH34" s="20">
        <v>1</v>
      </c>
      <c r="AI34" s="20">
        <v>1</v>
      </c>
      <c r="AJ34" s="20">
        <v>1</v>
      </c>
      <c r="AK34" s="20">
        <v>1</v>
      </c>
      <c r="AL34" s="20">
        <v>1</v>
      </c>
      <c r="AM34" s="20">
        <v>1</v>
      </c>
      <c r="AN34" s="2"/>
    </row>
    <row r="35" spans="1:44" s="20" customFormat="1" ht="17" customHeight="1" x14ac:dyDescent="0.2">
      <c r="A35" s="20" t="s">
        <v>137</v>
      </c>
      <c r="B35" s="20" t="s">
        <v>137</v>
      </c>
      <c r="C35" s="20" t="s">
        <v>137</v>
      </c>
      <c r="E35" s="20" t="s">
        <v>137</v>
      </c>
      <c r="F35" s="20" t="s">
        <v>137</v>
      </c>
      <c r="G35" s="20" t="s">
        <v>137</v>
      </c>
      <c r="H35" s="20">
        <v>1</v>
      </c>
      <c r="I35" s="20">
        <v>1</v>
      </c>
      <c r="J35" s="20">
        <v>1</v>
      </c>
      <c r="K35" s="20">
        <v>1</v>
      </c>
      <c r="L35" s="20">
        <v>1</v>
      </c>
      <c r="M35" s="20">
        <v>1</v>
      </c>
      <c r="N35" s="20">
        <v>1</v>
      </c>
      <c r="O35" s="20">
        <v>1</v>
      </c>
      <c r="P35" s="20">
        <v>1</v>
      </c>
      <c r="Q35" s="20">
        <v>1</v>
      </c>
      <c r="R35" s="20">
        <v>1</v>
      </c>
      <c r="S35" s="20">
        <v>1</v>
      </c>
      <c r="T35" s="20">
        <v>1</v>
      </c>
      <c r="U35" s="20">
        <v>1</v>
      </c>
      <c r="V35" s="20">
        <v>1</v>
      </c>
      <c r="W35" s="20">
        <v>1</v>
      </c>
      <c r="X35" s="20">
        <v>1</v>
      </c>
      <c r="Z35" s="20">
        <v>1</v>
      </c>
      <c r="AA35" s="20">
        <v>1</v>
      </c>
      <c r="AB35" s="20">
        <v>1</v>
      </c>
      <c r="AC35" s="20">
        <v>1</v>
      </c>
      <c r="AD35" s="62">
        <v>1</v>
      </c>
      <c r="AE35" s="62"/>
      <c r="AF35" s="20">
        <v>1</v>
      </c>
      <c r="AG35" s="20">
        <v>1</v>
      </c>
      <c r="AH35" s="20">
        <v>1</v>
      </c>
      <c r="AI35" s="20">
        <v>1</v>
      </c>
      <c r="AJ35" s="20">
        <v>1</v>
      </c>
      <c r="AK35" s="20">
        <v>1</v>
      </c>
      <c r="AL35" s="20">
        <v>1</v>
      </c>
      <c r="AM35" s="20">
        <v>1</v>
      </c>
      <c r="AN35" s="2"/>
    </row>
    <row r="36" spans="1:44" s="20" customFormat="1" ht="17" customHeight="1" x14ac:dyDescent="0.2">
      <c r="A36" s="20">
        <v>1</v>
      </c>
      <c r="B36" s="20">
        <v>1</v>
      </c>
      <c r="C36" s="20">
        <v>1</v>
      </c>
      <c r="E36" s="20">
        <v>1</v>
      </c>
      <c r="F36" s="20">
        <v>1</v>
      </c>
      <c r="G36" s="20">
        <v>1</v>
      </c>
      <c r="H36" s="20">
        <v>1</v>
      </c>
      <c r="I36" s="20">
        <v>1</v>
      </c>
      <c r="J36" s="20">
        <v>1</v>
      </c>
      <c r="K36" s="20">
        <v>1</v>
      </c>
      <c r="L36" s="20">
        <v>1</v>
      </c>
      <c r="M36" s="20">
        <v>1</v>
      </c>
      <c r="N36" s="20">
        <v>1</v>
      </c>
      <c r="O36" s="20">
        <v>1</v>
      </c>
      <c r="P36" s="20">
        <v>1</v>
      </c>
      <c r="Q36" s="20">
        <v>1</v>
      </c>
      <c r="R36" s="20">
        <v>0</v>
      </c>
      <c r="S36" s="20">
        <v>1</v>
      </c>
      <c r="T36" s="20">
        <v>1</v>
      </c>
      <c r="U36" s="20">
        <v>1</v>
      </c>
      <c r="V36" s="20">
        <v>1</v>
      </c>
      <c r="W36" s="20">
        <v>1</v>
      </c>
      <c r="X36" s="20">
        <v>0</v>
      </c>
      <c r="Z36" s="20">
        <v>1</v>
      </c>
      <c r="AA36" s="20">
        <v>1</v>
      </c>
      <c r="AB36" s="20">
        <v>1</v>
      </c>
      <c r="AC36" s="20">
        <v>1</v>
      </c>
      <c r="AD36" s="20">
        <v>1</v>
      </c>
      <c r="AF36" s="20">
        <v>1</v>
      </c>
      <c r="AG36" s="20">
        <v>1</v>
      </c>
      <c r="AH36" s="20">
        <v>1</v>
      </c>
      <c r="AI36" s="20">
        <v>1</v>
      </c>
      <c r="AJ36" s="20">
        <v>1</v>
      </c>
      <c r="AK36" s="20">
        <v>1</v>
      </c>
      <c r="AL36" s="20">
        <v>1</v>
      </c>
      <c r="AM36" s="20">
        <v>0</v>
      </c>
      <c r="AN36" s="2"/>
    </row>
    <row r="37" spans="1:44" s="20" customFormat="1" ht="17" customHeight="1" x14ac:dyDescent="0.2">
      <c r="A37" s="20" t="s">
        <v>137</v>
      </c>
      <c r="B37" s="20" t="s">
        <v>137</v>
      </c>
      <c r="C37" s="20" t="s">
        <v>137</v>
      </c>
      <c r="E37" s="20" t="s">
        <v>137</v>
      </c>
      <c r="F37" s="20" t="s">
        <v>137</v>
      </c>
      <c r="G37" s="20" t="s">
        <v>137</v>
      </c>
      <c r="H37" s="20">
        <v>1</v>
      </c>
      <c r="I37" s="20">
        <v>1</v>
      </c>
      <c r="J37" s="20">
        <v>1</v>
      </c>
      <c r="K37" s="20">
        <v>1</v>
      </c>
      <c r="L37" s="20">
        <v>1</v>
      </c>
      <c r="M37" s="20">
        <v>1</v>
      </c>
      <c r="N37" s="20">
        <v>1</v>
      </c>
      <c r="O37" s="20">
        <v>1</v>
      </c>
      <c r="P37" s="20">
        <v>1</v>
      </c>
      <c r="Q37" s="20">
        <v>1</v>
      </c>
      <c r="R37" s="20">
        <v>1</v>
      </c>
      <c r="S37" s="20">
        <v>1</v>
      </c>
      <c r="T37" s="20">
        <v>1</v>
      </c>
      <c r="U37" s="20">
        <v>1</v>
      </c>
      <c r="V37" s="20">
        <v>1</v>
      </c>
      <c r="W37" s="20">
        <v>1</v>
      </c>
      <c r="X37" s="20">
        <v>1</v>
      </c>
      <c r="Z37" s="20">
        <v>1</v>
      </c>
      <c r="AA37" s="20">
        <v>1</v>
      </c>
      <c r="AB37" s="20">
        <v>1</v>
      </c>
      <c r="AC37" s="20">
        <v>1</v>
      </c>
      <c r="AD37" s="20">
        <v>1</v>
      </c>
      <c r="AF37" s="20">
        <v>1</v>
      </c>
      <c r="AG37" s="20">
        <v>1</v>
      </c>
      <c r="AH37" s="20">
        <v>1</v>
      </c>
      <c r="AI37" s="20">
        <v>1</v>
      </c>
      <c r="AJ37" s="20">
        <v>1</v>
      </c>
      <c r="AK37" s="20">
        <v>1</v>
      </c>
      <c r="AL37" s="20">
        <v>1</v>
      </c>
      <c r="AM37" s="20">
        <v>0</v>
      </c>
      <c r="AN37" s="2"/>
    </row>
    <row r="38" spans="1:44" s="20" customFormat="1" ht="17" customHeight="1" x14ac:dyDescent="0.2">
      <c r="A38" s="20" t="s">
        <v>137</v>
      </c>
      <c r="B38" s="20" t="s">
        <v>137</v>
      </c>
      <c r="C38" s="20" t="s">
        <v>137</v>
      </c>
      <c r="E38" s="20" t="s">
        <v>137</v>
      </c>
      <c r="F38" s="20" t="s">
        <v>137</v>
      </c>
      <c r="G38" s="20" t="s">
        <v>137</v>
      </c>
      <c r="H38" s="20">
        <v>1</v>
      </c>
      <c r="I38" s="20">
        <v>1</v>
      </c>
      <c r="J38" s="20">
        <v>1</v>
      </c>
      <c r="K38" s="20">
        <v>1</v>
      </c>
      <c r="L38" s="20">
        <v>1</v>
      </c>
      <c r="M38" s="20">
        <v>1</v>
      </c>
      <c r="N38" s="20">
        <v>1</v>
      </c>
      <c r="O38" s="20">
        <v>1</v>
      </c>
      <c r="P38" s="20">
        <v>1</v>
      </c>
      <c r="Q38" s="20">
        <v>1</v>
      </c>
      <c r="R38" s="20">
        <v>0</v>
      </c>
      <c r="S38" s="20">
        <v>1</v>
      </c>
      <c r="T38" s="20">
        <v>1</v>
      </c>
      <c r="U38" s="20">
        <v>1</v>
      </c>
      <c r="V38" s="20">
        <v>1</v>
      </c>
      <c r="W38" s="20">
        <v>1</v>
      </c>
      <c r="X38" s="20">
        <v>0</v>
      </c>
      <c r="Z38" s="20">
        <v>1</v>
      </c>
      <c r="AA38" s="20">
        <v>1</v>
      </c>
      <c r="AB38" s="20">
        <v>1</v>
      </c>
      <c r="AC38" s="20">
        <v>1</v>
      </c>
      <c r="AD38" s="20">
        <v>1</v>
      </c>
      <c r="AF38" s="20">
        <v>1</v>
      </c>
      <c r="AG38" s="20">
        <v>1</v>
      </c>
      <c r="AH38" s="20">
        <v>1</v>
      </c>
      <c r="AI38" s="20">
        <v>1</v>
      </c>
      <c r="AJ38" s="20">
        <v>1</v>
      </c>
      <c r="AK38" s="20">
        <v>1</v>
      </c>
      <c r="AL38" s="20">
        <v>1</v>
      </c>
      <c r="AM38" s="20">
        <v>1</v>
      </c>
      <c r="AN38" s="2"/>
    </row>
    <row r="39" spans="1:44" s="20" customFormat="1" ht="17" customHeight="1" x14ac:dyDescent="0.2">
      <c r="A39" s="20" t="s">
        <v>137</v>
      </c>
      <c r="B39" s="20" t="s">
        <v>137</v>
      </c>
      <c r="C39" s="20" t="s">
        <v>137</v>
      </c>
      <c r="E39" s="20" t="s">
        <v>137</v>
      </c>
      <c r="F39" s="20" t="s">
        <v>137</v>
      </c>
      <c r="G39" s="20" t="s">
        <v>137</v>
      </c>
      <c r="H39" s="20">
        <v>1</v>
      </c>
      <c r="I39" s="20">
        <v>1</v>
      </c>
      <c r="J39" s="20">
        <v>1</v>
      </c>
      <c r="K39" s="20">
        <v>1</v>
      </c>
      <c r="L39" s="20">
        <v>1</v>
      </c>
      <c r="M39" s="20">
        <v>1</v>
      </c>
      <c r="N39" s="20">
        <v>1</v>
      </c>
      <c r="O39" s="20">
        <v>1</v>
      </c>
      <c r="P39" s="20">
        <v>1</v>
      </c>
      <c r="Q39" s="20">
        <v>1</v>
      </c>
      <c r="R39" s="20">
        <v>1</v>
      </c>
      <c r="S39" s="20">
        <v>1</v>
      </c>
      <c r="T39" s="20">
        <v>1</v>
      </c>
      <c r="U39" s="20">
        <v>1</v>
      </c>
      <c r="V39" s="20">
        <v>1</v>
      </c>
      <c r="W39" s="20">
        <v>1</v>
      </c>
      <c r="X39" s="20">
        <v>1</v>
      </c>
      <c r="Z39" s="20">
        <v>1</v>
      </c>
      <c r="AA39" s="20">
        <v>1</v>
      </c>
      <c r="AB39" s="20">
        <v>1</v>
      </c>
      <c r="AC39" s="20">
        <v>1</v>
      </c>
      <c r="AD39" s="20">
        <v>1</v>
      </c>
      <c r="AF39" s="20">
        <v>1</v>
      </c>
      <c r="AG39" s="20">
        <v>1</v>
      </c>
      <c r="AH39" s="20">
        <v>1</v>
      </c>
      <c r="AI39" s="20">
        <v>1</v>
      </c>
      <c r="AJ39" s="20">
        <v>1</v>
      </c>
      <c r="AK39" s="20">
        <v>1</v>
      </c>
      <c r="AL39" s="20">
        <v>1</v>
      </c>
      <c r="AM39" s="20">
        <v>1</v>
      </c>
      <c r="AN39" s="2"/>
    </row>
    <row r="40" spans="1:44" s="20" customFormat="1" ht="17" customHeight="1" x14ac:dyDescent="0.2">
      <c r="A40" s="20">
        <v>1</v>
      </c>
      <c r="B40" s="20">
        <v>1</v>
      </c>
      <c r="C40" s="20">
        <v>1</v>
      </c>
      <c r="E40" s="20">
        <v>1</v>
      </c>
      <c r="F40" s="20">
        <v>1</v>
      </c>
      <c r="G40" s="20">
        <v>1</v>
      </c>
      <c r="H40" s="20">
        <v>1</v>
      </c>
      <c r="I40" s="20">
        <v>1</v>
      </c>
      <c r="J40" s="20">
        <v>1</v>
      </c>
      <c r="K40" s="20">
        <v>1</v>
      </c>
      <c r="L40" s="20">
        <v>1</v>
      </c>
      <c r="M40" s="20">
        <v>1</v>
      </c>
      <c r="N40" s="20">
        <v>1</v>
      </c>
      <c r="O40" s="20">
        <v>1</v>
      </c>
      <c r="P40" s="20">
        <v>1</v>
      </c>
      <c r="Q40" s="20">
        <v>1</v>
      </c>
      <c r="R40" s="20">
        <v>1</v>
      </c>
      <c r="S40" s="20">
        <v>1</v>
      </c>
      <c r="T40" s="20">
        <v>1</v>
      </c>
      <c r="U40" s="20">
        <v>0</v>
      </c>
      <c r="V40" s="20">
        <v>1</v>
      </c>
      <c r="W40" s="20">
        <v>1</v>
      </c>
      <c r="X40" s="20">
        <v>0</v>
      </c>
      <c r="Z40" s="20">
        <v>1</v>
      </c>
      <c r="AA40" s="20">
        <v>1</v>
      </c>
      <c r="AB40" s="20">
        <v>1</v>
      </c>
      <c r="AC40" s="20">
        <v>1</v>
      </c>
      <c r="AD40" s="20">
        <v>1</v>
      </c>
      <c r="AF40" s="20">
        <v>1</v>
      </c>
      <c r="AG40" s="20">
        <v>1</v>
      </c>
      <c r="AH40" s="62">
        <v>1</v>
      </c>
      <c r="AI40" s="20">
        <v>1</v>
      </c>
      <c r="AJ40" s="20">
        <v>1</v>
      </c>
      <c r="AK40" s="62">
        <v>1</v>
      </c>
      <c r="AL40" s="20">
        <v>1</v>
      </c>
      <c r="AM40" s="20">
        <v>1</v>
      </c>
      <c r="AN40" s="2"/>
    </row>
    <row r="41" spans="1:44" s="20" customFormat="1" ht="17" customHeight="1" x14ac:dyDescent="0.2">
      <c r="A41" s="20" t="s">
        <v>137</v>
      </c>
      <c r="B41" s="20" t="s">
        <v>137</v>
      </c>
      <c r="C41" s="20" t="s">
        <v>137</v>
      </c>
      <c r="E41" s="20" t="s">
        <v>137</v>
      </c>
      <c r="F41" s="20" t="s">
        <v>137</v>
      </c>
      <c r="G41" s="20" t="s">
        <v>137</v>
      </c>
      <c r="H41" s="20" t="s">
        <v>137</v>
      </c>
      <c r="I41" s="20" t="s">
        <v>137</v>
      </c>
      <c r="J41" s="20" t="s">
        <v>137</v>
      </c>
      <c r="K41" s="20" t="s">
        <v>137</v>
      </c>
      <c r="L41" s="20" t="s">
        <v>137</v>
      </c>
      <c r="M41" s="20" t="s">
        <v>137</v>
      </c>
      <c r="N41" s="20" t="s">
        <v>137</v>
      </c>
      <c r="O41" s="20" t="s">
        <v>137</v>
      </c>
      <c r="P41" s="20" t="s">
        <v>137</v>
      </c>
      <c r="Q41" s="20" t="s">
        <v>137</v>
      </c>
      <c r="R41" s="20" t="s">
        <v>137</v>
      </c>
      <c r="S41" s="20" t="s">
        <v>137</v>
      </c>
      <c r="T41" s="20" t="s">
        <v>137</v>
      </c>
      <c r="U41" s="20" t="s">
        <v>137</v>
      </c>
      <c r="V41" s="20" t="s">
        <v>137</v>
      </c>
      <c r="W41" s="20" t="s">
        <v>137</v>
      </c>
      <c r="X41" s="20" t="s">
        <v>137</v>
      </c>
      <c r="Z41" s="20" t="s">
        <v>137</v>
      </c>
      <c r="AA41" s="20" t="s">
        <v>137</v>
      </c>
      <c r="AB41" s="20">
        <v>1</v>
      </c>
      <c r="AC41" s="20">
        <v>1</v>
      </c>
      <c r="AD41" s="62">
        <v>1</v>
      </c>
      <c r="AE41" s="62"/>
      <c r="AF41" s="20">
        <v>1</v>
      </c>
      <c r="AG41" s="20">
        <v>1</v>
      </c>
      <c r="AH41" s="62">
        <v>1</v>
      </c>
      <c r="AI41" s="20">
        <v>1</v>
      </c>
      <c r="AJ41" s="20">
        <v>1</v>
      </c>
      <c r="AK41" s="62">
        <v>1</v>
      </c>
      <c r="AL41" s="20">
        <v>1</v>
      </c>
      <c r="AM41" s="20">
        <v>1</v>
      </c>
      <c r="AN41" s="2"/>
    </row>
    <row r="42" spans="1:44" s="20" customFormat="1" ht="17" customHeight="1" x14ac:dyDescent="0.2">
      <c r="A42" s="20" t="s">
        <v>137</v>
      </c>
      <c r="B42" s="20" t="s">
        <v>137</v>
      </c>
      <c r="C42" s="20" t="s">
        <v>137</v>
      </c>
      <c r="E42" s="20" t="s">
        <v>137</v>
      </c>
      <c r="F42" s="20" t="s">
        <v>137</v>
      </c>
      <c r="G42" s="20" t="s">
        <v>137</v>
      </c>
      <c r="H42" s="20">
        <v>1</v>
      </c>
      <c r="I42" s="20">
        <v>1</v>
      </c>
      <c r="J42" s="20">
        <v>1</v>
      </c>
      <c r="K42" s="20">
        <v>1</v>
      </c>
      <c r="L42" s="20">
        <v>1</v>
      </c>
      <c r="M42" s="20">
        <v>1</v>
      </c>
      <c r="N42" s="20">
        <v>1</v>
      </c>
      <c r="O42" s="20">
        <v>1</v>
      </c>
      <c r="P42" s="20">
        <v>1</v>
      </c>
      <c r="Q42" s="20">
        <v>1</v>
      </c>
      <c r="R42" s="20">
        <v>1</v>
      </c>
      <c r="S42" s="20">
        <v>1</v>
      </c>
      <c r="T42" s="20">
        <v>1</v>
      </c>
      <c r="U42" s="20">
        <v>0</v>
      </c>
      <c r="V42" s="20">
        <v>1</v>
      </c>
      <c r="W42" s="20">
        <v>1</v>
      </c>
      <c r="X42" s="20">
        <v>0</v>
      </c>
      <c r="Z42" s="20">
        <v>1</v>
      </c>
      <c r="AA42" s="20">
        <v>1</v>
      </c>
      <c r="AB42" s="20">
        <v>1</v>
      </c>
      <c r="AC42" s="20">
        <v>1</v>
      </c>
      <c r="AD42" s="20">
        <v>1</v>
      </c>
      <c r="AF42" s="20">
        <v>1</v>
      </c>
      <c r="AG42" s="20">
        <v>1</v>
      </c>
      <c r="AH42" s="62">
        <v>1</v>
      </c>
      <c r="AI42" s="20">
        <v>1</v>
      </c>
      <c r="AJ42" s="20">
        <v>1</v>
      </c>
      <c r="AK42" s="62">
        <v>1</v>
      </c>
      <c r="AL42" s="20">
        <v>1</v>
      </c>
      <c r="AM42" s="20">
        <v>1</v>
      </c>
      <c r="AN42" s="2"/>
    </row>
    <row r="43" spans="1:44" s="20" customFormat="1" ht="17" customHeight="1" x14ac:dyDescent="0.2">
      <c r="A43" s="20" t="s">
        <v>137</v>
      </c>
      <c r="B43" s="20" t="s">
        <v>137</v>
      </c>
      <c r="C43" s="20" t="s">
        <v>137</v>
      </c>
      <c r="E43" s="20" t="s">
        <v>137</v>
      </c>
      <c r="F43" s="20" t="s">
        <v>137</v>
      </c>
      <c r="G43" s="20" t="s">
        <v>137</v>
      </c>
      <c r="H43" s="20" t="s">
        <v>137</v>
      </c>
      <c r="I43" s="20" t="s">
        <v>137</v>
      </c>
      <c r="J43" s="20" t="s">
        <v>137</v>
      </c>
      <c r="K43" s="20" t="s">
        <v>137</v>
      </c>
      <c r="L43" s="20" t="s">
        <v>137</v>
      </c>
      <c r="M43" s="20" t="s">
        <v>137</v>
      </c>
      <c r="N43" s="20" t="s">
        <v>137</v>
      </c>
      <c r="O43" s="20" t="s">
        <v>137</v>
      </c>
      <c r="P43" s="20" t="s">
        <v>137</v>
      </c>
      <c r="Q43" s="20" t="s">
        <v>137</v>
      </c>
      <c r="R43" s="20" t="s">
        <v>137</v>
      </c>
      <c r="S43" s="20" t="s">
        <v>137</v>
      </c>
      <c r="T43" s="20" t="s">
        <v>137</v>
      </c>
      <c r="U43" s="20" t="s">
        <v>137</v>
      </c>
      <c r="V43" s="20" t="s">
        <v>137</v>
      </c>
      <c r="W43" s="20" t="s">
        <v>137</v>
      </c>
      <c r="X43" s="20" t="s">
        <v>137</v>
      </c>
      <c r="Z43" s="20" t="s">
        <v>137</v>
      </c>
      <c r="AA43" s="20" t="s">
        <v>137</v>
      </c>
      <c r="AB43" s="20">
        <v>1</v>
      </c>
      <c r="AC43" s="20">
        <v>1</v>
      </c>
      <c r="AD43" s="62">
        <v>1</v>
      </c>
      <c r="AE43" s="62"/>
      <c r="AF43" s="20">
        <v>1</v>
      </c>
      <c r="AG43" s="20">
        <v>1</v>
      </c>
      <c r="AH43" s="62">
        <v>1</v>
      </c>
      <c r="AI43" s="20">
        <v>1</v>
      </c>
      <c r="AJ43" s="20">
        <v>1</v>
      </c>
      <c r="AK43" s="62">
        <v>1</v>
      </c>
      <c r="AL43" s="20">
        <v>1</v>
      </c>
      <c r="AM43" s="20">
        <v>1</v>
      </c>
      <c r="AN43" s="2"/>
    </row>
    <row r="44" spans="1:44" s="20" customFormat="1" ht="17" customHeight="1" x14ac:dyDescent="0.2">
      <c r="A44" s="20" t="s">
        <v>137</v>
      </c>
      <c r="B44" s="20" t="s">
        <v>137</v>
      </c>
      <c r="C44" s="20" t="s">
        <v>137</v>
      </c>
      <c r="E44" s="20" t="s">
        <v>137</v>
      </c>
      <c r="F44" s="20" t="s">
        <v>137</v>
      </c>
      <c r="G44" s="20" t="s">
        <v>137</v>
      </c>
      <c r="H44" s="20">
        <v>1</v>
      </c>
      <c r="I44" s="20">
        <v>1</v>
      </c>
      <c r="J44" s="20">
        <v>1</v>
      </c>
      <c r="K44" s="20">
        <v>1</v>
      </c>
      <c r="L44" s="20">
        <v>1</v>
      </c>
      <c r="M44" s="20">
        <v>1</v>
      </c>
      <c r="N44" s="20">
        <v>1</v>
      </c>
      <c r="O44" s="20">
        <v>1</v>
      </c>
      <c r="P44" s="20">
        <v>1</v>
      </c>
      <c r="Q44" s="20">
        <v>1</v>
      </c>
      <c r="R44" s="20">
        <v>1</v>
      </c>
      <c r="S44" s="20">
        <v>1</v>
      </c>
      <c r="T44" s="20">
        <v>1</v>
      </c>
      <c r="U44" s="20">
        <v>1</v>
      </c>
      <c r="V44" s="20">
        <v>1</v>
      </c>
      <c r="W44" s="20">
        <v>1</v>
      </c>
      <c r="X44" s="20">
        <v>1</v>
      </c>
      <c r="Z44" s="20">
        <v>1</v>
      </c>
      <c r="AA44" s="20">
        <v>1</v>
      </c>
      <c r="AB44" s="20">
        <v>1</v>
      </c>
      <c r="AC44" s="20">
        <v>1</v>
      </c>
      <c r="AD44" s="20">
        <v>1</v>
      </c>
      <c r="AF44" s="20">
        <v>1</v>
      </c>
      <c r="AG44" s="20">
        <v>1</v>
      </c>
      <c r="AH44" s="62">
        <v>1</v>
      </c>
      <c r="AI44" s="20">
        <v>1</v>
      </c>
      <c r="AJ44" s="20">
        <v>1</v>
      </c>
      <c r="AK44" s="62">
        <v>1</v>
      </c>
      <c r="AL44" s="20">
        <v>1</v>
      </c>
      <c r="AM44" s="20">
        <v>1</v>
      </c>
      <c r="AN44" s="2"/>
    </row>
    <row r="45" spans="1:44" s="66" customFormat="1" ht="17" customHeight="1" thickBot="1" x14ac:dyDescent="0.25">
      <c r="A45" s="66" t="s">
        <v>137</v>
      </c>
      <c r="B45" s="66" t="s">
        <v>137</v>
      </c>
      <c r="C45" s="66" t="s">
        <v>137</v>
      </c>
      <c r="E45" s="66" t="s">
        <v>137</v>
      </c>
      <c r="F45" s="66" t="s">
        <v>137</v>
      </c>
      <c r="G45" s="66" t="s">
        <v>137</v>
      </c>
      <c r="H45" s="66" t="s">
        <v>137</v>
      </c>
      <c r="I45" s="66" t="s">
        <v>137</v>
      </c>
      <c r="J45" s="66" t="s">
        <v>137</v>
      </c>
      <c r="K45" s="66" t="s">
        <v>137</v>
      </c>
      <c r="L45" s="66" t="s">
        <v>137</v>
      </c>
      <c r="M45" s="66" t="s">
        <v>137</v>
      </c>
      <c r="N45" s="66" t="s">
        <v>137</v>
      </c>
      <c r="O45" s="66" t="s">
        <v>137</v>
      </c>
      <c r="P45" s="66" t="s">
        <v>137</v>
      </c>
      <c r="Q45" s="66" t="s">
        <v>137</v>
      </c>
      <c r="R45" s="66" t="s">
        <v>137</v>
      </c>
      <c r="S45" s="66" t="s">
        <v>137</v>
      </c>
      <c r="T45" s="66" t="s">
        <v>137</v>
      </c>
      <c r="U45" s="66" t="s">
        <v>137</v>
      </c>
      <c r="V45" s="66" t="s">
        <v>137</v>
      </c>
      <c r="W45" s="66" t="s">
        <v>137</v>
      </c>
      <c r="X45" s="66" t="s">
        <v>137</v>
      </c>
      <c r="Y45" s="21"/>
      <c r="Z45" s="66" t="s">
        <v>137</v>
      </c>
      <c r="AA45" s="66" t="s">
        <v>137</v>
      </c>
      <c r="AB45" s="66">
        <v>1</v>
      </c>
      <c r="AC45" s="66">
        <v>1</v>
      </c>
      <c r="AD45" s="72">
        <v>1</v>
      </c>
      <c r="AE45" s="72"/>
      <c r="AF45" s="66">
        <v>1</v>
      </c>
      <c r="AG45" s="66">
        <v>1</v>
      </c>
      <c r="AH45" s="72">
        <v>1</v>
      </c>
      <c r="AI45" s="66">
        <v>1</v>
      </c>
      <c r="AJ45" s="66">
        <v>1</v>
      </c>
      <c r="AK45" s="72">
        <v>1</v>
      </c>
      <c r="AL45" s="66">
        <v>1</v>
      </c>
      <c r="AM45" s="66">
        <v>1</v>
      </c>
      <c r="AN45" s="68"/>
    </row>
    <row r="46" spans="1:44" s="20" customFormat="1" ht="17" customHeight="1" thickTop="1" x14ac:dyDescent="0.2">
      <c r="A46" s="20">
        <v>1</v>
      </c>
      <c r="B46" s="20">
        <v>1</v>
      </c>
      <c r="C46" s="20">
        <v>1</v>
      </c>
      <c r="E46" s="20">
        <v>1</v>
      </c>
      <c r="F46" s="20">
        <v>1</v>
      </c>
      <c r="G46" s="20">
        <v>1</v>
      </c>
      <c r="H46" s="20">
        <v>1</v>
      </c>
      <c r="I46" s="20">
        <v>1</v>
      </c>
      <c r="J46" s="20">
        <v>1</v>
      </c>
      <c r="K46" s="20">
        <v>1</v>
      </c>
      <c r="L46" s="20">
        <v>1</v>
      </c>
      <c r="M46" s="20">
        <v>1</v>
      </c>
      <c r="N46" s="20">
        <v>1</v>
      </c>
      <c r="O46" s="20">
        <v>1</v>
      </c>
      <c r="P46" s="20">
        <v>1</v>
      </c>
      <c r="Q46" s="20">
        <v>1</v>
      </c>
      <c r="R46" s="20">
        <v>1</v>
      </c>
      <c r="S46" s="20">
        <v>1</v>
      </c>
      <c r="T46" s="20">
        <v>1</v>
      </c>
      <c r="U46" s="20">
        <v>1</v>
      </c>
      <c r="V46" s="20">
        <v>1</v>
      </c>
      <c r="W46" s="20">
        <v>1</v>
      </c>
      <c r="X46" s="20">
        <v>0</v>
      </c>
      <c r="Z46" s="20">
        <v>1</v>
      </c>
      <c r="AA46" s="20">
        <v>1</v>
      </c>
      <c r="AB46" s="20">
        <v>1</v>
      </c>
      <c r="AC46" s="20">
        <v>1</v>
      </c>
      <c r="AD46" s="20">
        <v>0</v>
      </c>
      <c r="AF46" s="20">
        <v>1</v>
      </c>
      <c r="AG46" s="20">
        <v>1</v>
      </c>
      <c r="AH46" s="20">
        <v>1</v>
      </c>
      <c r="AI46" s="20">
        <v>1</v>
      </c>
      <c r="AJ46" s="20">
        <v>1</v>
      </c>
      <c r="AK46" s="20">
        <v>1</v>
      </c>
      <c r="AL46" s="20">
        <v>1</v>
      </c>
      <c r="AM46" s="20">
        <v>1</v>
      </c>
      <c r="AN46" s="2"/>
    </row>
    <row r="47" spans="1:44" s="20" customFormat="1" ht="17" customHeight="1" x14ac:dyDescent="0.2">
      <c r="A47" s="20" t="s">
        <v>137</v>
      </c>
      <c r="B47" s="20" t="s">
        <v>137</v>
      </c>
      <c r="C47" s="20" t="s">
        <v>137</v>
      </c>
      <c r="E47" s="20" t="s">
        <v>137</v>
      </c>
      <c r="F47" s="20" t="s">
        <v>137</v>
      </c>
      <c r="G47" s="20" t="s">
        <v>137</v>
      </c>
      <c r="H47" s="20">
        <v>1</v>
      </c>
      <c r="I47" s="20">
        <v>1</v>
      </c>
      <c r="J47" s="20">
        <v>1</v>
      </c>
      <c r="K47" s="20">
        <v>1</v>
      </c>
      <c r="L47" s="20">
        <v>1</v>
      </c>
      <c r="M47" s="20">
        <v>1</v>
      </c>
      <c r="N47" s="20">
        <v>1</v>
      </c>
      <c r="O47" s="20">
        <v>1</v>
      </c>
      <c r="P47" s="20">
        <v>1</v>
      </c>
      <c r="Q47" s="20">
        <v>1</v>
      </c>
      <c r="R47" s="20">
        <v>1</v>
      </c>
      <c r="S47" s="20">
        <v>1</v>
      </c>
      <c r="T47" s="20">
        <v>1</v>
      </c>
      <c r="U47" s="20">
        <v>1</v>
      </c>
      <c r="V47" s="20">
        <v>1</v>
      </c>
      <c r="W47" s="20">
        <v>1</v>
      </c>
      <c r="X47" s="20">
        <v>1</v>
      </c>
      <c r="Z47" s="20">
        <v>1</v>
      </c>
      <c r="AA47" s="20">
        <v>1</v>
      </c>
      <c r="AB47" s="20">
        <v>1</v>
      </c>
      <c r="AC47" s="20">
        <v>1</v>
      </c>
      <c r="AD47" s="20">
        <v>0</v>
      </c>
      <c r="AF47" s="20">
        <v>1</v>
      </c>
      <c r="AG47" s="20">
        <v>1</v>
      </c>
      <c r="AH47" s="20">
        <v>1</v>
      </c>
      <c r="AI47" s="20">
        <v>1</v>
      </c>
      <c r="AJ47" s="20">
        <v>1</v>
      </c>
      <c r="AK47" s="20">
        <v>1</v>
      </c>
      <c r="AL47" s="20">
        <v>1</v>
      </c>
      <c r="AM47" s="20">
        <v>1</v>
      </c>
      <c r="AN47" s="2" t="s">
        <v>142</v>
      </c>
      <c r="AO47" s="20" t="s">
        <v>290</v>
      </c>
      <c r="AP47" s="54">
        <f>SUM(A46:AM57)</f>
        <v>318</v>
      </c>
      <c r="AQ47" s="20">
        <f>COUNT(A46:AM57)</f>
        <v>328</v>
      </c>
      <c r="AR47" s="55">
        <f>AP47/AQ47</f>
        <v>0.96951219512195119</v>
      </c>
    </row>
    <row r="48" spans="1:44" s="20" customFormat="1" ht="17" customHeight="1" x14ac:dyDescent="0.2">
      <c r="A48" s="20">
        <v>1</v>
      </c>
      <c r="B48" s="20">
        <v>1</v>
      </c>
      <c r="C48" s="20">
        <v>1</v>
      </c>
      <c r="E48" s="20">
        <v>1</v>
      </c>
      <c r="F48" s="20">
        <v>1</v>
      </c>
      <c r="G48" s="20">
        <v>1</v>
      </c>
      <c r="H48" s="20">
        <v>1</v>
      </c>
      <c r="I48" s="20">
        <v>1</v>
      </c>
      <c r="J48" s="20">
        <v>1</v>
      </c>
      <c r="K48" s="20">
        <v>1</v>
      </c>
      <c r="L48" s="20">
        <v>1</v>
      </c>
      <c r="M48" s="20">
        <v>1</v>
      </c>
      <c r="N48" s="20">
        <v>1</v>
      </c>
      <c r="O48" s="20">
        <v>1</v>
      </c>
      <c r="P48" s="20">
        <v>1</v>
      </c>
      <c r="Q48" s="20">
        <v>1</v>
      </c>
      <c r="R48" s="20">
        <v>1</v>
      </c>
      <c r="S48" s="20">
        <v>1</v>
      </c>
      <c r="T48" s="20">
        <v>1</v>
      </c>
      <c r="U48" s="20">
        <v>1</v>
      </c>
      <c r="V48" s="20">
        <v>1</v>
      </c>
      <c r="W48" s="20">
        <v>1</v>
      </c>
      <c r="X48" s="20">
        <v>1</v>
      </c>
      <c r="Z48" s="20">
        <v>1</v>
      </c>
      <c r="AA48" s="20">
        <v>1</v>
      </c>
      <c r="AB48" s="20">
        <v>1</v>
      </c>
      <c r="AC48" s="20">
        <v>1</v>
      </c>
      <c r="AD48" s="20">
        <v>1</v>
      </c>
      <c r="AF48" s="20">
        <v>1</v>
      </c>
      <c r="AG48" s="20">
        <v>1</v>
      </c>
      <c r="AH48" s="20">
        <v>1</v>
      </c>
      <c r="AI48" s="20">
        <v>1</v>
      </c>
      <c r="AJ48" s="20">
        <v>1</v>
      </c>
      <c r="AK48" s="20">
        <v>1</v>
      </c>
      <c r="AL48" s="20">
        <v>1</v>
      </c>
      <c r="AM48" s="20">
        <v>1</v>
      </c>
      <c r="AN48" s="2"/>
      <c r="AP48" s="54"/>
      <c r="AQ48" s="54"/>
      <c r="AR48" s="55"/>
    </row>
    <row r="49" spans="1:44" s="20" customFormat="1" ht="17" customHeight="1" x14ac:dyDescent="0.2">
      <c r="A49" s="20" t="s">
        <v>137</v>
      </c>
      <c r="B49" s="20" t="s">
        <v>137</v>
      </c>
      <c r="C49" s="20" t="s">
        <v>137</v>
      </c>
      <c r="E49" s="20" t="s">
        <v>137</v>
      </c>
      <c r="F49" s="20" t="s">
        <v>137</v>
      </c>
      <c r="G49" s="20" t="s">
        <v>137</v>
      </c>
      <c r="H49" s="20">
        <v>1</v>
      </c>
      <c r="I49" s="20">
        <v>1</v>
      </c>
      <c r="J49" s="20">
        <v>1</v>
      </c>
      <c r="K49" s="20">
        <v>1</v>
      </c>
      <c r="L49" s="20">
        <v>1</v>
      </c>
      <c r="M49" s="20">
        <v>1</v>
      </c>
      <c r="N49" s="20">
        <v>1</v>
      </c>
      <c r="O49" s="20">
        <v>1</v>
      </c>
      <c r="P49" s="20">
        <v>1</v>
      </c>
      <c r="Q49" s="20">
        <v>1</v>
      </c>
      <c r="R49" s="20">
        <v>1</v>
      </c>
      <c r="S49" s="20">
        <v>1</v>
      </c>
      <c r="T49" s="20">
        <v>1</v>
      </c>
      <c r="U49" s="20">
        <v>1</v>
      </c>
      <c r="V49" s="20">
        <v>1</v>
      </c>
      <c r="W49" s="20">
        <v>1</v>
      </c>
      <c r="X49" s="20">
        <v>1</v>
      </c>
      <c r="Z49" s="20">
        <v>1</v>
      </c>
      <c r="AA49" s="20">
        <v>1</v>
      </c>
      <c r="AB49" s="20">
        <v>1</v>
      </c>
      <c r="AC49" s="20">
        <v>1</v>
      </c>
      <c r="AD49" s="20">
        <v>1</v>
      </c>
      <c r="AF49" s="20">
        <v>1</v>
      </c>
      <c r="AG49" s="20">
        <v>1</v>
      </c>
      <c r="AH49" s="20">
        <v>1</v>
      </c>
      <c r="AI49" s="20">
        <v>1</v>
      </c>
      <c r="AJ49" s="20">
        <v>1</v>
      </c>
      <c r="AK49" s="20">
        <v>1</v>
      </c>
      <c r="AL49" s="20">
        <v>1</v>
      </c>
      <c r="AM49" s="20">
        <v>1</v>
      </c>
      <c r="AN49" s="2"/>
    </row>
    <row r="50" spans="1:44" s="20" customFormat="1" ht="17" customHeight="1" x14ac:dyDescent="0.2">
      <c r="A50" s="20">
        <v>1</v>
      </c>
      <c r="B50" s="20">
        <v>1</v>
      </c>
      <c r="C50" s="20">
        <v>1</v>
      </c>
      <c r="E50" s="20">
        <v>1</v>
      </c>
      <c r="F50" s="20">
        <v>1</v>
      </c>
      <c r="G50" s="20">
        <v>1</v>
      </c>
      <c r="H50" s="20">
        <v>1</v>
      </c>
      <c r="I50" s="20">
        <v>1</v>
      </c>
      <c r="J50" s="20">
        <v>1</v>
      </c>
      <c r="K50" s="20">
        <v>1</v>
      </c>
      <c r="L50" s="20">
        <v>1</v>
      </c>
      <c r="M50" s="20">
        <v>1</v>
      </c>
      <c r="N50" s="20">
        <v>1</v>
      </c>
      <c r="O50" s="20">
        <v>1</v>
      </c>
      <c r="P50" s="20">
        <v>1</v>
      </c>
      <c r="Q50" s="20">
        <v>1</v>
      </c>
      <c r="R50" s="20">
        <v>1</v>
      </c>
      <c r="S50" s="20">
        <v>1</v>
      </c>
      <c r="T50" s="20">
        <v>1</v>
      </c>
      <c r="U50" s="20">
        <v>1</v>
      </c>
      <c r="V50" s="20">
        <v>1</v>
      </c>
      <c r="W50" s="20">
        <v>1</v>
      </c>
      <c r="X50" s="20">
        <v>1</v>
      </c>
      <c r="Z50" s="20">
        <v>1</v>
      </c>
      <c r="AA50" s="20">
        <v>1</v>
      </c>
      <c r="AB50" s="20">
        <v>1</v>
      </c>
      <c r="AC50" s="20">
        <v>1</v>
      </c>
      <c r="AD50" s="20">
        <v>1</v>
      </c>
      <c r="AF50" s="20">
        <v>1</v>
      </c>
      <c r="AG50" s="20">
        <v>1</v>
      </c>
      <c r="AH50" s="20">
        <v>1</v>
      </c>
      <c r="AI50" s="20">
        <v>1</v>
      </c>
      <c r="AJ50" s="20">
        <v>1</v>
      </c>
      <c r="AK50" s="20">
        <v>1</v>
      </c>
      <c r="AL50" s="20">
        <v>1</v>
      </c>
      <c r="AM50" s="20">
        <v>1</v>
      </c>
      <c r="AN50" s="2" t="s">
        <v>223</v>
      </c>
      <c r="AO50" s="20" t="s">
        <v>291</v>
      </c>
      <c r="AP50" s="54">
        <f>SUM(A3:AM57)</f>
        <v>1371</v>
      </c>
      <c r="AQ50" s="20">
        <f>COUNT(A3:AM57)</f>
        <v>1432</v>
      </c>
      <c r="AR50" s="55">
        <f>AP50/AQ50</f>
        <v>0.95740223463687146</v>
      </c>
    </row>
    <row r="51" spans="1:44" s="20" customFormat="1" ht="17" customHeight="1" x14ac:dyDescent="0.2">
      <c r="A51" s="20" t="s">
        <v>137</v>
      </c>
      <c r="B51" s="20" t="s">
        <v>137</v>
      </c>
      <c r="C51" s="20" t="s">
        <v>137</v>
      </c>
      <c r="E51" s="20" t="s">
        <v>137</v>
      </c>
      <c r="F51" s="20" t="s">
        <v>137</v>
      </c>
      <c r="G51" s="20" t="s">
        <v>137</v>
      </c>
      <c r="H51" s="20" t="s">
        <v>137</v>
      </c>
      <c r="I51" s="20" t="s">
        <v>137</v>
      </c>
      <c r="J51" s="20" t="s">
        <v>137</v>
      </c>
      <c r="K51" s="20" t="s">
        <v>137</v>
      </c>
      <c r="L51" s="20" t="s">
        <v>137</v>
      </c>
      <c r="M51" s="20" t="s">
        <v>137</v>
      </c>
      <c r="N51" s="20" t="s">
        <v>137</v>
      </c>
      <c r="O51" s="20" t="s">
        <v>137</v>
      </c>
      <c r="P51" s="20" t="s">
        <v>137</v>
      </c>
      <c r="Q51" s="20" t="s">
        <v>137</v>
      </c>
      <c r="R51" s="20" t="s">
        <v>137</v>
      </c>
      <c r="S51" s="20" t="s">
        <v>137</v>
      </c>
      <c r="T51" s="20" t="s">
        <v>137</v>
      </c>
      <c r="U51" s="20" t="s">
        <v>137</v>
      </c>
      <c r="V51" s="20" t="s">
        <v>137</v>
      </c>
      <c r="W51" s="20" t="s">
        <v>137</v>
      </c>
      <c r="X51" s="20" t="s">
        <v>137</v>
      </c>
      <c r="Z51" s="20" t="s">
        <v>137</v>
      </c>
      <c r="AA51" s="20" t="s">
        <v>137</v>
      </c>
      <c r="AB51" s="20">
        <v>1</v>
      </c>
      <c r="AC51" s="20">
        <v>1</v>
      </c>
      <c r="AD51" s="20">
        <v>0</v>
      </c>
      <c r="AF51" s="20">
        <v>1</v>
      </c>
      <c r="AG51" s="20">
        <v>1</v>
      </c>
      <c r="AH51" s="20">
        <v>1</v>
      </c>
      <c r="AI51" s="20">
        <v>1</v>
      </c>
      <c r="AJ51" s="20">
        <v>1</v>
      </c>
      <c r="AK51" s="20">
        <v>1</v>
      </c>
      <c r="AL51" s="20">
        <v>1</v>
      </c>
      <c r="AM51" s="20">
        <v>1</v>
      </c>
      <c r="AN51" s="2"/>
    </row>
    <row r="52" spans="1:44" s="20" customFormat="1" ht="17" customHeight="1" x14ac:dyDescent="0.2">
      <c r="A52" s="20" t="s">
        <v>137</v>
      </c>
      <c r="B52" s="20" t="s">
        <v>137</v>
      </c>
      <c r="C52" s="20" t="s">
        <v>137</v>
      </c>
      <c r="E52" s="20" t="s">
        <v>137</v>
      </c>
      <c r="F52" s="20" t="s">
        <v>137</v>
      </c>
      <c r="G52" s="20" t="s">
        <v>137</v>
      </c>
      <c r="H52" s="20">
        <v>1</v>
      </c>
      <c r="I52" s="20">
        <v>1</v>
      </c>
      <c r="J52" s="20">
        <v>1</v>
      </c>
      <c r="K52" s="20">
        <v>1</v>
      </c>
      <c r="L52" s="20">
        <v>1</v>
      </c>
      <c r="M52" s="20">
        <v>1</v>
      </c>
      <c r="N52" s="20">
        <v>1</v>
      </c>
      <c r="O52" s="20">
        <v>1</v>
      </c>
      <c r="P52" s="20">
        <v>1</v>
      </c>
      <c r="Q52" s="20">
        <v>1</v>
      </c>
      <c r="R52" s="20">
        <v>1</v>
      </c>
      <c r="S52" s="20">
        <v>1</v>
      </c>
      <c r="T52" s="20">
        <v>1</v>
      </c>
      <c r="U52" s="20">
        <v>1</v>
      </c>
      <c r="V52" s="20">
        <v>1</v>
      </c>
      <c r="W52" s="20">
        <v>1</v>
      </c>
      <c r="X52" s="20">
        <v>1</v>
      </c>
      <c r="Z52" s="20">
        <v>1</v>
      </c>
      <c r="AA52" s="20">
        <v>1</v>
      </c>
      <c r="AB52" s="20">
        <v>1</v>
      </c>
      <c r="AC52" s="20">
        <v>1</v>
      </c>
      <c r="AD52" s="20">
        <v>1</v>
      </c>
      <c r="AF52" s="20">
        <v>1</v>
      </c>
      <c r="AG52" s="20">
        <v>1</v>
      </c>
      <c r="AH52" s="20">
        <v>1</v>
      </c>
      <c r="AI52" s="20">
        <v>1</v>
      </c>
      <c r="AJ52" s="20">
        <v>1</v>
      </c>
      <c r="AK52" s="20">
        <v>1</v>
      </c>
      <c r="AL52" s="20">
        <v>1</v>
      </c>
      <c r="AM52" s="20">
        <v>1</v>
      </c>
      <c r="AN52" s="2"/>
    </row>
    <row r="53" spans="1:44" s="20" customFormat="1" ht="17" customHeight="1" x14ac:dyDescent="0.2">
      <c r="A53" s="20" t="s">
        <v>137</v>
      </c>
      <c r="B53" s="20" t="s">
        <v>137</v>
      </c>
      <c r="C53" s="20" t="s">
        <v>137</v>
      </c>
      <c r="E53" s="20" t="s">
        <v>137</v>
      </c>
      <c r="F53" s="20" t="s">
        <v>137</v>
      </c>
      <c r="G53" s="20" t="s">
        <v>137</v>
      </c>
      <c r="H53" s="20" t="s">
        <v>137</v>
      </c>
      <c r="I53" s="20" t="s">
        <v>137</v>
      </c>
      <c r="J53" s="20" t="s">
        <v>137</v>
      </c>
      <c r="K53" s="20" t="s">
        <v>137</v>
      </c>
      <c r="L53" s="20" t="s">
        <v>137</v>
      </c>
      <c r="M53" s="20" t="s">
        <v>137</v>
      </c>
      <c r="N53" s="20" t="s">
        <v>137</v>
      </c>
      <c r="O53" s="20" t="s">
        <v>137</v>
      </c>
      <c r="P53" s="20" t="s">
        <v>137</v>
      </c>
      <c r="Q53" s="20" t="s">
        <v>137</v>
      </c>
      <c r="R53" s="20" t="s">
        <v>137</v>
      </c>
      <c r="S53" s="20" t="s">
        <v>137</v>
      </c>
      <c r="T53" s="20" t="s">
        <v>137</v>
      </c>
      <c r="U53" s="20" t="s">
        <v>137</v>
      </c>
      <c r="V53" s="20" t="s">
        <v>137</v>
      </c>
      <c r="W53" s="20" t="s">
        <v>137</v>
      </c>
      <c r="X53" s="20" t="s">
        <v>137</v>
      </c>
      <c r="Z53" s="20" t="s">
        <v>137</v>
      </c>
      <c r="AA53" s="20" t="s">
        <v>137</v>
      </c>
      <c r="AB53" s="20">
        <v>1</v>
      </c>
      <c r="AC53" s="20">
        <v>1</v>
      </c>
      <c r="AD53" s="20">
        <v>0</v>
      </c>
      <c r="AF53" s="20">
        <v>1</v>
      </c>
      <c r="AG53" s="20">
        <v>1</v>
      </c>
      <c r="AH53" s="20">
        <v>1</v>
      </c>
      <c r="AI53" s="20">
        <v>1</v>
      </c>
      <c r="AJ53" s="20">
        <v>1</v>
      </c>
      <c r="AK53" s="20">
        <v>1</v>
      </c>
      <c r="AL53" s="20">
        <v>1</v>
      </c>
      <c r="AM53" s="20">
        <v>1</v>
      </c>
      <c r="AN53" s="2"/>
    </row>
    <row r="54" spans="1:44" s="20" customFormat="1" ht="17" customHeight="1" x14ac:dyDescent="0.2">
      <c r="A54" s="20" t="s">
        <v>137</v>
      </c>
      <c r="B54" s="20" t="s">
        <v>137</v>
      </c>
      <c r="C54" s="20" t="s">
        <v>137</v>
      </c>
      <c r="E54" s="20" t="s">
        <v>137</v>
      </c>
      <c r="F54" s="20" t="s">
        <v>137</v>
      </c>
      <c r="G54" s="20" t="s">
        <v>137</v>
      </c>
      <c r="H54" s="20">
        <v>1</v>
      </c>
      <c r="I54" s="20">
        <v>1</v>
      </c>
      <c r="J54" s="20">
        <v>1</v>
      </c>
      <c r="K54" s="20">
        <v>1</v>
      </c>
      <c r="L54" s="20">
        <v>1</v>
      </c>
      <c r="M54" s="20">
        <v>1</v>
      </c>
      <c r="N54" s="20">
        <v>1</v>
      </c>
      <c r="O54" s="20">
        <v>1</v>
      </c>
      <c r="P54" s="20">
        <v>1</v>
      </c>
      <c r="Q54" s="20">
        <v>1</v>
      </c>
      <c r="R54" s="20">
        <v>1</v>
      </c>
      <c r="S54" s="20">
        <v>1</v>
      </c>
      <c r="T54" s="20">
        <v>1</v>
      </c>
      <c r="U54" s="20">
        <v>1</v>
      </c>
      <c r="V54" s="20">
        <v>1</v>
      </c>
      <c r="W54" s="20">
        <v>1</v>
      </c>
      <c r="X54" s="20">
        <v>1</v>
      </c>
      <c r="Z54" s="20">
        <v>1</v>
      </c>
      <c r="AA54" s="20">
        <v>1</v>
      </c>
      <c r="AB54" s="20">
        <v>1</v>
      </c>
      <c r="AC54" s="20">
        <v>1</v>
      </c>
      <c r="AD54" s="20">
        <v>1</v>
      </c>
      <c r="AF54" s="20">
        <v>1</v>
      </c>
      <c r="AG54" s="20">
        <v>1</v>
      </c>
      <c r="AH54" s="20">
        <v>1</v>
      </c>
      <c r="AI54" s="20">
        <v>1</v>
      </c>
      <c r="AJ54" s="20">
        <v>1</v>
      </c>
      <c r="AK54" s="20">
        <v>1</v>
      </c>
      <c r="AL54" s="20">
        <v>1</v>
      </c>
      <c r="AM54" s="20">
        <v>1</v>
      </c>
      <c r="AN54" s="2"/>
    </row>
    <row r="55" spans="1:44" s="20" customFormat="1" ht="17" customHeight="1" x14ac:dyDescent="0.2">
      <c r="A55" s="20" t="s">
        <v>137</v>
      </c>
      <c r="B55" s="20" t="s">
        <v>137</v>
      </c>
      <c r="C55" s="20" t="s">
        <v>137</v>
      </c>
      <c r="E55" s="20" t="s">
        <v>137</v>
      </c>
      <c r="F55" s="20" t="s">
        <v>137</v>
      </c>
      <c r="G55" s="20" t="s">
        <v>137</v>
      </c>
      <c r="H55" s="20" t="s">
        <v>137</v>
      </c>
      <c r="I55" s="20" t="s">
        <v>137</v>
      </c>
      <c r="J55" s="20" t="s">
        <v>137</v>
      </c>
      <c r="K55" s="20" t="s">
        <v>137</v>
      </c>
      <c r="L55" s="20" t="s">
        <v>137</v>
      </c>
      <c r="M55" s="20" t="s">
        <v>137</v>
      </c>
      <c r="N55" s="20" t="s">
        <v>137</v>
      </c>
      <c r="O55" s="20" t="s">
        <v>137</v>
      </c>
      <c r="P55" s="20" t="s">
        <v>137</v>
      </c>
      <c r="Q55" s="20" t="s">
        <v>137</v>
      </c>
      <c r="R55" s="20" t="s">
        <v>137</v>
      </c>
      <c r="S55" s="20" t="s">
        <v>137</v>
      </c>
      <c r="T55" s="20" t="s">
        <v>137</v>
      </c>
      <c r="U55" s="20" t="s">
        <v>137</v>
      </c>
      <c r="V55" s="20" t="s">
        <v>137</v>
      </c>
      <c r="W55" s="20" t="s">
        <v>137</v>
      </c>
      <c r="X55" s="20" t="s">
        <v>137</v>
      </c>
      <c r="Z55" s="20" t="s">
        <v>137</v>
      </c>
      <c r="AA55" s="20" t="s">
        <v>137</v>
      </c>
      <c r="AB55" s="20">
        <v>1</v>
      </c>
      <c r="AC55" s="20">
        <v>1</v>
      </c>
      <c r="AD55" s="20">
        <v>0</v>
      </c>
      <c r="AF55" s="20">
        <v>1</v>
      </c>
      <c r="AG55" s="20">
        <v>1</v>
      </c>
      <c r="AH55" s="20">
        <v>1</v>
      </c>
      <c r="AI55" s="20">
        <v>1</v>
      </c>
      <c r="AJ55" s="20">
        <v>1</v>
      </c>
      <c r="AK55" s="20">
        <v>1</v>
      </c>
      <c r="AL55" s="20">
        <v>1</v>
      </c>
      <c r="AM55" s="20">
        <v>1</v>
      </c>
      <c r="AN55" s="2"/>
    </row>
    <row r="56" spans="1:44" s="20" customFormat="1" ht="17" customHeight="1" x14ac:dyDescent="0.2">
      <c r="A56" s="20">
        <v>1</v>
      </c>
      <c r="B56" s="20">
        <v>1</v>
      </c>
      <c r="C56" s="20">
        <v>1</v>
      </c>
      <c r="E56" s="20">
        <v>1</v>
      </c>
      <c r="F56" s="20">
        <v>1</v>
      </c>
      <c r="G56" s="20">
        <v>0</v>
      </c>
      <c r="H56" s="20">
        <v>1</v>
      </c>
      <c r="I56" s="20">
        <v>1</v>
      </c>
      <c r="J56" s="20">
        <v>1</v>
      </c>
      <c r="K56" s="20">
        <v>1</v>
      </c>
      <c r="L56" s="20">
        <v>1</v>
      </c>
      <c r="M56" s="20">
        <v>1</v>
      </c>
      <c r="N56" s="20">
        <v>1</v>
      </c>
      <c r="O56" s="20">
        <v>1</v>
      </c>
      <c r="P56" s="20">
        <v>1</v>
      </c>
      <c r="Q56" s="20">
        <v>1</v>
      </c>
      <c r="R56" s="20">
        <v>0</v>
      </c>
      <c r="S56" s="20">
        <v>1</v>
      </c>
      <c r="T56" s="20">
        <v>0</v>
      </c>
      <c r="U56" s="20">
        <v>1</v>
      </c>
      <c r="V56" s="20">
        <v>1</v>
      </c>
      <c r="W56" s="20">
        <v>1</v>
      </c>
      <c r="X56" s="20">
        <v>1</v>
      </c>
      <c r="Z56" s="20">
        <v>0</v>
      </c>
      <c r="AA56" s="20">
        <v>1</v>
      </c>
      <c r="AB56" s="20">
        <v>1</v>
      </c>
      <c r="AC56" s="20">
        <v>1</v>
      </c>
      <c r="AD56" s="20">
        <v>1</v>
      </c>
      <c r="AF56" s="20">
        <v>1</v>
      </c>
      <c r="AG56" s="20">
        <v>1</v>
      </c>
      <c r="AH56" s="20">
        <v>1</v>
      </c>
      <c r="AI56" s="20">
        <v>1</v>
      </c>
      <c r="AJ56" s="20">
        <v>1</v>
      </c>
      <c r="AK56" s="20">
        <v>1</v>
      </c>
      <c r="AL56" s="20">
        <v>1</v>
      </c>
      <c r="AM56" s="20">
        <v>1</v>
      </c>
      <c r="AN56" s="2"/>
    </row>
    <row r="57" spans="1:44" s="66" customFormat="1" ht="17" customHeight="1" thickBot="1" x14ac:dyDescent="0.25">
      <c r="A57" s="66">
        <v>1</v>
      </c>
      <c r="B57" s="66" t="s">
        <v>137</v>
      </c>
      <c r="C57" s="66" t="s">
        <v>137</v>
      </c>
      <c r="E57" s="66" t="s">
        <v>137</v>
      </c>
      <c r="F57" s="66" t="s">
        <v>137</v>
      </c>
      <c r="G57" s="66" t="s">
        <v>137</v>
      </c>
      <c r="H57" s="66">
        <v>1</v>
      </c>
      <c r="I57" s="66">
        <v>1</v>
      </c>
      <c r="J57" s="66">
        <v>1</v>
      </c>
      <c r="K57" s="66">
        <v>1</v>
      </c>
      <c r="L57" s="66">
        <v>1</v>
      </c>
      <c r="M57" s="66">
        <v>1</v>
      </c>
      <c r="N57" s="66">
        <v>1</v>
      </c>
      <c r="O57" s="66">
        <v>1</v>
      </c>
      <c r="P57" s="66">
        <v>1</v>
      </c>
      <c r="Q57" s="66">
        <v>1</v>
      </c>
      <c r="R57" s="66">
        <v>1</v>
      </c>
      <c r="S57" s="66">
        <v>1</v>
      </c>
      <c r="T57" s="66">
        <v>1</v>
      </c>
      <c r="U57" s="66">
        <v>1</v>
      </c>
      <c r="V57" s="66">
        <v>1</v>
      </c>
      <c r="W57" s="66">
        <v>1</v>
      </c>
      <c r="X57" s="66">
        <v>1</v>
      </c>
      <c r="Z57" s="66">
        <v>1</v>
      </c>
      <c r="AA57" s="66">
        <v>1</v>
      </c>
      <c r="AB57" s="66">
        <v>1</v>
      </c>
      <c r="AC57" s="66">
        <v>1</v>
      </c>
      <c r="AD57" s="66">
        <v>1</v>
      </c>
      <c r="AF57" s="66">
        <v>1</v>
      </c>
      <c r="AG57" s="66">
        <v>1</v>
      </c>
      <c r="AH57" s="66">
        <v>1</v>
      </c>
      <c r="AI57" s="66">
        <v>1</v>
      </c>
      <c r="AJ57" s="66">
        <v>1</v>
      </c>
      <c r="AK57" s="66">
        <v>1</v>
      </c>
      <c r="AL57" s="66">
        <v>1</v>
      </c>
      <c r="AM57" s="66">
        <v>1</v>
      </c>
      <c r="AN57" s="68"/>
    </row>
    <row r="58" spans="1:44" ht="17" thickTop="1" x14ac:dyDescent="0.2">
      <c r="A58" s="20">
        <v>1</v>
      </c>
      <c r="B58" s="20">
        <v>1</v>
      </c>
      <c r="C58" s="20">
        <v>1</v>
      </c>
      <c r="D58" s="20"/>
      <c r="E58" s="20">
        <v>1</v>
      </c>
      <c r="F58" s="20">
        <v>1</v>
      </c>
      <c r="G58" s="20">
        <v>1</v>
      </c>
      <c r="H58" s="20">
        <v>1</v>
      </c>
      <c r="I58" s="20">
        <v>1</v>
      </c>
      <c r="J58" s="20">
        <v>1</v>
      </c>
      <c r="K58" s="20">
        <v>1</v>
      </c>
      <c r="L58" s="20">
        <v>1</v>
      </c>
      <c r="M58" s="20">
        <v>1</v>
      </c>
      <c r="N58" s="20">
        <v>1</v>
      </c>
      <c r="O58" s="20">
        <v>1</v>
      </c>
      <c r="P58" s="20">
        <v>1</v>
      </c>
      <c r="Q58" s="20">
        <v>0</v>
      </c>
      <c r="R58" s="20">
        <v>1</v>
      </c>
      <c r="S58" s="20">
        <v>1</v>
      </c>
      <c r="T58" s="20">
        <v>0</v>
      </c>
      <c r="U58" s="20">
        <v>1</v>
      </c>
      <c r="V58" s="20">
        <v>1</v>
      </c>
      <c r="W58" s="20">
        <v>1</v>
      </c>
      <c r="X58" s="20">
        <v>1</v>
      </c>
      <c r="Y58" s="20">
        <v>1</v>
      </c>
      <c r="Z58" s="20">
        <v>1</v>
      </c>
      <c r="AA58" s="20">
        <v>1</v>
      </c>
      <c r="AB58" s="20">
        <v>1</v>
      </c>
      <c r="AC58" s="20">
        <v>1</v>
      </c>
      <c r="AD58" s="20">
        <v>1</v>
      </c>
      <c r="AE58" s="20"/>
      <c r="AF58" s="20">
        <v>1</v>
      </c>
      <c r="AG58" s="20">
        <v>1</v>
      </c>
      <c r="AH58" s="20">
        <v>1</v>
      </c>
      <c r="AI58" s="20">
        <v>1</v>
      </c>
      <c r="AJ58" s="20">
        <v>1</v>
      </c>
      <c r="AK58" s="20">
        <v>1</v>
      </c>
      <c r="AL58" s="20" t="s">
        <v>137</v>
      </c>
      <c r="AM58" s="20">
        <v>1</v>
      </c>
    </row>
    <row r="59" spans="1:44" ht="16" x14ac:dyDescent="0.2">
      <c r="A59" s="20">
        <v>1</v>
      </c>
      <c r="B59" s="20" t="s">
        <v>137</v>
      </c>
      <c r="C59" s="20" t="s">
        <v>137</v>
      </c>
      <c r="D59" s="20"/>
      <c r="E59" s="20" t="s">
        <v>137</v>
      </c>
      <c r="F59" s="20" t="s">
        <v>137</v>
      </c>
      <c r="G59" s="20" t="s">
        <v>137</v>
      </c>
      <c r="H59" s="20" t="s">
        <v>137</v>
      </c>
      <c r="I59" s="20" t="s">
        <v>137</v>
      </c>
      <c r="J59" s="20" t="s">
        <v>137</v>
      </c>
      <c r="K59" s="20" t="s">
        <v>137</v>
      </c>
      <c r="L59" s="20" t="s">
        <v>137</v>
      </c>
      <c r="M59" s="20" t="s">
        <v>137</v>
      </c>
      <c r="N59" s="20" t="s">
        <v>137</v>
      </c>
      <c r="O59" s="20" t="s">
        <v>137</v>
      </c>
      <c r="P59" s="20" t="s">
        <v>137</v>
      </c>
      <c r="Q59" s="20" t="s">
        <v>137</v>
      </c>
      <c r="R59" s="20" t="s">
        <v>137</v>
      </c>
      <c r="S59" s="20" t="s">
        <v>137</v>
      </c>
      <c r="T59" s="20" t="s">
        <v>137</v>
      </c>
      <c r="U59" s="20" t="s">
        <v>137</v>
      </c>
      <c r="V59" s="20" t="s">
        <v>137</v>
      </c>
      <c r="W59" s="20" t="s">
        <v>137</v>
      </c>
      <c r="X59" s="20" t="s">
        <v>137</v>
      </c>
      <c r="Y59" s="20" t="s">
        <v>137</v>
      </c>
      <c r="Z59" s="20" t="s">
        <v>137</v>
      </c>
      <c r="AA59" s="20" t="s">
        <v>137</v>
      </c>
      <c r="AB59" s="20">
        <v>1</v>
      </c>
      <c r="AC59" s="20">
        <v>1</v>
      </c>
      <c r="AD59" s="20">
        <v>1</v>
      </c>
      <c r="AE59" s="20"/>
      <c r="AF59" s="20">
        <v>1</v>
      </c>
      <c r="AG59" s="20">
        <v>1</v>
      </c>
      <c r="AH59" s="20">
        <v>1</v>
      </c>
      <c r="AI59" s="20">
        <v>1</v>
      </c>
      <c r="AJ59" s="20">
        <v>1</v>
      </c>
      <c r="AK59" s="20">
        <v>1</v>
      </c>
      <c r="AL59" s="20" t="s">
        <v>137</v>
      </c>
      <c r="AM59" s="20">
        <v>1</v>
      </c>
    </row>
    <row r="60" spans="1:44" ht="16" x14ac:dyDescent="0.2">
      <c r="A60" s="20" t="s">
        <v>137</v>
      </c>
      <c r="B60" s="20" t="s">
        <v>137</v>
      </c>
      <c r="C60" s="20" t="s">
        <v>137</v>
      </c>
      <c r="D60" s="20"/>
      <c r="E60" s="20" t="s">
        <v>137</v>
      </c>
      <c r="F60" s="20" t="s">
        <v>137</v>
      </c>
      <c r="G60" s="20" t="s">
        <v>137</v>
      </c>
      <c r="H60" s="20" t="s">
        <v>137</v>
      </c>
      <c r="I60" s="20" t="s">
        <v>137</v>
      </c>
      <c r="J60" s="20" t="s">
        <v>137</v>
      </c>
      <c r="K60" s="20" t="s">
        <v>137</v>
      </c>
      <c r="L60" s="20" t="s">
        <v>137</v>
      </c>
      <c r="M60" s="20" t="s">
        <v>137</v>
      </c>
      <c r="N60" s="20" t="s">
        <v>137</v>
      </c>
      <c r="O60" s="20" t="s">
        <v>137</v>
      </c>
      <c r="P60" s="20" t="s">
        <v>137</v>
      </c>
      <c r="Q60" s="20" t="s">
        <v>137</v>
      </c>
      <c r="R60" s="20" t="s">
        <v>137</v>
      </c>
      <c r="S60" s="20" t="s">
        <v>137</v>
      </c>
      <c r="T60" s="20" t="s">
        <v>137</v>
      </c>
      <c r="U60" s="20" t="s">
        <v>137</v>
      </c>
      <c r="V60" s="20" t="s">
        <v>137</v>
      </c>
      <c r="W60" s="20" t="s">
        <v>137</v>
      </c>
      <c r="X60" s="20" t="s">
        <v>137</v>
      </c>
      <c r="Y60" s="20" t="s">
        <v>137</v>
      </c>
      <c r="Z60" s="20" t="s">
        <v>137</v>
      </c>
      <c r="AA60" s="20" t="s">
        <v>137</v>
      </c>
      <c r="AB60" s="20">
        <v>1</v>
      </c>
      <c r="AC60" s="20">
        <v>1</v>
      </c>
      <c r="AD60" s="20">
        <v>1</v>
      </c>
      <c r="AE60" s="20"/>
      <c r="AF60" s="20">
        <v>1</v>
      </c>
      <c r="AG60" s="20">
        <v>1</v>
      </c>
      <c r="AH60" s="20">
        <v>1</v>
      </c>
      <c r="AI60" s="20">
        <v>1</v>
      </c>
      <c r="AJ60" s="20">
        <v>1</v>
      </c>
      <c r="AK60" s="20">
        <v>1</v>
      </c>
      <c r="AL60" s="20" t="s">
        <v>137</v>
      </c>
      <c r="AM60" s="20">
        <v>1</v>
      </c>
      <c r="AN60" s="2" t="s">
        <v>142</v>
      </c>
      <c r="AO60" s="20" t="s">
        <v>446</v>
      </c>
      <c r="AP60" s="54">
        <f>SUM(A58:AK108)</f>
        <v>1011</v>
      </c>
      <c r="AQ60" s="20">
        <f>COUNT(A58:AK108)</f>
        <v>1031</v>
      </c>
      <c r="AR60" s="55">
        <f>AP60/AQ60</f>
        <v>0.98060135790494662</v>
      </c>
    </row>
    <row r="61" spans="1:44" ht="16" x14ac:dyDescent="0.2">
      <c r="A61" s="20" t="s">
        <v>137</v>
      </c>
      <c r="B61" s="20" t="s">
        <v>137</v>
      </c>
      <c r="C61" s="20" t="s">
        <v>137</v>
      </c>
      <c r="D61" s="20"/>
      <c r="E61" s="20" t="s">
        <v>137</v>
      </c>
      <c r="F61" s="20" t="s">
        <v>137</v>
      </c>
      <c r="G61" s="20" t="s">
        <v>137</v>
      </c>
      <c r="H61" s="20" t="s">
        <v>137</v>
      </c>
      <c r="I61" s="20" t="s">
        <v>137</v>
      </c>
      <c r="J61" s="20" t="s">
        <v>137</v>
      </c>
      <c r="K61" s="20" t="s">
        <v>137</v>
      </c>
      <c r="L61" s="20" t="s">
        <v>137</v>
      </c>
      <c r="M61" s="20" t="s">
        <v>137</v>
      </c>
      <c r="N61" s="20" t="s">
        <v>137</v>
      </c>
      <c r="O61" s="20" t="s">
        <v>137</v>
      </c>
      <c r="P61" s="20" t="s">
        <v>137</v>
      </c>
      <c r="Q61" s="20" t="s">
        <v>137</v>
      </c>
      <c r="R61" s="20" t="s">
        <v>137</v>
      </c>
      <c r="S61" s="20" t="s">
        <v>137</v>
      </c>
      <c r="T61" s="20" t="s">
        <v>137</v>
      </c>
      <c r="U61" s="20" t="s">
        <v>137</v>
      </c>
      <c r="V61" s="20" t="s">
        <v>137</v>
      </c>
      <c r="W61" s="20" t="s">
        <v>137</v>
      </c>
      <c r="X61" s="20" t="s">
        <v>137</v>
      </c>
      <c r="Y61" s="20" t="s">
        <v>137</v>
      </c>
      <c r="Z61" s="20" t="s">
        <v>137</v>
      </c>
      <c r="AA61" s="20" t="s">
        <v>137</v>
      </c>
      <c r="AB61" s="20">
        <v>1</v>
      </c>
      <c r="AC61" s="20">
        <v>1</v>
      </c>
      <c r="AD61" s="20">
        <v>1</v>
      </c>
      <c r="AE61" s="20"/>
      <c r="AF61" s="20">
        <v>1</v>
      </c>
      <c r="AG61" s="20">
        <v>1</v>
      </c>
      <c r="AH61" s="20">
        <v>1</v>
      </c>
      <c r="AI61" s="20">
        <v>1</v>
      </c>
      <c r="AJ61" s="20">
        <v>1</v>
      </c>
      <c r="AK61" s="20">
        <v>1</v>
      </c>
      <c r="AL61" s="20" t="s">
        <v>137</v>
      </c>
      <c r="AM61" s="20">
        <v>1</v>
      </c>
      <c r="AN61" s="2"/>
      <c r="AO61" s="20"/>
      <c r="AP61" s="54"/>
      <c r="AQ61" s="54"/>
      <c r="AR61" s="55"/>
    </row>
    <row r="62" spans="1:44" ht="16" x14ac:dyDescent="0.2">
      <c r="A62" s="20" t="s">
        <v>137</v>
      </c>
      <c r="B62" s="20" t="s">
        <v>137</v>
      </c>
      <c r="C62" s="20" t="s">
        <v>137</v>
      </c>
      <c r="D62" s="20"/>
      <c r="E62" s="20" t="s">
        <v>137</v>
      </c>
      <c r="F62" s="20" t="s">
        <v>137</v>
      </c>
      <c r="G62" s="20" t="s">
        <v>137</v>
      </c>
      <c r="H62" s="20">
        <v>1</v>
      </c>
      <c r="I62" s="20">
        <v>1</v>
      </c>
      <c r="J62" s="20">
        <v>1</v>
      </c>
      <c r="K62" s="20">
        <v>1</v>
      </c>
      <c r="L62" s="20">
        <v>1</v>
      </c>
      <c r="M62" s="20">
        <v>1</v>
      </c>
      <c r="N62" s="20">
        <v>1</v>
      </c>
      <c r="O62" s="20">
        <v>1</v>
      </c>
      <c r="P62" s="20">
        <v>1</v>
      </c>
      <c r="Q62" s="20">
        <v>0</v>
      </c>
      <c r="R62" s="20">
        <v>1</v>
      </c>
      <c r="S62" s="20">
        <v>1</v>
      </c>
      <c r="T62" s="20">
        <v>1</v>
      </c>
      <c r="U62" s="20">
        <v>1</v>
      </c>
      <c r="V62" s="20">
        <v>1</v>
      </c>
      <c r="W62" s="20">
        <v>1</v>
      </c>
      <c r="X62" s="20">
        <v>1</v>
      </c>
      <c r="Y62" s="20">
        <v>1</v>
      </c>
      <c r="Z62" s="20">
        <v>1</v>
      </c>
      <c r="AA62" s="20">
        <v>1</v>
      </c>
      <c r="AB62" s="20">
        <v>1</v>
      </c>
      <c r="AC62" s="20">
        <v>1</v>
      </c>
      <c r="AD62" s="20">
        <v>1</v>
      </c>
      <c r="AE62" s="20"/>
      <c r="AF62" s="20">
        <v>1</v>
      </c>
      <c r="AG62" s="20">
        <v>1</v>
      </c>
      <c r="AH62" s="20">
        <v>1</v>
      </c>
      <c r="AI62" s="20">
        <v>1</v>
      </c>
      <c r="AJ62" s="20">
        <v>1</v>
      </c>
      <c r="AK62" s="20">
        <v>1</v>
      </c>
      <c r="AL62" s="20" t="s">
        <v>137</v>
      </c>
      <c r="AM62" s="20">
        <v>1</v>
      </c>
      <c r="AN62" s="2"/>
      <c r="AO62" s="20"/>
      <c r="AP62" s="20"/>
      <c r="AQ62" s="20"/>
      <c r="AR62" s="20"/>
    </row>
    <row r="63" spans="1:44" ht="16" x14ac:dyDescent="0.2">
      <c r="A63" s="20" t="s">
        <v>137</v>
      </c>
      <c r="B63" s="20" t="s">
        <v>137</v>
      </c>
      <c r="C63" s="20" t="s">
        <v>137</v>
      </c>
      <c r="D63" s="20"/>
      <c r="E63" s="20" t="s">
        <v>137</v>
      </c>
      <c r="F63" s="20" t="s">
        <v>137</v>
      </c>
      <c r="G63" s="20" t="s">
        <v>137</v>
      </c>
      <c r="H63" s="20" t="s">
        <v>137</v>
      </c>
      <c r="I63" s="20" t="s">
        <v>137</v>
      </c>
      <c r="J63" s="20" t="s">
        <v>137</v>
      </c>
      <c r="K63" s="20" t="s">
        <v>137</v>
      </c>
      <c r="L63" s="20" t="s">
        <v>137</v>
      </c>
      <c r="M63" s="20" t="s">
        <v>137</v>
      </c>
      <c r="N63" s="20" t="s">
        <v>137</v>
      </c>
      <c r="O63" s="20" t="s">
        <v>137</v>
      </c>
      <c r="P63" s="20" t="s">
        <v>137</v>
      </c>
      <c r="Q63" s="20" t="s">
        <v>137</v>
      </c>
      <c r="R63" s="20" t="s">
        <v>137</v>
      </c>
      <c r="S63" s="20" t="s">
        <v>137</v>
      </c>
      <c r="T63" s="20" t="s">
        <v>137</v>
      </c>
      <c r="U63" s="20" t="s">
        <v>137</v>
      </c>
      <c r="V63" s="20" t="s">
        <v>137</v>
      </c>
      <c r="W63" s="20" t="s">
        <v>137</v>
      </c>
      <c r="X63" s="20" t="s">
        <v>137</v>
      </c>
      <c r="Y63" s="20" t="s">
        <v>137</v>
      </c>
      <c r="Z63" s="20" t="s">
        <v>137</v>
      </c>
      <c r="AA63" s="20" t="s">
        <v>137</v>
      </c>
      <c r="AB63" s="20">
        <v>1</v>
      </c>
      <c r="AC63" s="20">
        <v>1</v>
      </c>
      <c r="AD63" s="20">
        <v>1</v>
      </c>
      <c r="AE63" s="20"/>
      <c r="AF63" s="20">
        <v>1</v>
      </c>
      <c r="AG63" s="20">
        <v>1</v>
      </c>
      <c r="AH63" s="20">
        <v>1</v>
      </c>
      <c r="AI63" s="20">
        <v>1</v>
      </c>
      <c r="AJ63" s="20">
        <v>1</v>
      </c>
      <c r="AK63" s="20">
        <v>1</v>
      </c>
      <c r="AL63" s="20" t="s">
        <v>137</v>
      </c>
      <c r="AM63" s="20">
        <v>1</v>
      </c>
      <c r="AN63" s="2" t="s">
        <v>223</v>
      </c>
      <c r="AO63" s="20" t="s">
        <v>447</v>
      </c>
      <c r="AP63" s="54">
        <f>SUM(A3:AK108)</f>
        <v>2274</v>
      </c>
      <c r="AQ63" s="20">
        <f>COUNT(A3:AK108)</f>
        <v>2353</v>
      </c>
      <c r="AR63" s="55">
        <f>AP63/AQ63</f>
        <v>0.96642583935401616</v>
      </c>
    </row>
    <row r="64" spans="1:44" ht="16" x14ac:dyDescent="0.2">
      <c r="A64" s="20" t="s">
        <v>137</v>
      </c>
      <c r="B64" s="20" t="s">
        <v>137</v>
      </c>
      <c r="C64" s="20" t="s">
        <v>137</v>
      </c>
      <c r="D64" s="20"/>
      <c r="E64" s="20" t="s">
        <v>137</v>
      </c>
      <c r="F64" s="20" t="s">
        <v>137</v>
      </c>
      <c r="G64" s="20" t="s">
        <v>137</v>
      </c>
      <c r="H64" s="20" t="s">
        <v>137</v>
      </c>
      <c r="I64" s="20" t="s">
        <v>137</v>
      </c>
      <c r="J64" s="20" t="s">
        <v>137</v>
      </c>
      <c r="K64" s="20" t="s">
        <v>137</v>
      </c>
      <c r="L64" s="20" t="s">
        <v>137</v>
      </c>
      <c r="M64" s="20" t="s">
        <v>137</v>
      </c>
      <c r="N64" s="20" t="s">
        <v>137</v>
      </c>
      <c r="O64" s="20" t="s">
        <v>137</v>
      </c>
      <c r="P64" s="20" t="s">
        <v>137</v>
      </c>
      <c r="Q64" s="20" t="s">
        <v>137</v>
      </c>
      <c r="R64" s="20" t="s">
        <v>137</v>
      </c>
      <c r="S64" s="20" t="s">
        <v>137</v>
      </c>
      <c r="T64" s="20" t="s">
        <v>137</v>
      </c>
      <c r="U64" s="20" t="s">
        <v>137</v>
      </c>
      <c r="V64" s="20" t="s">
        <v>137</v>
      </c>
      <c r="W64" s="20" t="s">
        <v>137</v>
      </c>
      <c r="X64" s="20" t="s">
        <v>137</v>
      </c>
      <c r="Y64" s="20" t="s">
        <v>137</v>
      </c>
      <c r="Z64" s="20" t="s">
        <v>137</v>
      </c>
      <c r="AA64" s="20" t="s">
        <v>137</v>
      </c>
      <c r="AB64" s="20">
        <v>1</v>
      </c>
      <c r="AC64" s="20">
        <v>1</v>
      </c>
      <c r="AD64" s="20">
        <v>1</v>
      </c>
      <c r="AE64" s="20"/>
      <c r="AF64" s="20">
        <v>1</v>
      </c>
      <c r="AG64" s="20">
        <v>1</v>
      </c>
      <c r="AH64" s="20">
        <v>1</v>
      </c>
      <c r="AI64" s="20">
        <v>1</v>
      </c>
      <c r="AJ64" s="20">
        <v>1</v>
      </c>
      <c r="AK64" s="20">
        <v>1</v>
      </c>
      <c r="AL64" s="20" t="s">
        <v>137</v>
      </c>
      <c r="AM64" s="20">
        <v>1</v>
      </c>
    </row>
    <row r="65" spans="1:39" ht="16" x14ac:dyDescent="0.2">
      <c r="A65" s="20" t="s">
        <v>137</v>
      </c>
      <c r="B65" s="20" t="s">
        <v>137</v>
      </c>
      <c r="C65" s="20" t="s">
        <v>137</v>
      </c>
      <c r="D65" s="20"/>
      <c r="E65" s="20" t="s">
        <v>137</v>
      </c>
      <c r="F65" s="20" t="s">
        <v>137</v>
      </c>
      <c r="G65" s="20" t="s">
        <v>137</v>
      </c>
      <c r="H65" s="20" t="s">
        <v>137</v>
      </c>
      <c r="I65" s="20" t="s">
        <v>137</v>
      </c>
      <c r="J65" s="20" t="s">
        <v>137</v>
      </c>
      <c r="K65" s="20" t="s">
        <v>137</v>
      </c>
      <c r="L65" s="20" t="s">
        <v>137</v>
      </c>
      <c r="M65" s="20" t="s">
        <v>137</v>
      </c>
      <c r="N65" s="20" t="s">
        <v>137</v>
      </c>
      <c r="O65" s="20" t="s">
        <v>137</v>
      </c>
      <c r="P65" s="20" t="s">
        <v>137</v>
      </c>
      <c r="Q65" s="20" t="s">
        <v>137</v>
      </c>
      <c r="R65" s="20" t="s">
        <v>137</v>
      </c>
      <c r="S65" s="20" t="s">
        <v>137</v>
      </c>
      <c r="T65" s="20" t="s">
        <v>137</v>
      </c>
      <c r="U65" s="20" t="s">
        <v>137</v>
      </c>
      <c r="V65" s="20" t="s">
        <v>137</v>
      </c>
      <c r="W65" s="20" t="s">
        <v>137</v>
      </c>
      <c r="X65" s="20" t="s">
        <v>137</v>
      </c>
      <c r="Y65" s="20" t="s">
        <v>137</v>
      </c>
      <c r="Z65" s="20" t="s">
        <v>137</v>
      </c>
      <c r="AA65" s="20" t="s">
        <v>137</v>
      </c>
      <c r="AB65" s="20">
        <v>1</v>
      </c>
      <c r="AC65" s="20">
        <v>1</v>
      </c>
      <c r="AD65" s="20">
        <v>1</v>
      </c>
      <c r="AE65" s="20"/>
      <c r="AF65" s="20">
        <v>1</v>
      </c>
      <c r="AG65" s="20">
        <v>1</v>
      </c>
      <c r="AH65" s="20">
        <v>1</v>
      </c>
      <c r="AI65" s="20">
        <v>1</v>
      </c>
      <c r="AJ65" s="20">
        <v>1</v>
      </c>
      <c r="AK65" s="20">
        <v>1</v>
      </c>
      <c r="AL65" s="20" t="s">
        <v>137</v>
      </c>
      <c r="AM65" s="20">
        <v>1</v>
      </c>
    </row>
    <row r="66" spans="1:39" ht="16" x14ac:dyDescent="0.2">
      <c r="A66" s="20">
        <v>1</v>
      </c>
      <c r="B66" s="20">
        <v>1</v>
      </c>
      <c r="C66" s="20">
        <v>1</v>
      </c>
      <c r="D66" s="20"/>
      <c r="E66" s="20">
        <v>1</v>
      </c>
      <c r="F66" s="20">
        <v>1</v>
      </c>
      <c r="G66" s="20">
        <v>1</v>
      </c>
      <c r="H66" s="20">
        <v>1</v>
      </c>
      <c r="I66" s="20">
        <v>1</v>
      </c>
      <c r="J66" s="20">
        <v>1</v>
      </c>
      <c r="K66" s="20">
        <v>1</v>
      </c>
      <c r="L66" s="20">
        <v>1</v>
      </c>
      <c r="M66" s="20">
        <v>1</v>
      </c>
      <c r="N66" s="20">
        <v>1</v>
      </c>
      <c r="O66" s="20">
        <v>1</v>
      </c>
      <c r="P66" s="20">
        <v>1</v>
      </c>
      <c r="Q66" s="20">
        <v>1</v>
      </c>
      <c r="R66" s="20">
        <v>1</v>
      </c>
      <c r="S66" s="20">
        <v>1</v>
      </c>
      <c r="T66" s="20">
        <v>1</v>
      </c>
      <c r="U66" s="20">
        <v>1</v>
      </c>
      <c r="V66" s="20">
        <v>1</v>
      </c>
      <c r="W66" s="20">
        <v>1</v>
      </c>
      <c r="X66" s="20">
        <v>1</v>
      </c>
      <c r="Y66" s="20">
        <v>1</v>
      </c>
      <c r="Z66" s="20">
        <v>1</v>
      </c>
      <c r="AA66" s="20" t="s">
        <v>137</v>
      </c>
      <c r="AB66" s="20">
        <v>1</v>
      </c>
      <c r="AC66" s="20">
        <v>1</v>
      </c>
      <c r="AD66" s="20">
        <v>1</v>
      </c>
      <c r="AE66" s="20"/>
      <c r="AF66" s="20">
        <v>1</v>
      </c>
      <c r="AG66" s="20">
        <v>1</v>
      </c>
      <c r="AH66" s="20">
        <v>1</v>
      </c>
      <c r="AI66" s="20">
        <v>1</v>
      </c>
      <c r="AJ66" s="20">
        <v>1</v>
      </c>
      <c r="AK66" s="20">
        <v>1</v>
      </c>
      <c r="AL66" s="20" t="s">
        <v>137</v>
      </c>
      <c r="AM66" s="20">
        <v>1</v>
      </c>
    </row>
    <row r="67" spans="1:39" ht="16" x14ac:dyDescent="0.2">
      <c r="A67" s="20" t="s">
        <v>137</v>
      </c>
      <c r="B67" s="20" t="s">
        <v>137</v>
      </c>
      <c r="C67" s="20" t="s">
        <v>137</v>
      </c>
      <c r="D67" s="20"/>
      <c r="E67" s="20" t="s">
        <v>137</v>
      </c>
      <c r="F67" s="20" t="s">
        <v>137</v>
      </c>
      <c r="G67" s="20" t="s">
        <v>137</v>
      </c>
      <c r="H67" s="20" t="s">
        <v>137</v>
      </c>
      <c r="I67" s="20" t="s">
        <v>137</v>
      </c>
      <c r="J67" s="20" t="s">
        <v>137</v>
      </c>
      <c r="K67" s="20" t="s">
        <v>137</v>
      </c>
      <c r="L67" s="20" t="s">
        <v>137</v>
      </c>
      <c r="M67" s="20" t="s">
        <v>137</v>
      </c>
      <c r="N67" s="20" t="s">
        <v>137</v>
      </c>
      <c r="O67" s="20" t="s">
        <v>137</v>
      </c>
      <c r="P67" s="20" t="s">
        <v>137</v>
      </c>
      <c r="Q67" s="20" t="s">
        <v>137</v>
      </c>
      <c r="R67" s="20" t="s">
        <v>137</v>
      </c>
      <c r="S67" s="20" t="s">
        <v>137</v>
      </c>
      <c r="T67" s="20" t="s">
        <v>137</v>
      </c>
      <c r="U67" s="20" t="s">
        <v>137</v>
      </c>
      <c r="V67" s="20" t="s">
        <v>137</v>
      </c>
      <c r="W67" s="20" t="s">
        <v>137</v>
      </c>
      <c r="X67" s="20" t="s">
        <v>137</v>
      </c>
      <c r="Y67" s="20" t="s">
        <v>137</v>
      </c>
      <c r="Z67" s="20" t="s">
        <v>137</v>
      </c>
      <c r="AA67" s="20" t="s">
        <v>137</v>
      </c>
      <c r="AB67" s="20">
        <v>1</v>
      </c>
      <c r="AC67" s="20">
        <v>1</v>
      </c>
      <c r="AD67" s="20">
        <v>1</v>
      </c>
      <c r="AE67" s="20"/>
      <c r="AF67" s="20">
        <v>1</v>
      </c>
      <c r="AG67" s="20">
        <v>1</v>
      </c>
      <c r="AH67" s="20">
        <v>1</v>
      </c>
      <c r="AI67" s="20">
        <v>1</v>
      </c>
      <c r="AJ67" s="20">
        <v>1</v>
      </c>
      <c r="AK67" s="20">
        <v>1</v>
      </c>
      <c r="AL67" s="20" t="s">
        <v>137</v>
      </c>
      <c r="AM67" s="20">
        <v>1</v>
      </c>
    </row>
    <row r="68" spans="1:39" ht="16" x14ac:dyDescent="0.2">
      <c r="A68" s="20" t="s">
        <v>137</v>
      </c>
      <c r="B68" s="20" t="s">
        <v>137</v>
      </c>
      <c r="C68" s="20" t="s">
        <v>137</v>
      </c>
      <c r="D68" s="20"/>
      <c r="E68" s="20" t="s">
        <v>137</v>
      </c>
      <c r="F68" s="20" t="s">
        <v>137</v>
      </c>
      <c r="G68" s="20" t="s">
        <v>137</v>
      </c>
      <c r="H68" s="20" t="s">
        <v>137</v>
      </c>
      <c r="I68" s="20" t="s">
        <v>137</v>
      </c>
      <c r="J68" s="20" t="s">
        <v>137</v>
      </c>
      <c r="K68" s="20" t="s">
        <v>137</v>
      </c>
      <c r="L68" s="20" t="s">
        <v>137</v>
      </c>
      <c r="M68" s="20" t="s">
        <v>137</v>
      </c>
      <c r="N68" s="20" t="s">
        <v>137</v>
      </c>
      <c r="O68" s="20" t="s">
        <v>137</v>
      </c>
      <c r="P68" s="20" t="s">
        <v>137</v>
      </c>
      <c r="Q68" s="20" t="s">
        <v>137</v>
      </c>
      <c r="R68" s="20" t="s">
        <v>137</v>
      </c>
      <c r="S68" s="20" t="s">
        <v>137</v>
      </c>
      <c r="T68" s="20" t="s">
        <v>137</v>
      </c>
      <c r="U68" s="20" t="s">
        <v>137</v>
      </c>
      <c r="V68" s="20" t="s">
        <v>137</v>
      </c>
      <c r="W68" s="20" t="s">
        <v>137</v>
      </c>
      <c r="X68" s="20" t="s">
        <v>137</v>
      </c>
      <c r="Y68" s="20" t="s">
        <v>137</v>
      </c>
      <c r="Z68" s="20" t="s">
        <v>137</v>
      </c>
      <c r="AA68" s="20" t="s">
        <v>137</v>
      </c>
      <c r="AB68" s="20">
        <v>1</v>
      </c>
      <c r="AC68" s="20">
        <v>1</v>
      </c>
      <c r="AD68" s="20">
        <v>1</v>
      </c>
      <c r="AE68" s="20"/>
      <c r="AF68" s="20">
        <v>1</v>
      </c>
      <c r="AG68" s="20">
        <v>1</v>
      </c>
      <c r="AH68" s="20">
        <v>1</v>
      </c>
      <c r="AI68" s="20">
        <v>1</v>
      </c>
      <c r="AJ68" s="20">
        <v>1</v>
      </c>
      <c r="AK68" s="20">
        <v>1</v>
      </c>
      <c r="AL68" s="20" t="s">
        <v>137</v>
      </c>
      <c r="AM68" s="20">
        <v>1</v>
      </c>
    </row>
    <row r="69" spans="1:39" ht="16" x14ac:dyDescent="0.2">
      <c r="A69" s="20" t="s">
        <v>137</v>
      </c>
      <c r="B69" s="20" t="s">
        <v>137</v>
      </c>
      <c r="C69" s="20" t="s">
        <v>137</v>
      </c>
      <c r="D69" s="20"/>
      <c r="E69" s="20" t="s">
        <v>137</v>
      </c>
      <c r="F69" s="20" t="s">
        <v>137</v>
      </c>
      <c r="G69" s="20" t="s">
        <v>137</v>
      </c>
      <c r="H69" s="20" t="s">
        <v>137</v>
      </c>
      <c r="I69" s="20" t="s">
        <v>137</v>
      </c>
      <c r="J69" s="20" t="s">
        <v>137</v>
      </c>
      <c r="K69" s="20" t="s">
        <v>137</v>
      </c>
      <c r="L69" s="20" t="s">
        <v>137</v>
      </c>
      <c r="M69" s="20" t="s">
        <v>137</v>
      </c>
      <c r="N69" s="20" t="s">
        <v>137</v>
      </c>
      <c r="O69" s="20" t="s">
        <v>137</v>
      </c>
      <c r="P69" s="20" t="s">
        <v>137</v>
      </c>
      <c r="Q69" s="20" t="s">
        <v>137</v>
      </c>
      <c r="R69" s="20" t="s">
        <v>137</v>
      </c>
      <c r="S69" s="20" t="s">
        <v>137</v>
      </c>
      <c r="T69" s="20" t="s">
        <v>137</v>
      </c>
      <c r="U69" s="20" t="s">
        <v>137</v>
      </c>
      <c r="V69" s="20" t="s">
        <v>137</v>
      </c>
      <c r="W69" s="20" t="s">
        <v>137</v>
      </c>
      <c r="X69" s="20" t="s">
        <v>137</v>
      </c>
      <c r="Y69" s="20" t="s">
        <v>137</v>
      </c>
      <c r="Z69" s="20" t="s">
        <v>137</v>
      </c>
      <c r="AA69" s="20" t="s">
        <v>137</v>
      </c>
      <c r="AB69" s="20">
        <v>1</v>
      </c>
      <c r="AC69" s="20">
        <v>1</v>
      </c>
      <c r="AD69" s="20">
        <v>1</v>
      </c>
      <c r="AE69" s="20"/>
      <c r="AF69" s="20">
        <v>1</v>
      </c>
      <c r="AG69" s="20">
        <v>1</v>
      </c>
      <c r="AH69" s="20">
        <v>1</v>
      </c>
      <c r="AI69" s="20">
        <v>1</v>
      </c>
      <c r="AJ69" s="20">
        <v>1</v>
      </c>
      <c r="AK69" s="20">
        <v>1</v>
      </c>
      <c r="AL69" s="20" t="s">
        <v>137</v>
      </c>
      <c r="AM69" s="20">
        <v>1</v>
      </c>
    </row>
    <row r="70" spans="1:39" ht="16" x14ac:dyDescent="0.2">
      <c r="A70" s="20" t="s">
        <v>137</v>
      </c>
      <c r="B70" s="20" t="s">
        <v>137</v>
      </c>
      <c r="C70" s="20" t="s">
        <v>137</v>
      </c>
      <c r="D70" s="20"/>
      <c r="E70" s="20" t="s">
        <v>137</v>
      </c>
      <c r="F70" s="20" t="s">
        <v>137</v>
      </c>
      <c r="G70" s="20" t="s">
        <v>137</v>
      </c>
      <c r="H70" s="20" t="s">
        <v>137</v>
      </c>
      <c r="I70" s="20" t="s">
        <v>137</v>
      </c>
      <c r="J70" s="20" t="s">
        <v>137</v>
      </c>
      <c r="K70" s="20" t="s">
        <v>137</v>
      </c>
      <c r="L70" s="20" t="s">
        <v>137</v>
      </c>
      <c r="M70" s="20" t="s">
        <v>137</v>
      </c>
      <c r="N70" s="20" t="s">
        <v>137</v>
      </c>
      <c r="O70" s="20" t="s">
        <v>137</v>
      </c>
      <c r="P70" s="20" t="s">
        <v>137</v>
      </c>
      <c r="Q70" s="20" t="s">
        <v>137</v>
      </c>
      <c r="R70" s="20" t="s">
        <v>137</v>
      </c>
      <c r="S70" s="20" t="s">
        <v>137</v>
      </c>
      <c r="T70" s="20" t="s">
        <v>137</v>
      </c>
      <c r="U70" s="20" t="s">
        <v>137</v>
      </c>
      <c r="V70" s="20" t="s">
        <v>137</v>
      </c>
      <c r="W70" s="20" t="s">
        <v>137</v>
      </c>
      <c r="X70" s="20" t="s">
        <v>137</v>
      </c>
      <c r="Y70" s="20" t="s">
        <v>137</v>
      </c>
      <c r="Z70" s="20" t="s">
        <v>137</v>
      </c>
      <c r="AA70" s="20" t="s">
        <v>137</v>
      </c>
      <c r="AB70" s="20">
        <v>1</v>
      </c>
      <c r="AC70" s="20">
        <v>1</v>
      </c>
      <c r="AD70" s="20">
        <v>1</v>
      </c>
      <c r="AE70" s="20"/>
      <c r="AF70" s="20">
        <v>1</v>
      </c>
      <c r="AG70" s="20">
        <v>1</v>
      </c>
      <c r="AH70" s="20">
        <v>1</v>
      </c>
      <c r="AI70" s="20">
        <v>1</v>
      </c>
      <c r="AJ70" s="20">
        <v>1</v>
      </c>
      <c r="AK70" s="20">
        <v>1</v>
      </c>
      <c r="AL70" s="20" t="s">
        <v>137</v>
      </c>
      <c r="AM70" s="20">
        <v>1</v>
      </c>
    </row>
    <row r="71" spans="1:39" ht="16" x14ac:dyDescent="0.2">
      <c r="A71" s="20" t="s">
        <v>137</v>
      </c>
      <c r="B71" s="20" t="s">
        <v>137</v>
      </c>
      <c r="C71" s="20" t="s">
        <v>137</v>
      </c>
      <c r="D71" s="20"/>
      <c r="E71" s="20" t="s">
        <v>137</v>
      </c>
      <c r="F71" s="20" t="s">
        <v>137</v>
      </c>
      <c r="G71" s="20" t="s">
        <v>137</v>
      </c>
      <c r="H71" s="20">
        <v>1</v>
      </c>
      <c r="I71" s="20">
        <v>1</v>
      </c>
      <c r="J71" s="20">
        <v>1</v>
      </c>
      <c r="K71" s="20">
        <v>1</v>
      </c>
      <c r="L71" s="20">
        <v>1</v>
      </c>
      <c r="M71" s="20">
        <v>1</v>
      </c>
      <c r="N71" s="20">
        <v>1</v>
      </c>
      <c r="O71" s="20">
        <v>1</v>
      </c>
      <c r="P71" s="20">
        <v>1</v>
      </c>
      <c r="Q71" s="20">
        <v>1</v>
      </c>
      <c r="R71" s="20">
        <v>1</v>
      </c>
      <c r="S71" s="20">
        <v>1</v>
      </c>
      <c r="T71" s="20">
        <v>1</v>
      </c>
      <c r="U71" s="20">
        <v>1</v>
      </c>
      <c r="V71" s="20">
        <v>1</v>
      </c>
      <c r="W71" s="20">
        <v>1</v>
      </c>
      <c r="X71" s="20">
        <v>1</v>
      </c>
      <c r="Y71" s="20">
        <v>1</v>
      </c>
      <c r="Z71" s="20">
        <v>1</v>
      </c>
      <c r="AA71" s="20" t="s">
        <v>137</v>
      </c>
      <c r="AB71" s="20">
        <v>1</v>
      </c>
      <c r="AC71" s="20">
        <v>1</v>
      </c>
      <c r="AD71" s="20">
        <v>1</v>
      </c>
      <c r="AE71" s="20"/>
      <c r="AF71" s="20">
        <v>1</v>
      </c>
      <c r="AG71" s="20">
        <v>1</v>
      </c>
      <c r="AH71" s="20">
        <v>1</v>
      </c>
      <c r="AI71" s="20">
        <v>1</v>
      </c>
      <c r="AJ71" s="20">
        <v>1</v>
      </c>
      <c r="AK71" s="20">
        <v>1</v>
      </c>
      <c r="AL71" s="20" t="s">
        <v>137</v>
      </c>
      <c r="AM71" s="20">
        <v>1</v>
      </c>
    </row>
    <row r="72" spans="1:39" ht="16" x14ac:dyDescent="0.2">
      <c r="A72" s="20" t="s">
        <v>137</v>
      </c>
      <c r="B72" s="20" t="s">
        <v>137</v>
      </c>
      <c r="C72" s="20" t="s">
        <v>137</v>
      </c>
      <c r="D72" s="20"/>
      <c r="E72" s="20" t="s">
        <v>137</v>
      </c>
      <c r="F72" s="20" t="s">
        <v>137</v>
      </c>
      <c r="G72" s="20" t="s">
        <v>137</v>
      </c>
      <c r="H72" s="20" t="s">
        <v>137</v>
      </c>
      <c r="I72" s="20" t="s">
        <v>137</v>
      </c>
      <c r="J72" s="20" t="s">
        <v>137</v>
      </c>
      <c r="K72" s="20" t="s">
        <v>137</v>
      </c>
      <c r="L72" s="20" t="s">
        <v>137</v>
      </c>
      <c r="M72" s="20" t="s">
        <v>137</v>
      </c>
      <c r="N72" s="20" t="s">
        <v>137</v>
      </c>
      <c r="O72" s="20" t="s">
        <v>137</v>
      </c>
      <c r="P72" s="20" t="s">
        <v>137</v>
      </c>
      <c r="Q72" s="20" t="s">
        <v>137</v>
      </c>
      <c r="R72" s="20" t="s">
        <v>137</v>
      </c>
      <c r="S72" s="20" t="s">
        <v>137</v>
      </c>
      <c r="T72" s="20" t="s">
        <v>137</v>
      </c>
      <c r="U72" s="20" t="s">
        <v>137</v>
      </c>
      <c r="V72" s="20" t="s">
        <v>137</v>
      </c>
      <c r="W72" s="20" t="s">
        <v>137</v>
      </c>
      <c r="X72" s="20" t="s">
        <v>137</v>
      </c>
      <c r="Y72" s="20" t="s">
        <v>137</v>
      </c>
      <c r="Z72" s="20" t="s">
        <v>137</v>
      </c>
      <c r="AA72" s="20" t="s">
        <v>137</v>
      </c>
      <c r="AB72" s="20">
        <v>1</v>
      </c>
      <c r="AC72" s="20">
        <v>1</v>
      </c>
      <c r="AD72" s="20">
        <v>1</v>
      </c>
      <c r="AE72" s="20"/>
      <c r="AF72" s="20">
        <v>1</v>
      </c>
      <c r="AG72" s="20">
        <v>1</v>
      </c>
      <c r="AH72" s="20">
        <v>1</v>
      </c>
      <c r="AI72" s="20">
        <v>1</v>
      </c>
      <c r="AJ72" s="20">
        <v>1</v>
      </c>
      <c r="AK72" s="20">
        <v>1</v>
      </c>
      <c r="AL72" s="20" t="s">
        <v>137</v>
      </c>
      <c r="AM72" s="20">
        <v>1</v>
      </c>
    </row>
    <row r="73" spans="1:39" ht="16" x14ac:dyDescent="0.2">
      <c r="A73" s="20" t="s">
        <v>137</v>
      </c>
      <c r="B73" s="20" t="s">
        <v>137</v>
      </c>
      <c r="C73" s="20" t="s">
        <v>137</v>
      </c>
      <c r="D73" s="20"/>
      <c r="E73" s="20" t="s">
        <v>137</v>
      </c>
      <c r="F73" s="20" t="s">
        <v>137</v>
      </c>
      <c r="G73" s="20" t="s">
        <v>137</v>
      </c>
      <c r="H73" s="20" t="s">
        <v>137</v>
      </c>
      <c r="I73" s="20" t="s">
        <v>137</v>
      </c>
      <c r="J73" s="20" t="s">
        <v>137</v>
      </c>
      <c r="K73" s="20" t="s">
        <v>137</v>
      </c>
      <c r="L73" s="20" t="s">
        <v>137</v>
      </c>
      <c r="M73" s="20" t="s">
        <v>137</v>
      </c>
      <c r="N73" s="20" t="s">
        <v>137</v>
      </c>
      <c r="O73" s="20" t="s">
        <v>137</v>
      </c>
      <c r="P73" s="20" t="s">
        <v>137</v>
      </c>
      <c r="Q73" s="20" t="s">
        <v>137</v>
      </c>
      <c r="R73" s="20" t="s">
        <v>137</v>
      </c>
      <c r="S73" s="20" t="s">
        <v>137</v>
      </c>
      <c r="T73" s="20" t="s">
        <v>137</v>
      </c>
      <c r="U73" s="20" t="s">
        <v>137</v>
      </c>
      <c r="V73" s="20" t="s">
        <v>137</v>
      </c>
      <c r="W73" s="20" t="s">
        <v>137</v>
      </c>
      <c r="X73" s="20" t="s">
        <v>137</v>
      </c>
      <c r="Y73" s="20" t="s">
        <v>137</v>
      </c>
      <c r="Z73" s="20" t="s">
        <v>137</v>
      </c>
      <c r="AA73" s="20" t="s">
        <v>137</v>
      </c>
      <c r="AB73" s="20">
        <v>1</v>
      </c>
      <c r="AC73" s="20">
        <v>1</v>
      </c>
      <c r="AD73" s="20">
        <v>1</v>
      </c>
      <c r="AE73" s="20"/>
      <c r="AF73" s="20">
        <v>1</v>
      </c>
      <c r="AG73" s="20">
        <v>1</v>
      </c>
      <c r="AH73" s="20">
        <v>1</v>
      </c>
      <c r="AI73" s="20">
        <v>1</v>
      </c>
      <c r="AJ73" s="20">
        <v>1</v>
      </c>
      <c r="AK73" s="20">
        <v>1</v>
      </c>
      <c r="AL73" s="20" t="s">
        <v>137</v>
      </c>
      <c r="AM73" s="20">
        <v>1</v>
      </c>
    </row>
    <row r="74" spans="1:39" ht="16" x14ac:dyDescent="0.2">
      <c r="A74" s="20" t="s">
        <v>137</v>
      </c>
      <c r="B74" s="20" t="s">
        <v>137</v>
      </c>
      <c r="C74" s="20" t="s">
        <v>137</v>
      </c>
      <c r="D74" s="20"/>
      <c r="E74" s="20" t="s">
        <v>137</v>
      </c>
      <c r="F74" s="20" t="s">
        <v>137</v>
      </c>
      <c r="G74" s="20" t="s">
        <v>137</v>
      </c>
      <c r="H74" s="20" t="s">
        <v>137</v>
      </c>
      <c r="I74" s="20" t="s">
        <v>137</v>
      </c>
      <c r="J74" s="20" t="s">
        <v>137</v>
      </c>
      <c r="K74" s="20" t="s">
        <v>137</v>
      </c>
      <c r="L74" s="20" t="s">
        <v>137</v>
      </c>
      <c r="M74" s="20" t="s">
        <v>137</v>
      </c>
      <c r="N74" s="20" t="s">
        <v>137</v>
      </c>
      <c r="O74" s="20" t="s">
        <v>137</v>
      </c>
      <c r="P74" s="20" t="s">
        <v>137</v>
      </c>
      <c r="Q74" s="20" t="s">
        <v>137</v>
      </c>
      <c r="R74" s="20" t="s">
        <v>137</v>
      </c>
      <c r="S74" s="20" t="s">
        <v>137</v>
      </c>
      <c r="T74" s="20" t="s">
        <v>137</v>
      </c>
      <c r="U74" s="20" t="s">
        <v>137</v>
      </c>
      <c r="V74" s="20" t="s">
        <v>137</v>
      </c>
      <c r="W74" s="20" t="s">
        <v>137</v>
      </c>
      <c r="X74" s="20" t="s">
        <v>137</v>
      </c>
      <c r="Y74" s="20" t="s">
        <v>137</v>
      </c>
      <c r="Z74" s="20" t="s">
        <v>137</v>
      </c>
      <c r="AA74" s="20" t="s">
        <v>137</v>
      </c>
      <c r="AB74" s="20">
        <v>1</v>
      </c>
      <c r="AC74" s="20">
        <v>1</v>
      </c>
      <c r="AD74" s="20">
        <v>1</v>
      </c>
      <c r="AE74" s="20"/>
      <c r="AF74" s="20">
        <v>1</v>
      </c>
      <c r="AG74" s="20">
        <v>1</v>
      </c>
      <c r="AH74" s="20">
        <v>1</v>
      </c>
      <c r="AI74" s="20">
        <v>1</v>
      </c>
      <c r="AJ74" s="20">
        <v>1</v>
      </c>
      <c r="AK74" s="20">
        <v>1</v>
      </c>
      <c r="AL74" s="20" t="s">
        <v>137</v>
      </c>
      <c r="AM74" s="20">
        <v>1</v>
      </c>
    </row>
    <row r="75" spans="1:39" ht="16" x14ac:dyDescent="0.2">
      <c r="A75" s="20" t="s">
        <v>137</v>
      </c>
      <c r="B75" s="20" t="s">
        <v>137</v>
      </c>
      <c r="C75" s="20" t="s">
        <v>137</v>
      </c>
      <c r="D75" s="20"/>
      <c r="E75" s="20" t="s">
        <v>137</v>
      </c>
      <c r="F75" s="20" t="s">
        <v>137</v>
      </c>
      <c r="G75" s="20" t="s">
        <v>137</v>
      </c>
      <c r="H75" s="20" t="s">
        <v>137</v>
      </c>
      <c r="I75" s="20" t="s">
        <v>137</v>
      </c>
      <c r="J75" s="20" t="s">
        <v>137</v>
      </c>
      <c r="K75" s="20" t="s">
        <v>137</v>
      </c>
      <c r="L75" s="20" t="s">
        <v>137</v>
      </c>
      <c r="M75" s="20" t="s">
        <v>137</v>
      </c>
      <c r="N75" s="20" t="s">
        <v>137</v>
      </c>
      <c r="O75" s="20" t="s">
        <v>137</v>
      </c>
      <c r="P75" s="20" t="s">
        <v>137</v>
      </c>
      <c r="Q75" s="20" t="s">
        <v>137</v>
      </c>
      <c r="R75" s="20" t="s">
        <v>137</v>
      </c>
      <c r="S75" s="20" t="s">
        <v>137</v>
      </c>
      <c r="T75" s="20" t="s">
        <v>137</v>
      </c>
      <c r="U75" s="20" t="s">
        <v>137</v>
      </c>
      <c r="V75" s="20" t="s">
        <v>137</v>
      </c>
      <c r="W75" s="20" t="s">
        <v>137</v>
      </c>
      <c r="X75" s="20" t="s">
        <v>137</v>
      </c>
      <c r="Y75" s="20" t="s">
        <v>137</v>
      </c>
      <c r="Z75" s="20" t="s">
        <v>137</v>
      </c>
      <c r="AA75" s="20" t="s">
        <v>137</v>
      </c>
      <c r="AB75" s="20">
        <v>1</v>
      </c>
      <c r="AC75" s="20">
        <v>1</v>
      </c>
      <c r="AD75" s="20">
        <v>1</v>
      </c>
      <c r="AE75" s="20"/>
      <c r="AF75" s="20">
        <v>1</v>
      </c>
      <c r="AG75" s="20">
        <v>1</v>
      </c>
      <c r="AH75" s="20">
        <v>1</v>
      </c>
      <c r="AI75" s="20">
        <v>1</v>
      </c>
      <c r="AJ75" s="20">
        <v>1</v>
      </c>
      <c r="AK75" s="20">
        <v>1</v>
      </c>
      <c r="AL75" s="20" t="s">
        <v>137</v>
      </c>
      <c r="AM75" s="20">
        <v>1</v>
      </c>
    </row>
    <row r="76" spans="1:39" ht="16" x14ac:dyDescent="0.2">
      <c r="A76" s="20" t="s">
        <v>137</v>
      </c>
      <c r="B76" s="20" t="s">
        <v>137</v>
      </c>
      <c r="C76" s="20" t="s">
        <v>137</v>
      </c>
      <c r="D76" s="20"/>
      <c r="E76" s="20" t="s">
        <v>137</v>
      </c>
      <c r="F76" s="20" t="s">
        <v>137</v>
      </c>
      <c r="G76" s="20" t="s">
        <v>137</v>
      </c>
      <c r="H76" s="20">
        <v>1</v>
      </c>
      <c r="I76" s="20">
        <v>1</v>
      </c>
      <c r="J76" s="20">
        <v>1</v>
      </c>
      <c r="K76" s="20">
        <v>1</v>
      </c>
      <c r="L76" s="20">
        <v>1</v>
      </c>
      <c r="M76" s="20">
        <v>1</v>
      </c>
      <c r="N76" s="20">
        <v>1</v>
      </c>
      <c r="O76" s="20">
        <v>1</v>
      </c>
      <c r="P76" s="20">
        <v>1</v>
      </c>
      <c r="Q76" s="20">
        <v>1</v>
      </c>
      <c r="R76" s="20">
        <v>1</v>
      </c>
      <c r="S76" s="20">
        <v>1</v>
      </c>
      <c r="T76" s="20">
        <v>0</v>
      </c>
      <c r="U76" s="20">
        <v>1</v>
      </c>
      <c r="V76" s="20">
        <v>1</v>
      </c>
      <c r="W76" s="20">
        <v>1</v>
      </c>
      <c r="X76" s="20">
        <v>1</v>
      </c>
      <c r="Y76" s="20">
        <v>1</v>
      </c>
      <c r="Z76" s="20">
        <v>1</v>
      </c>
      <c r="AA76" s="20">
        <v>1</v>
      </c>
      <c r="AB76" s="20">
        <v>1</v>
      </c>
      <c r="AC76" s="20">
        <v>1</v>
      </c>
      <c r="AD76" s="20">
        <v>1</v>
      </c>
      <c r="AE76" s="20"/>
      <c r="AF76" s="20">
        <v>1</v>
      </c>
      <c r="AG76" s="20">
        <v>1</v>
      </c>
      <c r="AH76" s="20">
        <v>1</v>
      </c>
      <c r="AI76" s="20">
        <v>1</v>
      </c>
      <c r="AJ76" s="20">
        <v>1</v>
      </c>
      <c r="AK76" s="20">
        <v>1</v>
      </c>
      <c r="AL76" s="20" t="s">
        <v>137</v>
      </c>
      <c r="AM76" s="20">
        <v>1</v>
      </c>
    </row>
    <row r="77" spans="1:39" ht="16" x14ac:dyDescent="0.2">
      <c r="A77" s="20" t="s">
        <v>137</v>
      </c>
      <c r="B77" s="20" t="s">
        <v>137</v>
      </c>
      <c r="C77" s="20" t="s">
        <v>137</v>
      </c>
      <c r="D77" s="20"/>
      <c r="E77" s="20" t="s">
        <v>137</v>
      </c>
      <c r="F77" s="20" t="s">
        <v>137</v>
      </c>
      <c r="G77" s="20" t="s">
        <v>137</v>
      </c>
      <c r="H77" s="20" t="s">
        <v>137</v>
      </c>
      <c r="I77" s="20" t="s">
        <v>137</v>
      </c>
      <c r="J77" s="20" t="s">
        <v>137</v>
      </c>
      <c r="K77" s="20" t="s">
        <v>137</v>
      </c>
      <c r="L77" s="20" t="s">
        <v>137</v>
      </c>
      <c r="M77" s="20" t="s">
        <v>137</v>
      </c>
      <c r="N77" s="20" t="s">
        <v>137</v>
      </c>
      <c r="O77" s="20" t="s">
        <v>137</v>
      </c>
      <c r="P77" s="20" t="s">
        <v>137</v>
      </c>
      <c r="Q77" s="20" t="s">
        <v>137</v>
      </c>
      <c r="R77" s="20" t="s">
        <v>137</v>
      </c>
      <c r="S77" s="20" t="s">
        <v>137</v>
      </c>
      <c r="T77" s="20" t="s">
        <v>137</v>
      </c>
      <c r="U77" s="20" t="s">
        <v>137</v>
      </c>
      <c r="V77" s="20" t="s">
        <v>137</v>
      </c>
      <c r="W77" s="20" t="s">
        <v>137</v>
      </c>
      <c r="X77" s="20" t="s">
        <v>137</v>
      </c>
      <c r="Y77" s="20" t="s">
        <v>137</v>
      </c>
      <c r="Z77" s="20" t="s">
        <v>137</v>
      </c>
      <c r="AA77" s="20" t="s">
        <v>137</v>
      </c>
      <c r="AB77" s="20">
        <v>1</v>
      </c>
      <c r="AC77" s="20">
        <v>1</v>
      </c>
      <c r="AD77" s="20">
        <v>1</v>
      </c>
      <c r="AE77" s="20"/>
      <c r="AF77" s="20">
        <v>1</v>
      </c>
      <c r="AG77" s="20">
        <v>1</v>
      </c>
      <c r="AH77" s="20">
        <v>1</v>
      </c>
      <c r="AI77" s="20">
        <v>1</v>
      </c>
      <c r="AJ77" s="20">
        <v>1</v>
      </c>
      <c r="AK77" s="20">
        <v>1</v>
      </c>
      <c r="AL77" s="20" t="s">
        <v>137</v>
      </c>
      <c r="AM77" s="20">
        <v>1</v>
      </c>
    </row>
    <row r="78" spans="1:39" ht="16" x14ac:dyDescent="0.2">
      <c r="A78" s="20" t="s">
        <v>137</v>
      </c>
      <c r="B78" s="20" t="s">
        <v>137</v>
      </c>
      <c r="C78" s="20" t="s">
        <v>137</v>
      </c>
      <c r="D78" s="20"/>
      <c r="E78" s="20" t="s">
        <v>137</v>
      </c>
      <c r="F78" s="20" t="s">
        <v>137</v>
      </c>
      <c r="G78" s="20" t="s">
        <v>137</v>
      </c>
      <c r="H78" s="20" t="s">
        <v>137</v>
      </c>
      <c r="I78" s="20" t="s">
        <v>137</v>
      </c>
      <c r="J78" s="20" t="s">
        <v>137</v>
      </c>
      <c r="K78" s="20" t="s">
        <v>137</v>
      </c>
      <c r="L78" s="20" t="s">
        <v>137</v>
      </c>
      <c r="M78" s="20" t="s">
        <v>137</v>
      </c>
      <c r="N78" s="20" t="s">
        <v>137</v>
      </c>
      <c r="O78" s="20" t="s">
        <v>137</v>
      </c>
      <c r="P78" s="20" t="s">
        <v>137</v>
      </c>
      <c r="Q78" s="20" t="s">
        <v>137</v>
      </c>
      <c r="R78" s="20" t="s">
        <v>137</v>
      </c>
      <c r="S78" s="20" t="s">
        <v>137</v>
      </c>
      <c r="T78" s="20" t="s">
        <v>137</v>
      </c>
      <c r="U78" s="20" t="s">
        <v>137</v>
      </c>
      <c r="V78" s="20" t="s">
        <v>137</v>
      </c>
      <c r="W78" s="20" t="s">
        <v>137</v>
      </c>
      <c r="X78" s="20" t="s">
        <v>137</v>
      </c>
      <c r="Y78" s="20" t="s">
        <v>137</v>
      </c>
      <c r="Z78" s="20" t="s">
        <v>137</v>
      </c>
      <c r="AA78" s="20" t="s">
        <v>137</v>
      </c>
      <c r="AB78" s="20">
        <v>1</v>
      </c>
      <c r="AC78" s="20">
        <v>1</v>
      </c>
      <c r="AD78" s="20">
        <v>1</v>
      </c>
      <c r="AE78" s="20"/>
      <c r="AF78" s="20">
        <v>1</v>
      </c>
      <c r="AG78" s="20">
        <v>1</v>
      </c>
      <c r="AH78" s="20">
        <v>1</v>
      </c>
      <c r="AI78" s="20">
        <v>1</v>
      </c>
      <c r="AJ78" s="20">
        <v>1</v>
      </c>
      <c r="AK78" s="20">
        <v>1</v>
      </c>
      <c r="AL78" s="20" t="s">
        <v>137</v>
      </c>
      <c r="AM78" s="20">
        <v>1</v>
      </c>
    </row>
    <row r="79" spans="1:39" ht="16" x14ac:dyDescent="0.2">
      <c r="A79" s="20" t="s">
        <v>137</v>
      </c>
      <c r="B79" s="20" t="s">
        <v>137</v>
      </c>
      <c r="C79" s="20" t="s">
        <v>137</v>
      </c>
      <c r="D79" s="20"/>
      <c r="E79" s="20" t="s">
        <v>137</v>
      </c>
      <c r="F79" s="20" t="s">
        <v>137</v>
      </c>
      <c r="G79" s="20" t="s">
        <v>137</v>
      </c>
      <c r="H79" s="20" t="s">
        <v>137</v>
      </c>
      <c r="I79" s="20" t="s">
        <v>137</v>
      </c>
      <c r="J79" s="20" t="s">
        <v>137</v>
      </c>
      <c r="K79" s="20" t="s">
        <v>137</v>
      </c>
      <c r="L79" s="20" t="s">
        <v>137</v>
      </c>
      <c r="M79" s="20" t="s">
        <v>137</v>
      </c>
      <c r="N79" s="20" t="s">
        <v>137</v>
      </c>
      <c r="O79" s="20" t="s">
        <v>137</v>
      </c>
      <c r="P79" s="20" t="s">
        <v>137</v>
      </c>
      <c r="Q79" s="20" t="s">
        <v>137</v>
      </c>
      <c r="R79" s="20" t="s">
        <v>137</v>
      </c>
      <c r="S79" s="20" t="s">
        <v>137</v>
      </c>
      <c r="T79" s="20" t="s">
        <v>137</v>
      </c>
      <c r="U79" s="20" t="s">
        <v>137</v>
      </c>
      <c r="V79" s="20" t="s">
        <v>137</v>
      </c>
      <c r="W79" s="20" t="s">
        <v>137</v>
      </c>
      <c r="X79" s="20" t="s">
        <v>137</v>
      </c>
      <c r="Y79" s="20" t="s">
        <v>137</v>
      </c>
      <c r="Z79" s="20" t="s">
        <v>137</v>
      </c>
      <c r="AA79" s="20" t="s">
        <v>137</v>
      </c>
      <c r="AB79" s="20">
        <v>1</v>
      </c>
      <c r="AC79" s="20">
        <v>1</v>
      </c>
      <c r="AD79" s="20">
        <v>1</v>
      </c>
      <c r="AE79" s="20"/>
      <c r="AF79" s="20">
        <v>1</v>
      </c>
      <c r="AG79" s="20">
        <v>1</v>
      </c>
      <c r="AH79" s="20">
        <v>1</v>
      </c>
      <c r="AI79" s="20">
        <v>1</v>
      </c>
      <c r="AJ79" s="20">
        <v>1</v>
      </c>
      <c r="AK79" s="20">
        <v>1</v>
      </c>
      <c r="AL79" s="20" t="s">
        <v>137</v>
      </c>
      <c r="AM79" s="20">
        <v>1</v>
      </c>
    </row>
    <row r="80" spans="1:39" ht="16" x14ac:dyDescent="0.2">
      <c r="A80" s="20" t="s">
        <v>137</v>
      </c>
      <c r="B80" s="20" t="s">
        <v>137</v>
      </c>
      <c r="C80" s="20" t="s">
        <v>137</v>
      </c>
      <c r="D80" s="20"/>
      <c r="E80" s="20" t="s">
        <v>137</v>
      </c>
      <c r="F80" s="20" t="s">
        <v>137</v>
      </c>
      <c r="G80" s="20" t="s">
        <v>137</v>
      </c>
      <c r="H80" s="20" t="s">
        <v>137</v>
      </c>
      <c r="I80" s="20" t="s">
        <v>137</v>
      </c>
      <c r="J80" s="20" t="s">
        <v>137</v>
      </c>
      <c r="K80" s="20" t="s">
        <v>137</v>
      </c>
      <c r="L80" s="20" t="s">
        <v>137</v>
      </c>
      <c r="M80" s="20" t="s">
        <v>137</v>
      </c>
      <c r="N80" s="20" t="s">
        <v>137</v>
      </c>
      <c r="O80" s="20" t="s">
        <v>137</v>
      </c>
      <c r="P80" s="20" t="s">
        <v>137</v>
      </c>
      <c r="Q80" s="20" t="s">
        <v>137</v>
      </c>
      <c r="R80" s="20" t="s">
        <v>137</v>
      </c>
      <c r="S80" s="20" t="s">
        <v>137</v>
      </c>
      <c r="T80" s="20" t="s">
        <v>137</v>
      </c>
      <c r="U80" s="20" t="s">
        <v>137</v>
      </c>
      <c r="V80" s="20" t="s">
        <v>137</v>
      </c>
      <c r="W80" s="20" t="s">
        <v>137</v>
      </c>
      <c r="X80" s="20" t="s">
        <v>137</v>
      </c>
      <c r="Y80" s="20" t="s">
        <v>137</v>
      </c>
      <c r="Z80" s="20" t="s">
        <v>137</v>
      </c>
      <c r="AA80" s="20" t="s">
        <v>137</v>
      </c>
      <c r="AB80" s="20">
        <v>1</v>
      </c>
      <c r="AC80" s="20">
        <v>1</v>
      </c>
      <c r="AD80" s="20">
        <v>1</v>
      </c>
      <c r="AE80" s="20"/>
      <c r="AF80" s="20">
        <v>1</v>
      </c>
      <c r="AG80" s="20">
        <v>1</v>
      </c>
      <c r="AH80" s="20">
        <v>1</v>
      </c>
      <c r="AI80" s="20">
        <v>1</v>
      </c>
      <c r="AJ80" s="20">
        <v>1</v>
      </c>
      <c r="AK80" s="20">
        <v>1</v>
      </c>
      <c r="AL80" s="20" t="s">
        <v>137</v>
      </c>
      <c r="AM80" s="20">
        <v>1</v>
      </c>
    </row>
    <row r="81" spans="1:39" ht="16" x14ac:dyDescent="0.2">
      <c r="A81" s="20">
        <v>1</v>
      </c>
      <c r="B81" s="20">
        <v>1</v>
      </c>
      <c r="C81" s="20">
        <v>1</v>
      </c>
      <c r="D81" s="20"/>
      <c r="E81" s="20">
        <v>1</v>
      </c>
      <c r="F81" s="20">
        <v>1</v>
      </c>
      <c r="G81" s="20">
        <v>1</v>
      </c>
      <c r="H81" s="20">
        <v>1</v>
      </c>
      <c r="I81" s="20">
        <v>1</v>
      </c>
      <c r="J81" s="20">
        <v>1</v>
      </c>
      <c r="K81" s="20">
        <v>1</v>
      </c>
      <c r="L81" s="20">
        <v>1</v>
      </c>
      <c r="M81" s="20">
        <v>0</v>
      </c>
      <c r="N81" s="101">
        <v>1</v>
      </c>
      <c r="O81" s="20">
        <v>1</v>
      </c>
      <c r="P81" s="101">
        <v>1</v>
      </c>
      <c r="Q81" s="20">
        <v>0</v>
      </c>
      <c r="R81" s="20">
        <v>1</v>
      </c>
      <c r="S81" s="20">
        <v>1</v>
      </c>
      <c r="T81" s="20">
        <v>1</v>
      </c>
      <c r="U81" s="20">
        <v>1</v>
      </c>
      <c r="V81" s="20">
        <v>1</v>
      </c>
      <c r="W81" s="20">
        <v>1</v>
      </c>
      <c r="X81" s="20">
        <v>1</v>
      </c>
      <c r="Y81" s="20">
        <v>1</v>
      </c>
      <c r="Z81" s="20">
        <v>1</v>
      </c>
      <c r="AA81" s="20">
        <v>1</v>
      </c>
      <c r="AB81" s="20">
        <v>1</v>
      </c>
      <c r="AC81" s="20">
        <v>1</v>
      </c>
      <c r="AD81" s="20">
        <v>1</v>
      </c>
      <c r="AE81" s="20"/>
      <c r="AF81" s="20">
        <v>1</v>
      </c>
      <c r="AG81" s="20">
        <v>1</v>
      </c>
      <c r="AH81" s="20">
        <v>1</v>
      </c>
      <c r="AI81" s="20">
        <v>1</v>
      </c>
      <c r="AJ81" s="20">
        <v>1</v>
      </c>
      <c r="AK81" s="20">
        <v>1</v>
      </c>
      <c r="AL81" s="20" t="s">
        <v>137</v>
      </c>
      <c r="AM81" s="20">
        <v>1</v>
      </c>
    </row>
    <row r="82" spans="1:39" ht="16" x14ac:dyDescent="0.2">
      <c r="A82" s="20" t="s">
        <v>137</v>
      </c>
      <c r="B82" s="20" t="s">
        <v>137</v>
      </c>
      <c r="C82" s="20" t="s">
        <v>137</v>
      </c>
      <c r="D82" s="20"/>
      <c r="E82" s="20" t="s">
        <v>137</v>
      </c>
      <c r="F82" s="20" t="s">
        <v>137</v>
      </c>
      <c r="G82" s="20" t="s">
        <v>137</v>
      </c>
      <c r="H82" s="20" t="s">
        <v>137</v>
      </c>
      <c r="I82" s="20" t="s">
        <v>137</v>
      </c>
      <c r="J82" s="20" t="s">
        <v>137</v>
      </c>
      <c r="K82" s="20" t="s">
        <v>137</v>
      </c>
      <c r="L82" s="20" t="s">
        <v>137</v>
      </c>
      <c r="M82" s="20" t="s">
        <v>137</v>
      </c>
      <c r="N82" s="20" t="s">
        <v>137</v>
      </c>
      <c r="O82" s="20" t="s">
        <v>137</v>
      </c>
      <c r="P82" s="20" t="s">
        <v>137</v>
      </c>
      <c r="Q82" s="20" t="s">
        <v>137</v>
      </c>
      <c r="R82" s="20" t="s">
        <v>137</v>
      </c>
      <c r="S82" s="20" t="s">
        <v>137</v>
      </c>
      <c r="T82" s="20" t="s">
        <v>137</v>
      </c>
      <c r="U82" s="20" t="s">
        <v>137</v>
      </c>
      <c r="V82" s="20" t="s">
        <v>137</v>
      </c>
      <c r="W82" s="20" t="s">
        <v>137</v>
      </c>
      <c r="X82" s="20" t="s">
        <v>137</v>
      </c>
      <c r="Y82" s="20" t="s">
        <v>137</v>
      </c>
      <c r="Z82" s="20" t="s">
        <v>137</v>
      </c>
      <c r="AA82" s="20" t="s">
        <v>137</v>
      </c>
      <c r="AB82" s="20">
        <v>1</v>
      </c>
      <c r="AC82" s="20">
        <v>1</v>
      </c>
      <c r="AD82" s="20">
        <v>1</v>
      </c>
      <c r="AE82" s="20"/>
      <c r="AF82" s="20">
        <v>1</v>
      </c>
      <c r="AG82" s="20">
        <v>1</v>
      </c>
      <c r="AH82" s="20">
        <v>1</v>
      </c>
      <c r="AI82" s="20">
        <v>1</v>
      </c>
      <c r="AJ82" s="20">
        <v>1</v>
      </c>
      <c r="AK82" s="20">
        <v>1</v>
      </c>
      <c r="AL82" s="20" t="s">
        <v>137</v>
      </c>
      <c r="AM82" s="20">
        <v>1</v>
      </c>
    </row>
    <row r="83" spans="1:39" ht="16" x14ac:dyDescent="0.2">
      <c r="A83" s="20" t="s">
        <v>137</v>
      </c>
      <c r="B83" s="20" t="s">
        <v>137</v>
      </c>
      <c r="C83" s="20" t="s">
        <v>137</v>
      </c>
      <c r="D83" s="20"/>
      <c r="E83" s="20" t="s">
        <v>137</v>
      </c>
      <c r="F83" s="20" t="s">
        <v>137</v>
      </c>
      <c r="G83" s="20" t="s">
        <v>137</v>
      </c>
      <c r="H83" s="20">
        <v>1</v>
      </c>
      <c r="I83" s="20">
        <v>1</v>
      </c>
      <c r="J83" s="20">
        <v>1</v>
      </c>
      <c r="K83" s="20">
        <v>1</v>
      </c>
      <c r="L83" s="20">
        <v>1</v>
      </c>
      <c r="M83" s="20">
        <v>0</v>
      </c>
      <c r="N83" s="101">
        <v>1</v>
      </c>
      <c r="O83" s="20">
        <v>1</v>
      </c>
      <c r="P83" s="101">
        <v>1</v>
      </c>
      <c r="Q83" s="20">
        <v>0</v>
      </c>
      <c r="R83" s="20">
        <v>1</v>
      </c>
      <c r="S83" s="20">
        <v>1</v>
      </c>
      <c r="T83" s="20">
        <v>1</v>
      </c>
      <c r="U83" s="20">
        <v>1</v>
      </c>
      <c r="V83" s="20">
        <v>1</v>
      </c>
      <c r="W83" s="20">
        <v>1</v>
      </c>
      <c r="X83" s="20">
        <v>1</v>
      </c>
      <c r="Y83" s="20">
        <v>1</v>
      </c>
      <c r="Z83" s="20">
        <v>1</v>
      </c>
      <c r="AA83" s="20">
        <v>1</v>
      </c>
      <c r="AB83" s="20">
        <v>1</v>
      </c>
      <c r="AC83" s="20">
        <v>1</v>
      </c>
      <c r="AD83" s="20">
        <v>1</v>
      </c>
      <c r="AE83" s="20"/>
      <c r="AF83" s="20">
        <v>1</v>
      </c>
      <c r="AG83" s="20">
        <v>1</v>
      </c>
      <c r="AH83" s="20">
        <v>1</v>
      </c>
      <c r="AI83" s="20">
        <v>1</v>
      </c>
      <c r="AJ83" s="20">
        <v>1</v>
      </c>
      <c r="AK83" s="20">
        <v>1</v>
      </c>
      <c r="AL83" s="20" t="s">
        <v>137</v>
      </c>
      <c r="AM83" s="20">
        <v>1</v>
      </c>
    </row>
    <row r="84" spans="1:39" ht="16" x14ac:dyDescent="0.2">
      <c r="A84" s="20" t="s">
        <v>137</v>
      </c>
      <c r="B84" s="20" t="s">
        <v>137</v>
      </c>
      <c r="C84" s="20" t="s">
        <v>137</v>
      </c>
      <c r="D84" s="20"/>
      <c r="E84" s="20" t="s">
        <v>137</v>
      </c>
      <c r="F84" s="20" t="s">
        <v>137</v>
      </c>
      <c r="G84" s="20" t="s">
        <v>137</v>
      </c>
      <c r="H84" s="20" t="s">
        <v>137</v>
      </c>
      <c r="I84" s="20" t="s">
        <v>137</v>
      </c>
      <c r="J84" s="20" t="s">
        <v>137</v>
      </c>
      <c r="K84" s="20" t="s">
        <v>137</v>
      </c>
      <c r="L84" s="20" t="s">
        <v>137</v>
      </c>
      <c r="M84" s="20" t="s">
        <v>137</v>
      </c>
      <c r="N84" s="20" t="s">
        <v>137</v>
      </c>
      <c r="O84" s="20" t="s">
        <v>137</v>
      </c>
      <c r="P84" s="20" t="s">
        <v>137</v>
      </c>
      <c r="Q84" s="20" t="s">
        <v>137</v>
      </c>
      <c r="R84" s="20" t="s">
        <v>137</v>
      </c>
      <c r="S84" s="20" t="s">
        <v>137</v>
      </c>
      <c r="T84" s="20" t="s">
        <v>137</v>
      </c>
      <c r="U84" s="20" t="s">
        <v>137</v>
      </c>
      <c r="V84" s="20" t="s">
        <v>137</v>
      </c>
      <c r="W84" s="20" t="s">
        <v>137</v>
      </c>
      <c r="X84" s="20" t="s">
        <v>137</v>
      </c>
      <c r="Y84" s="20" t="s">
        <v>137</v>
      </c>
      <c r="Z84" s="20" t="s">
        <v>137</v>
      </c>
      <c r="AA84" s="20" t="s">
        <v>137</v>
      </c>
      <c r="AB84" s="20">
        <v>1</v>
      </c>
      <c r="AC84" s="20">
        <v>1</v>
      </c>
      <c r="AD84" s="20">
        <v>1</v>
      </c>
      <c r="AE84" s="20"/>
      <c r="AF84" s="20">
        <v>1</v>
      </c>
      <c r="AG84" s="20">
        <v>1</v>
      </c>
      <c r="AH84" s="20">
        <v>1</v>
      </c>
      <c r="AI84" s="20">
        <v>1</v>
      </c>
      <c r="AJ84" s="20">
        <v>1</v>
      </c>
      <c r="AK84" s="20">
        <v>1</v>
      </c>
      <c r="AL84" s="20" t="s">
        <v>137</v>
      </c>
      <c r="AM84" s="20">
        <v>1</v>
      </c>
    </row>
    <row r="85" spans="1:39" ht="16" x14ac:dyDescent="0.2">
      <c r="A85" s="20">
        <v>1</v>
      </c>
      <c r="B85" s="20">
        <v>1</v>
      </c>
      <c r="C85" s="20">
        <v>1</v>
      </c>
      <c r="D85" s="20"/>
      <c r="E85" s="20">
        <v>1</v>
      </c>
      <c r="F85" s="20">
        <v>1</v>
      </c>
      <c r="G85" s="20">
        <v>1</v>
      </c>
      <c r="H85" s="20">
        <v>1</v>
      </c>
      <c r="I85" s="20">
        <v>1</v>
      </c>
      <c r="J85" s="20">
        <v>1</v>
      </c>
      <c r="K85" s="20">
        <v>1</v>
      </c>
      <c r="L85" s="20">
        <v>1</v>
      </c>
      <c r="M85" s="101">
        <v>1</v>
      </c>
      <c r="N85" s="20">
        <v>1</v>
      </c>
      <c r="O85" s="101">
        <v>1</v>
      </c>
      <c r="P85" s="101">
        <v>1</v>
      </c>
      <c r="Q85" s="20">
        <v>0</v>
      </c>
      <c r="R85" s="20">
        <v>1</v>
      </c>
      <c r="S85" s="20">
        <v>1</v>
      </c>
      <c r="T85" s="20">
        <v>1</v>
      </c>
      <c r="U85" s="20">
        <v>1</v>
      </c>
      <c r="V85" s="20">
        <v>1</v>
      </c>
      <c r="W85" s="20">
        <v>1</v>
      </c>
      <c r="X85" s="20">
        <v>1</v>
      </c>
      <c r="Y85" s="20">
        <v>1</v>
      </c>
      <c r="Z85" s="20">
        <v>1</v>
      </c>
      <c r="AA85" s="20">
        <v>1</v>
      </c>
      <c r="AB85" s="20">
        <v>1</v>
      </c>
      <c r="AC85" s="20">
        <v>1</v>
      </c>
      <c r="AD85" s="20">
        <v>1</v>
      </c>
      <c r="AE85" s="20"/>
      <c r="AF85" s="20">
        <v>1</v>
      </c>
      <c r="AG85" s="20">
        <v>1</v>
      </c>
      <c r="AH85" s="20">
        <v>1</v>
      </c>
      <c r="AI85" s="20">
        <v>1</v>
      </c>
      <c r="AJ85" s="20">
        <v>1</v>
      </c>
      <c r="AK85" s="20">
        <v>1</v>
      </c>
      <c r="AL85" s="20" t="s">
        <v>137</v>
      </c>
      <c r="AM85" s="20">
        <v>1</v>
      </c>
    </row>
    <row r="86" spans="1:39" ht="16" x14ac:dyDescent="0.2">
      <c r="A86" s="20" t="s">
        <v>137</v>
      </c>
      <c r="B86" s="20" t="s">
        <v>137</v>
      </c>
      <c r="C86" s="20" t="s">
        <v>137</v>
      </c>
      <c r="D86" s="20"/>
      <c r="E86" s="20" t="s">
        <v>137</v>
      </c>
      <c r="F86" s="20" t="s">
        <v>137</v>
      </c>
      <c r="G86" s="20" t="s">
        <v>137</v>
      </c>
      <c r="H86" s="20" t="s">
        <v>137</v>
      </c>
      <c r="I86" s="20" t="s">
        <v>137</v>
      </c>
      <c r="J86" s="20" t="s">
        <v>137</v>
      </c>
      <c r="K86" s="20" t="s">
        <v>137</v>
      </c>
      <c r="L86" s="20" t="s">
        <v>137</v>
      </c>
      <c r="M86" s="20" t="s">
        <v>137</v>
      </c>
      <c r="N86" s="20" t="s">
        <v>137</v>
      </c>
      <c r="O86" s="20" t="s">
        <v>137</v>
      </c>
      <c r="P86" s="20" t="s">
        <v>137</v>
      </c>
      <c r="Q86" s="20" t="s">
        <v>137</v>
      </c>
      <c r="R86" s="20" t="s">
        <v>137</v>
      </c>
      <c r="S86" s="20" t="s">
        <v>137</v>
      </c>
      <c r="T86" s="20" t="s">
        <v>137</v>
      </c>
      <c r="U86" s="20" t="s">
        <v>137</v>
      </c>
      <c r="V86" s="20" t="s">
        <v>137</v>
      </c>
      <c r="W86" s="20" t="s">
        <v>137</v>
      </c>
      <c r="X86" s="20" t="s">
        <v>137</v>
      </c>
      <c r="Y86" s="20" t="s">
        <v>137</v>
      </c>
      <c r="Z86" s="20" t="s">
        <v>137</v>
      </c>
      <c r="AA86" s="20" t="s">
        <v>137</v>
      </c>
      <c r="AB86" s="20">
        <v>1</v>
      </c>
      <c r="AC86" s="20">
        <v>1</v>
      </c>
      <c r="AD86" s="20">
        <v>1</v>
      </c>
      <c r="AE86" s="20"/>
      <c r="AF86" s="20">
        <v>1</v>
      </c>
      <c r="AG86" s="20">
        <v>1</v>
      </c>
      <c r="AH86" s="20">
        <v>1</v>
      </c>
      <c r="AI86" s="20">
        <v>1</v>
      </c>
      <c r="AJ86" s="20">
        <v>1</v>
      </c>
      <c r="AK86" s="20">
        <v>1</v>
      </c>
      <c r="AL86" s="20" t="s">
        <v>137</v>
      </c>
      <c r="AM86" s="20">
        <v>1</v>
      </c>
    </row>
    <row r="87" spans="1:39" ht="16" x14ac:dyDescent="0.2">
      <c r="A87" s="20" t="s">
        <v>137</v>
      </c>
      <c r="B87" s="20" t="s">
        <v>137</v>
      </c>
      <c r="C87" s="20" t="s">
        <v>137</v>
      </c>
      <c r="D87" s="20"/>
      <c r="E87" s="20" t="s">
        <v>137</v>
      </c>
      <c r="F87" s="20" t="s">
        <v>137</v>
      </c>
      <c r="G87" s="20" t="s">
        <v>137</v>
      </c>
      <c r="H87" s="20">
        <v>1</v>
      </c>
      <c r="I87" s="20">
        <v>1</v>
      </c>
      <c r="J87" s="20">
        <v>1</v>
      </c>
      <c r="K87" s="20">
        <v>1</v>
      </c>
      <c r="L87" s="20">
        <v>1</v>
      </c>
      <c r="M87" s="101">
        <v>1</v>
      </c>
      <c r="N87" s="20">
        <v>1</v>
      </c>
      <c r="O87" s="101">
        <v>1</v>
      </c>
      <c r="P87" s="101">
        <v>1</v>
      </c>
      <c r="Q87" s="101">
        <v>1</v>
      </c>
      <c r="R87" s="20">
        <v>1</v>
      </c>
      <c r="S87" s="20">
        <v>1</v>
      </c>
      <c r="T87" s="20">
        <v>0</v>
      </c>
      <c r="U87" s="20">
        <v>1</v>
      </c>
      <c r="V87" s="20">
        <v>1</v>
      </c>
      <c r="W87" s="20">
        <v>1</v>
      </c>
      <c r="X87" s="20">
        <v>1</v>
      </c>
      <c r="Y87" s="20">
        <v>1</v>
      </c>
      <c r="Z87" s="20">
        <v>1</v>
      </c>
      <c r="AA87" s="20">
        <v>1</v>
      </c>
      <c r="AB87" s="20">
        <v>1</v>
      </c>
      <c r="AC87" s="20">
        <v>1</v>
      </c>
      <c r="AD87" s="20">
        <v>1</v>
      </c>
      <c r="AE87" s="20"/>
      <c r="AF87" s="20">
        <v>1</v>
      </c>
      <c r="AG87" s="20">
        <v>1</v>
      </c>
      <c r="AH87" s="20">
        <v>1</v>
      </c>
      <c r="AI87" s="20">
        <v>1</v>
      </c>
      <c r="AJ87" s="20">
        <v>1</v>
      </c>
      <c r="AK87" s="20">
        <v>1</v>
      </c>
      <c r="AL87" s="20" t="s">
        <v>137</v>
      </c>
      <c r="AM87" s="20">
        <v>1</v>
      </c>
    </row>
    <row r="88" spans="1:39" ht="16" x14ac:dyDescent="0.2">
      <c r="A88" s="20" t="s">
        <v>137</v>
      </c>
      <c r="B88" s="20" t="s">
        <v>137</v>
      </c>
      <c r="C88" s="20" t="s">
        <v>137</v>
      </c>
      <c r="D88" s="20"/>
      <c r="E88" s="20" t="s">
        <v>137</v>
      </c>
      <c r="F88" s="20" t="s">
        <v>137</v>
      </c>
      <c r="G88" s="20" t="s">
        <v>137</v>
      </c>
      <c r="H88" s="20" t="s">
        <v>137</v>
      </c>
      <c r="I88" s="20" t="s">
        <v>137</v>
      </c>
      <c r="J88" s="20" t="s">
        <v>137</v>
      </c>
      <c r="K88" s="20" t="s">
        <v>137</v>
      </c>
      <c r="L88" s="20" t="s">
        <v>137</v>
      </c>
      <c r="M88" s="20" t="s">
        <v>137</v>
      </c>
      <c r="N88" s="20" t="s">
        <v>137</v>
      </c>
      <c r="O88" s="20" t="s">
        <v>137</v>
      </c>
      <c r="P88" s="20" t="s">
        <v>137</v>
      </c>
      <c r="Q88" s="20" t="s">
        <v>137</v>
      </c>
      <c r="R88" s="20" t="s">
        <v>137</v>
      </c>
      <c r="S88" s="20" t="s">
        <v>137</v>
      </c>
      <c r="T88" s="20" t="s">
        <v>137</v>
      </c>
      <c r="U88" s="20" t="s">
        <v>137</v>
      </c>
      <c r="V88" s="20" t="s">
        <v>137</v>
      </c>
      <c r="W88" s="20" t="s">
        <v>137</v>
      </c>
      <c r="X88" s="20" t="s">
        <v>137</v>
      </c>
      <c r="Y88" s="20" t="s">
        <v>137</v>
      </c>
      <c r="Z88" s="20" t="s">
        <v>137</v>
      </c>
      <c r="AA88" s="20" t="s">
        <v>137</v>
      </c>
      <c r="AB88" s="20">
        <v>1</v>
      </c>
      <c r="AC88" s="20">
        <v>1</v>
      </c>
      <c r="AD88" s="20">
        <v>1</v>
      </c>
      <c r="AE88" s="20"/>
      <c r="AF88" s="20">
        <v>1</v>
      </c>
      <c r="AG88" s="20">
        <v>1</v>
      </c>
      <c r="AH88" s="20">
        <v>1</v>
      </c>
      <c r="AI88" s="20">
        <v>1</v>
      </c>
      <c r="AJ88" s="20">
        <v>1</v>
      </c>
      <c r="AK88" s="20">
        <v>1</v>
      </c>
      <c r="AL88" s="20" t="s">
        <v>137</v>
      </c>
      <c r="AM88" s="20">
        <v>1</v>
      </c>
    </row>
    <row r="89" spans="1:39" ht="16" x14ac:dyDescent="0.2">
      <c r="A89" s="20" t="s">
        <v>137</v>
      </c>
      <c r="B89" s="20" t="s">
        <v>137</v>
      </c>
      <c r="C89" s="20" t="s">
        <v>137</v>
      </c>
      <c r="D89" s="20"/>
      <c r="E89" s="20" t="s">
        <v>137</v>
      </c>
      <c r="F89" s="20" t="s">
        <v>137</v>
      </c>
      <c r="G89" s="20" t="s">
        <v>137</v>
      </c>
      <c r="H89" s="20">
        <v>1</v>
      </c>
      <c r="I89" s="20">
        <v>1</v>
      </c>
      <c r="J89" s="20">
        <v>1</v>
      </c>
      <c r="K89" s="20">
        <v>1</v>
      </c>
      <c r="L89" s="20">
        <v>1</v>
      </c>
      <c r="M89" s="101">
        <v>1</v>
      </c>
      <c r="N89" s="20">
        <v>1</v>
      </c>
      <c r="O89" s="20">
        <v>1</v>
      </c>
      <c r="P89" s="101">
        <v>1</v>
      </c>
      <c r="Q89" s="101">
        <v>1</v>
      </c>
      <c r="R89" s="20">
        <v>1</v>
      </c>
      <c r="S89" s="20">
        <v>1</v>
      </c>
      <c r="T89" s="20">
        <v>1</v>
      </c>
      <c r="U89" s="20">
        <v>1</v>
      </c>
      <c r="V89" s="20">
        <v>1</v>
      </c>
      <c r="W89" s="20">
        <v>1</v>
      </c>
      <c r="X89" s="20">
        <v>1</v>
      </c>
      <c r="Y89" s="20">
        <v>1</v>
      </c>
      <c r="Z89" s="20">
        <v>1</v>
      </c>
      <c r="AA89" s="20">
        <v>1</v>
      </c>
      <c r="AB89" s="20">
        <v>1</v>
      </c>
      <c r="AC89" s="20">
        <v>1</v>
      </c>
      <c r="AD89" s="20">
        <v>1</v>
      </c>
      <c r="AE89" s="20"/>
      <c r="AF89" s="20">
        <v>1</v>
      </c>
      <c r="AG89" s="20">
        <v>1</v>
      </c>
      <c r="AH89" s="20">
        <v>1</v>
      </c>
      <c r="AI89" s="20">
        <v>1</v>
      </c>
      <c r="AJ89" s="20">
        <v>1</v>
      </c>
      <c r="AK89" s="20">
        <v>1</v>
      </c>
      <c r="AL89" s="20" t="s">
        <v>137</v>
      </c>
      <c r="AM89" s="20">
        <v>1</v>
      </c>
    </row>
    <row r="90" spans="1:39" ht="16" x14ac:dyDescent="0.2">
      <c r="A90" s="20" t="s">
        <v>137</v>
      </c>
      <c r="B90" s="20" t="s">
        <v>137</v>
      </c>
      <c r="C90" s="20" t="s">
        <v>137</v>
      </c>
      <c r="D90" s="20"/>
      <c r="E90" s="20" t="s">
        <v>137</v>
      </c>
      <c r="F90" s="20" t="s">
        <v>137</v>
      </c>
      <c r="G90" s="20" t="s">
        <v>137</v>
      </c>
      <c r="H90" s="20" t="s">
        <v>137</v>
      </c>
      <c r="I90" s="20" t="s">
        <v>137</v>
      </c>
      <c r="J90" s="20" t="s">
        <v>137</v>
      </c>
      <c r="K90" s="20" t="s">
        <v>137</v>
      </c>
      <c r="L90" s="20" t="s">
        <v>137</v>
      </c>
      <c r="M90" s="20" t="s">
        <v>137</v>
      </c>
      <c r="N90" s="20" t="s">
        <v>137</v>
      </c>
      <c r="O90" s="20" t="s">
        <v>137</v>
      </c>
      <c r="P90" s="20" t="s">
        <v>137</v>
      </c>
      <c r="Q90" s="20" t="s">
        <v>137</v>
      </c>
      <c r="R90" s="20" t="s">
        <v>137</v>
      </c>
      <c r="S90" s="20" t="s">
        <v>137</v>
      </c>
      <c r="T90" s="20" t="s">
        <v>137</v>
      </c>
      <c r="U90" s="20" t="s">
        <v>137</v>
      </c>
      <c r="V90" s="20" t="s">
        <v>137</v>
      </c>
      <c r="W90" s="20" t="s">
        <v>137</v>
      </c>
      <c r="X90" s="20" t="s">
        <v>137</v>
      </c>
      <c r="Y90" s="20" t="s">
        <v>137</v>
      </c>
      <c r="Z90" s="20" t="s">
        <v>137</v>
      </c>
      <c r="AA90" s="20" t="s">
        <v>137</v>
      </c>
      <c r="AB90" s="20">
        <v>1</v>
      </c>
      <c r="AC90" s="20">
        <v>1</v>
      </c>
      <c r="AD90" s="20">
        <v>1</v>
      </c>
      <c r="AE90" s="20"/>
      <c r="AF90" s="20">
        <v>1</v>
      </c>
      <c r="AG90" s="20">
        <v>1</v>
      </c>
      <c r="AH90" s="20">
        <v>1</v>
      </c>
      <c r="AI90" s="20">
        <v>1</v>
      </c>
      <c r="AJ90" s="20">
        <v>1</v>
      </c>
      <c r="AK90" s="20">
        <v>1</v>
      </c>
      <c r="AL90" s="20" t="s">
        <v>137</v>
      </c>
      <c r="AM90" s="20">
        <v>1</v>
      </c>
    </row>
    <row r="91" spans="1:39" ht="16" x14ac:dyDescent="0.2">
      <c r="A91" s="20">
        <v>1</v>
      </c>
      <c r="B91" s="20">
        <v>1</v>
      </c>
      <c r="C91" s="20">
        <v>1</v>
      </c>
      <c r="D91" s="20"/>
      <c r="E91" s="20">
        <v>1</v>
      </c>
      <c r="F91" s="20">
        <v>1</v>
      </c>
      <c r="G91" s="20">
        <v>1</v>
      </c>
      <c r="H91" s="20">
        <v>1</v>
      </c>
      <c r="I91" s="20">
        <v>1</v>
      </c>
      <c r="J91" s="20">
        <v>1</v>
      </c>
      <c r="K91" s="20">
        <v>1</v>
      </c>
      <c r="L91" s="20">
        <v>1</v>
      </c>
      <c r="M91" s="20">
        <v>1</v>
      </c>
      <c r="N91" s="20">
        <v>1</v>
      </c>
      <c r="O91" s="20">
        <v>1</v>
      </c>
      <c r="P91" s="20">
        <v>1</v>
      </c>
      <c r="Q91" s="20">
        <v>1</v>
      </c>
      <c r="R91" s="20">
        <v>0</v>
      </c>
      <c r="S91" s="20">
        <v>1</v>
      </c>
      <c r="T91" s="20">
        <v>1</v>
      </c>
      <c r="U91" s="20">
        <v>1</v>
      </c>
      <c r="V91" s="20">
        <v>1</v>
      </c>
      <c r="W91" s="20">
        <v>1</v>
      </c>
      <c r="X91" s="20">
        <v>1</v>
      </c>
      <c r="Y91" s="20">
        <v>1</v>
      </c>
      <c r="Z91" s="20">
        <v>1</v>
      </c>
      <c r="AA91" s="20">
        <v>1</v>
      </c>
      <c r="AB91" s="20">
        <v>1</v>
      </c>
      <c r="AC91" s="20">
        <v>1</v>
      </c>
      <c r="AD91" s="20">
        <v>1</v>
      </c>
      <c r="AE91" s="20"/>
      <c r="AF91" s="20">
        <v>1</v>
      </c>
      <c r="AG91" s="20">
        <v>1</v>
      </c>
      <c r="AH91" s="20">
        <v>1</v>
      </c>
      <c r="AI91" s="20">
        <v>1</v>
      </c>
      <c r="AJ91" s="20">
        <v>1</v>
      </c>
      <c r="AK91" s="20">
        <v>1</v>
      </c>
      <c r="AL91" s="20" t="s">
        <v>137</v>
      </c>
      <c r="AM91" s="62">
        <v>1</v>
      </c>
    </row>
    <row r="92" spans="1:39" ht="16" x14ac:dyDescent="0.2">
      <c r="A92" s="20" t="s">
        <v>137</v>
      </c>
      <c r="B92" s="20" t="s">
        <v>137</v>
      </c>
      <c r="C92" s="20" t="s">
        <v>137</v>
      </c>
      <c r="D92" s="20"/>
      <c r="E92" s="20" t="s">
        <v>137</v>
      </c>
      <c r="F92" s="20" t="s">
        <v>137</v>
      </c>
      <c r="G92" s="20" t="s">
        <v>137</v>
      </c>
      <c r="H92" s="20">
        <v>1</v>
      </c>
      <c r="I92" s="20">
        <v>1</v>
      </c>
      <c r="J92" s="20">
        <v>1</v>
      </c>
      <c r="K92" s="20">
        <v>1</v>
      </c>
      <c r="L92" s="20">
        <v>1</v>
      </c>
      <c r="M92" s="20">
        <v>1</v>
      </c>
      <c r="N92" s="20">
        <v>1</v>
      </c>
      <c r="O92" s="20">
        <v>1</v>
      </c>
      <c r="P92" s="20">
        <v>1</v>
      </c>
      <c r="Q92" s="20">
        <v>1</v>
      </c>
      <c r="R92" s="20">
        <v>0</v>
      </c>
      <c r="S92" s="20">
        <v>1</v>
      </c>
      <c r="T92" s="20">
        <v>1</v>
      </c>
      <c r="U92" s="20">
        <v>1</v>
      </c>
      <c r="V92" s="20">
        <v>1</v>
      </c>
      <c r="W92" s="20">
        <v>1</v>
      </c>
      <c r="X92" s="20">
        <v>1</v>
      </c>
      <c r="Y92" s="20">
        <v>1</v>
      </c>
      <c r="Z92" s="20">
        <v>1</v>
      </c>
      <c r="AA92" s="20">
        <v>1</v>
      </c>
      <c r="AB92" s="20">
        <v>1</v>
      </c>
      <c r="AC92" s="20">
        <v>1</v>
      </c>
      <c r="AD92" s="20">
        <v>1</v>
      </c>
      <c r="AE92" s="20"/>
      <c r="AF92" s="20">
        <v>1</v>
      </c>
      <c r="AG92" s="20">
        <v>1</v>
      </c>
      <c r="AH92" s="20">
        <v>1</v>
      </c>
      <c r="AI92" s="20">
        <v>1</v>
      </c>
      <c r="AJ92" s="20">
        <v>1</v>
      </c>
      <c r="AK92" s="20">
        <v>1</v>
      </c>
      <c r="AL92" s="20" t="s">
        <v>137</v>
      </c>
      <c r="AM92" s="62">
        <v>1</v>
      </c>
    </row>
    <row r="93" spans="1:39" ht="16" x14ac:dyDescent="0.2">
      <c r="A93" s="20" t="s">
        <v>137</v>
      </c>
      <c r="B93" s="20" t="s">
        <v>137</v>
      </c>
      <c r="C93" s="20" t="s">
        <v>137</v>
      </c>
      <c r="D93" s="20"/>
      <c r="E93" s="20" t="s">
        <v>137</v>
      </c>
      <c r="F93" s="20" t="s">
        <v>137</v>
      </c>
      <c r="G93" s="20" t="s">
        <v>137</v>
      </c>
      <c r="H93" s="20">
        <v>1</v>
      </c>
      <c r="I93" s="20">
        <v>1</v>
      </c>
      <c r="J93" s="20">
        <v>1</v>
      </c>
      <c r="K93" s="20">
        <v>1</v>
      </c>
      <c r="L93" s="20">
        <v>1</v>
      </c>
      <c r="M93" s="20">
        <v>1</v>
      </c>
      <c r="N93" s="20">
        <v>1</v>
      </c>
      <c r="O93" s="20">
        <v>1</v>
      </c>
      <c r="P93" s="20">
        <v>1</v>
      </c>
      <c r="Q93" s="20">
        <v>1</v>
      </c>
      <c r="R93" s="20">
        <v>1</v>
      </c>
      <c r="S93" s="20">
        <v>1</v>
      </c>
      <c r="T93" s="20">
        <v>1</v>
      </c>
      <c r="U93" s="20">
        <v>1</v>
      </c>
      <c r="V93" s="20">
        <v>1</v>
      </c>
      <c r="W93" s="20">
        <v>1</v>
      </c>
      <c r="X93" s="20">
        <v>1</v>
      </c>
      <c r="Y93" s="20">
        <v>1</v>
      </c>
      <c r="Z93" s="20">
        <v>1</v>
      </c>
      <c r="AA93" s="20">
        <v>1</v>
      </c>
      <c r="AB93" s="20">
        <v>1</v>
      </c>
      <c r="AC93" s="20">
        <v>1</v>
      </c>
      <c r="AD93" s="20">
        <v>1</v>
      </c>
      <c r="AE93" s="20"/>
      <c r="AF93" s="20">
        <v>1</v>
      </c>
      <c r="AG93" s="20">
        <v>1</v>
      </c>
      <c r="AH93" s="20">
        <v>1</v>
      </c>
      <c r="AI93" s="20">
        <v>1</v>
      </c>
      <c r="AJ93" s="20">
        <v>1</v>
      </c>
      <c r="AK93" s="20">
        <v>1</v>
      </c>
      <c r="AL93" s="20" t="s">
        <v>137</v>
      </c>
      <c r="AM93" s="62">
        <v>1</v>
      </c>
    </row>
    <row r="94" spans="1:39" ht="16" x14ac:dyDescent="0.2">
      <c r="A94" s="20">
        <v>1</v>
      </c>
      <c r="B94" s="20">
        <v>1</v>
      </c>
      <c r="C94" s="20">
        <v>1</v>
      </c>
      <c r="D94" s="20"/>
      <c r="E94" s="20">
        <v>1</v>
      </c>
      <c r="F94" s="20">
        <v>1</v>
      </c>
      <c r="G94" s="20">
        <v>1</v>
      </c>
      <c r="H94" s="20">
        <v>1</v>
      </c>
      <c r="I94" s="20">
        <v>1</v>
      </c>
      <c r="J94" s="20">
        <v>1</v>
      </c>
      <c r="K94" s="20">
        <v>1</v>
      </c>
      <c r="L94" s="20">
        <v>1</v>
      </c>
      <c r="M94" s="20">
        <v>1</v>
      </c>
      <c r="N94" s="20">
        <v>1</v>
      </c>
      <c r="O94" s="20">
        <v>1</v>
      </c>
      <c r="P94" s="20">
        <v>1</v>
      </c>
      <c r="Q94" s="20">
        <v>1</v>
      </c>
      <c r="R94" s="20">
        <v>1</v>
      </c>
      <c r="S94" s="20">
        <v>1</v>
      </c>
      <c r="T94" s="20">
        <v>1</v>
      </c>
      <c r="U94" s="20">
        <v>1</v>
      </c>
      <c r="V94" s="20">
        <v>1</v>
      </c>
      <c r="W94" s="20">
        <v>1</v>
      </c>
      <c r="X94" s="20">
        <v>1</v>
      </c>
      <c r="Y94" s="20">
        <v>1</v>
      </c>
      <c r="Z94" s="20">
        <v>1</v>
      </c>
      <c r="AA94" s="20">
        <v>1</v>
      </c>
      <c r="AB94" s="20">
        <v>1</v>
      </c>
      <c r="AC94" s="20">
        <v>0</v>
      </c>
      <c r="AD94" s="20">
        <v>1</v>
      </c>
      <c r="AE94" s="20"/>
      <c r="AF94" s="20">
        <v>1</v>
      </c>
      <c r="AG94" s="20">
        <v>1</v>
      </c>
      <c r="AH94" s="20">
        <v>1</v>
      </c>
      <c r="AI94" s="20">
        <v>1</v>
      </c>
      <c r="AJ94" s="20">
        <v>1</v>
      </c>
      <c r="AK94" s="20">
        <v>1</v>
      </c>
      <c r="AL94" s="20" t="s">
        <v>137</v>
      </c>
      <c r="AM94" s="20">
        <v>1</v>
      </c>
    </row>
    <row r="95" spans="1:39" ht="16" x14ac:dyDescent="0.2">
      <c r="A95" s="20" t="s">
        <v>137</v>
      </c>
      <c r="B95" s="20" t="s">
        <v>137</v>
      </c>
      <c r="C95" s="20" t="s">
        <v>137</v>
      </c>
      <c r="D95" s="20"/>
      <c r="E95" s="20" t="s">
        <v>137</v>
      </c>
      <c r="F95" s="20" t="s">
        <v>137</v>
      </c>
      <c r="G95" s="20" t="s">
        <v>137</v>
      </c>
      <c r="H95" s="20" t="s">
        <v>137</v>
      </c>
      <c r="I95" s="20" t="s">
        <v>137</v>
      </c>
      <c r="J95" s="20" t="s">
        <v>137</v>
      </c>
      <c r="K95" s="20" t="s">
        <v>137</v>
      </c>
      <c r="L95" s="20" t="s">
        <v>137</v>
      </c>
      <c r="M95" s="20" t="s">
        <v>137</v>
      </c>
      <c r="N95" s="20" t="s">
        <v>137</v>
      </c>
      <c r="O95" s="20" t="s">
        <v>137</v>
      </c>
      <c r="P95" s="20" t="s">
        <v>137</v>
      </c>
      <c r="Q95" s="20" t="s">
        <v>137</v>
      </c>
      <c r="R95" s="20" t="s">
        <v>137</v>
      </c>
      <c r="S95" s="20" t="s">
        <v>137</v>
      </c>
      <c r="T95" s="20" t="s">
        <v>137</v>
      </c>
      <c r="U95" s="20" t="s">
        <v>137</v>
      </c>
      <c r="V95" s="20" t="s">
        <v>137</v>
      </c>
      <c r="W95" s="20" t="s">
        <v>137</v>
      </c>
      <c r="X95" s="20" t="s">
        <v>137</v>
      </c>
      <c r="Y95" s="20" t="s">
        <v>137</v>
      </c>
      <c r="Z95" s="20" t="s">
        <v>137</v>
      </c>
      <c r="AA95" s="20" t="s">
        <v>137</v>
      </c>
      <c r="AB95" s="20">
        <v>1</v>
      </c>
      <c r="AC95" s="20">
        <v>1</v>
      </c>
      <c r="AD95" s="20">
        <v>1</v>
      </c>
      <c r="AE95" s="20"/>
      <c r="AF95" s="20">
        <v>1</v>
      </c>
      <c r="AG95" s="20">
        <v>1</v>
      </c>
      <c r="AH95" s="20">
        <v>1</v>
      </c>
      <c r="AI95" s="20">
        <v>1</v>
      </c>
      <c r="AJ95" s="20">
        <v>1</v>
      </c>
      <c r="AK95" s="20">
        <v>1</v>
      </c>
      <c r="AL95" s="20" t="s">
        <v>137</v>
      </c>
      <c r="AM95" s="20">
        <v>1</v>
      </c>
    </row>
    <row r="96" spans="1:39" ht="16" x14ac:dyDescent="0.2">
      <c r="A96" s="20" t="s">
        <v>137</v>
      </c>
      <c r="B96" s="20" t="s">
        <v>137</v>
      </c>
      <c r="C96" s="20" t="s">
        <v>137</v>
      </c>
      <c r="D96" s="20"/>
      <c r="E96" s="20" t="s">
        <v>137</v>
      </c>
      <c r="F96" s="20" t="s">
        <v>137</v>
      </c>
      <c r="G96" s="20" t="s">
        <v>137</v>
      </c>
      <c r="H96" s="20">
        <v>1</v>
      </c>
      <c r="I96" s="20">
        <v>1</v>
      </c>
      <c r="J96" s="20">
        <v>1</v>
      </c>
      <c r="K96" s="20">
        <v>1</v>
      </c>
      <c r="L96" s="20">
        <v>1</v>
      </c>
      <c r="M96" s="20">
        <v>1</v>
      </c>
      <c r="N96" s="20">
        <v>1</v>
      </c>
      <c r="O96" s="20">
        <v>1</v>
      </c>
      <c r="P96" s="20">
        <v>1</v>
      </c>
      <c r="Q96" s="20">
        <v>1</v>
      </c>
      <c r="R96" s="20">
        <v>1</v>
      </c>
      <c r="S96" s="20">
        <v>1</v>
      </c>
      <c r="T96" s="20">
        <v>1</v>
      </c>
      <c r="U96" s="20">
        <v>1</v>
      </c>
      <c r="V96" s="20">
        <v>1</v>
      </c>
      <c r="W96" s="20">
        <v>1</v>
      </c>
      <c r="X96" s="20">
        <v>1</v>
      </c>
      <c r="Y96" s="20">
        <v>1</v>
      </c>
      <c r="Z96" s="20">
        <v>1</v>
      </c>
      <c r="AA96" s="20">
        <v>1</v>
      </c>
      <c r="AB96" s="20">
        <v>1</v>
      </c>
      <c r="AC96" s="20">
        <v>0</v>
      </c>
      <c r="AD96" s="20">
        <v>1</v>
      </c>
      <c r="AE96" s="20"/>
      <c r="AF96" s="20">
        <v>1</v>
      </c>
      <c r="AG96" s="20">
        <v>1</v>
      </c>
      <c r="AH96" s="20">
        <v>1</v>
      </c>
      <c r="AI96" s="20">
        <v>1</v>
      </c>
      <c r="AJ96" s="20">
        <v>1</v>
      </c>
      <c r="AK96" s="20">
        <v>1</v>
      </c>
      <c r="AL96" s="20" t="s">
        <v>137</v>
      </c>
      <c r="AM96" s="20">
        <v>1</v>
      </c>
    </row>
    <row r="97" spans="1:43" ht="16" x14ac:dyDescent="0.2">
      <c r="A97" s="20" t="s">
        <v>137</v>
      </c>
      <c r="B97" s="20" t="s">
        <v>137</v>
      </c>
      <c r="C97" s="20" t="s">
        <v>137</v>
      </c>
      <c r="D97" s="20"/>
      <c r="E97" s="20" t="s">
        <v>137</v>
      </c>
      <c r="F97" s="20" t="s">
        <v>137</v>
      </c>
      <c r="G97" s="20" t="s">
        <v>137</v>
      </c>
      <c r="H97" s="20" t="s">
        <v>137</v>
      </c>
      <c r="I97" s="20" t="s">
        <v>137</v>
      </c>
      <c r="J97" s="20" t="s">
        <v>137</v>
      </c>
      <c r="K97" s="20" t="s">
        <v>137</v>
      </c>
      <c r="L97" s="20" t="s">
        <v>137</v>
      </c>
      <c r="M97" s="20" t="s">
        <v>137</v>
      </c>
      <c r="N97" s="20" t="s">
        <v>137</v>
      </c>
      <c r="O97" s="20" t="s">
        <v>137</v>
      </c>
      <c r="P97" s="20" t="s">
        <v>137</v>
      </c>
      <c r="Q97" s="20" t="s">
        <v>137</v>
      </c>
      <c r="R97" s="20" t="s">
        <v>137</v>
      </c>
      <c r="S97" s="20" t="s">
        <v>137</v>
      </c>
      <c r="T97" s="20" t="s">
        <v>137</v>
      </c>
      <c r="U97" s="20" t="s">
        <v>137</v>
      </c>
      <c r="V97" s="20" t="s">
        <v>137</v>
      </c>
      <c r="W97" s="20" t="s">
        <v>137</v>
      </c>
      <c r="X97" s="20" t="s">
        <v>137</v>
      </c>
      <c r="Y97" s="20" t="s">
        <v>137</v>
      </c>
      <c r="Z97" s="20" t="s">
        <v>137</v>
      </c>
      <c r="AA97" s="20" t="s">
        <v>137</v>
      </c>
      <c r="AB97" s="20">
        <v>1</v>
      </c>
      <c r="AC97" s="20">
        <v>1</v>
      </c>
      <c r="AD97" s="20">
        <v>1</v>
      </c>
      <c r="AE97" s="20"/>
      <c r="AF97" s="20">
        <v>1</v>
      </c>
      <c r="AG97" s="20">
        <v>0</v>
      </c>
      <c r="AH97" s="20">
        <v>1</v>
      </c>
      <c r="AI97" s="20">
        <v>1</v>
      </c>
      <c r="AJ97" s="20">
        <v>1</v>
      </c>
      <c r="AK97" s="20">
        <v>1</v>
      </c>
      <c r="AL97" s="20" t="s">
        <v>137</v>
      </c>
      <c r="AM97" s="20">
        <v>1</v>
      </c>
    </row>
    <row r="98" spans="1:43" ht="16" x14ac:dyDescent="0.2">
      <c r="A98" s="20">
        <v>1</v>
      </c>
      <c r="B98" s="20">
        <v>1</v>
      </c>
      <c r="C98" s="20">
        <v>1</v>
      </c>
      <c r="D98" s="20"/>
      <c r="E98" s="20">
        <v>1</v>
      </c>
      <c r="F98" s="20">
        <v>1</v>
      </c>
      <c r="G98" s="20">
        <v>1</v>
      </c>
      <c r="H98" s="20">
        <v>1</v>
      </c>
      <c r="I98" s="20">
        <v>1</v>
      </c>
      <c r="J98" s="20">
        <v>1</v>
      </c>
      <c r="K98" s="20">
        <v>0</v>
      </c>
      <c r="L98" s="20">
        <v>1</v>
      </c>
      <c r="M98" s="20">
        <v>1</v>
      </c>
      <c r="N98" s="20">
        <v>1</v>
      </c>
      <c r="O98" s="20">
        <v>1</v>
      </c>
      <c r="P98" s="20">
        <v>1</v>
      </c>
      <c r="Q98" s="20">
        <v>1</v>
      </c>
      <c r="R98" s="20">
        <v>1</v>
      </c>
      <c r="S98" s="20">
        <v>1</v>
      </c>
      <c r="T98" s="20">
        <v>1</v>
      </c>
      <c r="U98" s="20">
        <v>1</v>
      </c>
      <c r="V98" s="20">
        <v>1</v>
      </c>
      <c r="W98" s="20">
        <v>1</v>
      </c>
      <c r="X98" s="20">
        <v>1</v>
      </c>
      <c r="Y98" s="20">
        <v>1</v>
      </c>
      <c r="Z98" s="20">
        <v>1</v>
      </c>
      <c r="AA98" s="20">
        <v>1</v>
      </c>
      <c r="AB98" s="20">
        <v>1</v>
      </c>
      <c r="AC98" s="20">
        <v>1</v>
      </c>
      <c r="AD98" s="62">
        <v>1</v>
      </c>
      <c r="AE98" s="62"/>
      <c r="AF98" s="20">
        <v>1</v>
      </c>
      <c r="AG98" s="20">
        <v>1</v>
      </c>
      <c r="AH98" s="20">
        <v>1</v>
      </c>
      <c r="AI98" s="20">
        <v>1</v>
      </c>
      <c r="AJ98" s="20">
        <v>1</v>
      </c>
      <c r="AK98" s="20">
        <v>1</v>
      </c>
      <c r="AL98" s="20" t="s">
        <v>137</v>
      </c>
      <c r="AM98" s="20">
        <v>0</v>
      </c>
    </row>
    <row r="99" spans="1:43" ht="16" x14ac:dyDescent="0.2">
      <c r="A99" s="20" t="s">
        <v>137</v>
      </c>
      <c r="B99" s="20" t="s">
        <v>137</v>
      </c>
      <c r="C99" s="20" t="s">
        <v>137</v>
      </c>
      <c r="D99" s="20"/>
      <c r="E99" s="20" t="s">
        <v>137</v>
      </c>
      <c r="F99" s="20" t="s">
        <v>137</v>
      </c>
      <c r="G99" s="20" t="s">
        <v>137</v>
      </c>
      <c r="H99" s="20">
        <v>1</v>
      </c>
      <c r="I99" s="20">
        <v>1</v>
      </c>
      <c r="J99" s="20">
        <v>1</v>
      </c>
      <c r="K99" s="20">
        <v>1</v>
      </c>
      <c r="L99" s="20">
        <v>1</v>
      </c>
      <c r="M99" s="20">
        <v>1</v>
      </c>
      <c r="N99" s="20">
        <v>1</v>
      </c>
      <c r="O99" s="20">
        <v>1</v>
      </c>
      <c r="P99" s="20">
        <v>1</v>
      </c>
      <c r="Q99" s="20">
        <v>1</v>
      </c>
      <c r="R99" s="20">
        <v>1</v>
      </c>
      <c r="S99" s="20">
        <v>1</v>
      </c>
      <c r="T99" s="20">
        <v>1</v>
      </c>
      <c r="U99" s="20">
        <v>1</v>
      </c>
      <c r="V99" s="20">
        <v>1</v>
      </c>
      <c r="W99" s="20">
        <v>1</v>
      </c>
      <c r="X99" s="20">
        <v>1</v>
      </c>
      <c r="Y99" s="20">
        <v>1</v>
      </c>
      <c r="Z99" s="20">
        <v>1</v>
      </c>
      <c r="AA99" s="20">
        <v>1</v>
      </c>
      <c r="AB99" s="20">
        <v>1</v>
      </c>
      <c r="AC99" s="20">
        <v>1</v>
      </c>
      <c r="AD99" s="62">
        <v>1</v>
      </c>
      <c r="AE99" s="62"/>
      <c r="AF99" s="20">
        <v>1</v>
      </c>
      <c r="AG99" s="20">
        <v>1</v>
      </c>
      <c r="AH99" s="20">
        <v>1</v>
      </c>
      <c r="AI99" s="20">
        <v>1</v>
      </c>
      <c r="AJ99" s="20">
        <v>1</v>
      </c>
      <c r="AK99" s="20">
        <v>1</v>
      </c>
      <c r="AL99" s="20" t="s">
        <v>137</v>
      </c>
      <c r="AM99" s="20">
        <v>0</v>
      </c>
    </row>
    <row r="100" spans="1:43" ht="16" x14ac:dyDescent="0.2">
      <c r="A100" s="20" t="s">
        <v>137</v>
      </c>
      <c r="B100" s="20" t="s">
        <v>137</v>
      </c>
      <c r="C100" s="20" t="s">
        <v>137</v>
      </c>
      <c r="D100" s="20"/>
      <c r="E100" s="20" t="s">
        <v>137</v>
      </c>
      <c r="F100" s="20" t="s">
        <v>137</v>
      </c>
      <c r="G100" s="20" t="s">
        <v>137</v>
      </c>
      <c r="H100" s="20">
        <v>1</v>
      </c>
      <c r="I100" s="20">
        <v>1</v>
      </c>
      <c r="J100" s="20">
        <v>1</v>
      </c>
      <c r="K100" s="20">
        <v>1</v>
      </c>
      <c r="L100" s="20">
        <v>1</v>
      </c>
      <c r="M100" s="20">
        <v>1</v>
      </c>
      <c r="N100" s="20">
        <v>1</v>
      </c>
      <c r="O100" s="20">
        <v>1</v>
      </c>
      <c r="P100" s="20">
        <v>1</v>
      </c>
      <c r="Q100" s="20">
        <v>1</v>
      </c>
      <c r="R100" s="20">
        <v>1</v>
      </c>
      <c r="S100" s="20">
        <v>1</v>
      </c>
      <c r="T100" s="20">
        <v>1</v>
      </c>
      <c r="U100" s="20">
        <v>1</v>
      </c>
      <c r="V100" s="20">
        <v>1</v>
      </c>
      <c r="W100" s="20">
        <v>1</v>
      </c>
      <c r="X100" s="20">
        <v>1</v>
      </c>
      <c r="Y100" s="20">
        <v>1</v>
      </c>
      <c r="Z100" s="20">
        <v>1</v>
      </c>
      <c r="AA100" s="20">
        <v>1</v>
      </c>
      <c r="AB100" s="20">
        <v>1</v>
      </c>
      <c r="AC100" s="20">
        <v>1</v>
      </c>
      <c r="AD100" s="62">
        <v>1</v>
      </c>
      <c r="AE100" s="62"/>
      <c r="AF100" s="20">
        <v>1</v>
      </c>
      <c r="AG100" s="20">
        <v>1</v>
      </c>
      <c r="AH100" s="20">
        <v>1</v>
      </c>
      <c r="AI100" s="20">
        <v>1</v>
      </c>
      <c r="AJ100" s="20">
        <v>1</v>
      </c>
      <c r="AK100" s="20">
        <v>1</v>
      </c>
      <c r="AL100" s="20" t="s">
        <v>137</v>
      </c>
      <c r="AM100" s="20">
        <v>0</v>
      </c>
    </row>
    <row r="101" spans="1:43" ht="16" x14ac:dyDescent="0.2">
      <c r="A101" s="20">
        <v>1</v>
      </c>
      <c r="B101" s="20">
        <v>1</v>
      </c>
      <c r="C101" s="20">
        <v>1</v>
      </c>
      <c r="D101" s="20"/>
      <c r="E101" s="20">
        <v>1</v>
      </c>
      <c r="F101" s="20">
        <v>1</v>
      </c>
      <c r="G101" s="20">
        <v>1</v>
      </c>
      <c r="H101" s="20">
        <v>1</v>
      </c>
      <c r="I101" s="20">
        <v>1</v>
      </c>
      <c r="J101" s="20">
        <v>1</v>
      </c>
      <c r="K101" s="20">
        <v>1</v>
      </c>
      <c r="L101" s="20">
        <v>1</v>
      </c>
      <c r="M101" s="20">
        <v>1</v>
      </c>
      <c r="N101" s="20">
        <v>1</v>
      </c>
      <c r="O101" s="20">
        <v>1</v>
      </c>
      <c r="P101" s="101">
        <v>1</v>
      </c>
      <c r="Q101" s="20">
        <v>1</v>
      </c>
      <c r="R101" s="20">
        <v>1</v>
      </c>
      <c r="S101" s="20">
        <v>1</v>
      </c>
      <c r="T101" s="20">
        <v>0</v>
      </c>
      <c r="U101" s="20" t="s">
        <v>137</v>
      </c>
      <c r="V101" s="20">
        <v>1</v>
      </c>
      <c r="W101" s="20">
        <v>1</v>
      </c>
      <c r="X101" s="20">
        <v>1</v>
      </c>
      <c r="Y101" s="20">
        <v>1</v>
      </c>
      <c r="Z101" s="20">
        <v>1</v>
      </c>
      <c r="AA101" s="20">
        <v>1</v>
      </c>
      <c r="AB101" s="20">
        <v>1</v>
      </c>
      <c r="AC101" s="20">
        <v>1</v>
      </c>
      <c r="AD101" s="20">
        <v>1</v>
      </c>
      <c r="AE101" s="20"/>
      <c r="AF101" s="20">
        <v>1</v>
      </c>
      <c r="AG101" s="20">
        <v>1</v>
      </c>
      <c r="AH101" s="20">
        <v>1</v>
      </c>
      <c r="AI101" s="20">
        <v>1</v>
      </c>
      <c r="AJ101" s="20">
        <v>1</v>
      </c>
      <c r="AK101" s="20">
        <v>1</v>
      </c>
      <c r="AL101" s="20" t="s">
        <v>137</v>
      </c>
      <c r="AM101" s="20">
        <v>1</v>
      </c>
    </row>
    <row r="102" spans="1:43" ht="16" x14ac:dyDescent="0.2">
      <c r="A102" s="20" t="s">
        <v>137</v>
      </c>
      <c r="B102" s="20" t="s">
        <v>137</v>
      </c>
      <c r="C102" s="20" t="s">
        <v>137</v>
      </c>
      <c r="D102" s="20"/>
      <c r="E102" s="20" t="s">
        <v>137</v>
      </c>
      <c r="F102" s="20" t="s">
        <v>137</v>
      </c>
      <c r="G102" s="20" t="s">
        <v>137</v>
      </c>
      <c r="H102" s="20">
        <v>1</v>
      </c>
      <c r="I102" s="20">
        <v>1</v>
      </c>
      <c r="J102" s="20">
        <v>1</v>
      </c>
      <c r="K102" s="20">
        <v>1</v>
      </c>
      <c r="L102" s="20">
        <v>1</v>
      </c>
      <c r="M102" s="20">
        <v>1</v>
      </c>
      <c r="N102" s="20">
        <v>1</v>
      </c>
      <c r="O102" s="20">
        <v>1</v>
      </c>
      <c r="P102" s="101">
        <v>1</v>
      </c>
      <c r="Q102" s="20">
        <v>1</v>
      </c>
      <c r="R102" s="20">
        <v>1</v>
      </c>
      <c r="S102" s="20">
        <v>1</v>
      </c>
      <c r="T102" s="20">
        <v>0</v>
      </c>
      <c r="U102" s="20">
        <v>1</v>
      </c>
      <c r="V102" s="20">
        <v>1</v>
      </c>
      <c r="W102" s="20">
        <v>1</v>
      </c>
      <c r="X102" s="20">
        <v>1</v>
      </c>
      <c r="Y102" s="20">
        <v>1</v>
      </c>
      <c r="Z102" s="20">
        <v>1</v>
      </c>
      <c r="AA102" s="20">
        <v>1</v>
      </c>
      <c r="AB102" s="20">
        <v>1</v>
      </c>
      <c r="AC102" s="20">
        <v>1</v>
      </c>
      <c r="AD102" s="20">
        <v>1</v>
      </c>
      <c r="AE102" s="20"/>
      <c r="AF102" s="20">
        <v>1</v>
      </c>
      <c r="AG102" s="20">
        <v>1</v>
      </c>
      <c r="AH102" s="20">
        <v>1</v>
      </c>
      <c r="AI102" s="20">
        <v>0</v>
      </c>
      <c r="AJ102" s="20">
        <v>1</v>
      </c>
      <c r="AK102" s="20">
        <v>1</v>
      </c>
      <c r="AL102" s="20" t="s">
        <v>137</v>
      </c>
      <c r="AM102" s="20">
        <v>1</v>
      </c>
    </row>
    <row r="103" spans="1:43" ht="16" x14ac:dyDescent="0.2">
      <c r="A103" s="20">
        <v>1</v>
      </c>
      <c r="B103" s="20">
        <v>1</v>
      </c>
      <c r="C103" s="20">
        <v>1</v>
      </c>
      <c r="D103" s="20"/>
      <c r="E103" s="20">
        <v>1</v>
      </c>
      <c r="F103" s="20">
        <v>1</v>
      </c>
      <c r="G103" s="20">
        <v>1</v>
      </c>
      <c r="H103" s="20">
        <v>1</v>
      </c>
      <c r="I103" s="20">
        <v>1</v>
      </c>
      <c r="J103" s="20">
        <v>1</v>
      </c>
      <c r="K103" s="20">
        <v>1</v>
      </c>
      <c r="L103" s="20">
        <v>1</v>
      </c>
      <c r="M103" s="20">
        <v>1</v>
      </c>
      <c r="N103" s="20">
        <v>1</v>
      </c>
      <c r="O103" s="20">
        <v>1</v>
      </c>
      <c r="P103" s="20">
        <v>1</v>
      </c>
      <c r="Q103" s="20">
        <v>1</v>
      </c>
      <c r="R103" s="20">
        <v>1</v>
      </c>
      <c r="S103" s="20">
        <v>1</v>
      </c>
      <c r="T103" s="20">
        <v>1</v>
      </c>
      <c r="U103" s="20">
        <v>1</v>
      </c>
      <c r="V103" s="20">
        <v>1</v>
      </c>
      <c r="W103" s="20">
        <v>1</v>
      </c>
      <c r="X103" s="20">
        <v>1</v>
      </c>
      <c r="Y103" s="20">
        <v>1</v>
      </c>
      <c r="Z103" s="20">
        <v>1</v>
      </c>
      <c r="AA103" s="20">
        <v>1</v>
      </c>
      <c r="AB103" s="20">
        <v>1</v>
      </c>
      <c r="AC103" s="20">
        <v>1</v>
      </c>
      <c r="AD103" s="20">
        <v>1</v>
      </c>
      <c r="AE103" s="20"/>
      <c r="AF103" s="20">
        <v>1</v>
      </c>
      <c r="AG103" s="20">
        <v>1</v>
      </c>
      <c r="AH103" s="20">
        <v>1</v>
      </c>
      <c r="AI103" s="20">
        <v>1</v>
      </c>
      <c r="AJ103" s="20">
        <v>1</v>
      </c>
      <c r="AK103" s="20">
        <v>1</v>
      </c>
      <c r="AL103" s="20" t="s">
        <v>137</v>
      </c>
      <c r="AM103" s="20">
        <v>1</v>
      </c>
    </row>
    <row r="104" spans="1:43" ht="16" x14ac:dyDescent="0.2">
      <c r="A104" s="20" t="s">
        <v>137</v>
      </c>
      <c r="B104" s="20" t="s">
        <v>137</v>
      </c>
      <c r="C104" s="20" t="s">
        <v>137</v>
      </c>
      <c r="D104" s="20"/>
      <c r="E104" s="20" t="s">
        <v>137</v>
      </c>
      <c r="F104" s="20" t="s">
        <v>137</v>
      </c>
      <c r="G104" s="20" t="s">
        <v>137</v>
      </c>
      <c r="H104" s="20">
        <v>1</v>
      </c>
      <c r="I104" s="20">
        <v>1</v>
      </c>
      <c r="J104" s="20">
        <v>1</v>
      </c>
      <c r="K104" s="20">
        <v>1</v>
      </c>
      <c r="L104" s="20">
        <v>1</v>
      </c>
      <c r="M104" s="20">
        <v>1</v>
      </c>
      <c r="N104" s="20">
        <v>1</v>
      </c>
      <c r="O104" s="20">
        <v>1</v>
      </c>
      <c r="P104" s="20">
        <v>1</v>
      </c>
      <c r="Q104" s="20">
        <v>1</v>
      </c>
      <c r="R104" s="20">
        <v>1</v>
      </c>
      <c r="S104" s="20">
        <v>1</v>
      </c>
      <c r="T104" s="20">
        <v>1</v>
      </c>
      <c r="U104" s="20">
        <v>1</v>
      </c>
      <c r="V104" s="20">
        <v>1</v>
      </c>
      <c r="W104" s="20">
        <v>1</v>
      </c>
      <c r="X104" s="20">
        <v>1</v>
      </c>
      <c r="Y104" s="20">
        <v>1</v>
      </c>
      <c r="Z104" s="20">
        <v>1</v>
      </c>
      <c r="AA104" s="20">
        <v>1</v>
      </c>
      <c r="AB104" s="20">
        <v>1</v>
      </c>
      <c r="AC104" s="20">
        <v>1</v>
      </c>
      <c r="AD104" s="20">
        <v>1</v>
      </c>
      <c r="AE104" s="20"/>
      <c r="AF104" s="20">
        <v>1</v>
      </c>
      <c r="AG104" s="20">
        <v>1</v>
      </c>
      <c r="AH104" s="20">
        <v>1</v>
      </c>
      <c r="AI104" s="20">
        <v>1</v>
      </c>
      <c r="AJ104" s="20">
        <v>1</v>
      </c>
      <c r="AK104" s="20">
        <v>1</v>
      </c>
      <c r="AL104" s="20" t="s">
        <v>137</v>
      </c>
      <c r="AM104" s="20">
        <v>1</v>
      </c>
    </row>
    <row r="105" spans="1:43" ht="16" x14ac:dyDescent="0.2">
      <c r="A105" s="20" t="s">
        <v>137</v>
      </c>
      <c r="B105" s="20" t="s">
        <v>137</v>
      </c>
      <c r="C105" s="20" t="s">
        <v>137</v>
      </c>
      <c r="D105" s="20"/>
      <c r="E105" s="20" t="s">
        <v>137</v>
      </c>
      <c r="F105" s="20" t="s">
        <v>137</v>
      </c>
      <c r="G105" s="20" t="s">
        <v>137</v>
      </c>
      <c r="H105" s="20">
        <v>1</v>
      </c>
      <c r="I105" s="20">
        <v>1</v>
      </c>
      <c r="J105" s="20">
        <v>1</v>
      </c>
      <c r="K105" s="20">
        <v>1</v>
      </c>
      <c r="L105" s="20">
        <v>1</v>
      </c>
      <c r="M105" s="20">
        <v>1</v>
      </c>
      <c r="N105" s="20">
        <v>1</v>
      </c>
      <c r="O105" s="20">
        <v>1</v>
      </c>
      <c r="P105" s="20">
        <v>1</v>
      </c>
      <c r="Q105" s="20">
        <v>1</v>
      </c>
      <c r="R105" s="20">
        <v>1</v>
      </c>
      <c r="S105" s="20">
        <v>1</v>
      </c>
      <c r="T105" s="20">
        <v>1</v>
      </c>
      <c r="U105" s="20">
        <v>1</v>
      </c>
      <c r="V105" s="20">
        <v>1</v>
      </c>
      <c r="W105" s="20">
        <v>1</v>
      </c>
      <c r="X105" s="20">
        <v>1</v>
      </c>
      <c r="Y105" s="20">
        <v>1</v>
      </c>
      <c r="Z105" s="20">
        <v>1</v>
      </c>
      <c r="AA105" s="20">
        <v>1</v>
      </c>
      <c r="AB105" s="20">
        <v>1</v>
      </c>
      <c r="AC105" s="20">
        <v>1</v>
      </c>
      <c r="AD105" s="20">
        <v>1</v>
      </c>
      <c r="AE105" s="20"/>
      <c r="AF105" s="20">
        <v>1</v>
      </c>
      <c r="AG105" s="20">
        <v>1</v>
      </c>
      <c r="AH105" s="62">
        <v>1</v>
      </c>
      <c r="AI105" s="20">
        <v>1</v>
      </c>
      <c r="AJ105" s="20">
        <v>1</v>
      </c>
      <c r="AK105" s="62">
        <v>1</v>
      </c>
      <c r="AL105" s="20" t="s">
        <v>137</v>
      </c>
      <c r="AM105" s="20">
        <v>1</v>
      </c>
    </row>
    <row r="106" spans="1:43" ht="16" x14ac:dyDescent="0.2">
      <c r="A106" s="20" t="s">
        <v>137</v>
      </c>
      <c r="B106" s="20" t="s">
        <v>137</v>
      </c>
      <c r="C106" s="20" t="s">
        <v>137</v>
      </c>
      <c r="D106" s="20"/>
      <c r="E106" s="20" t="s">
        <v>137</v>
      </c>
      <c r="F106" s="20" t="s">
        <v>137</v>
      </c>
      <c r="G106" s="20" t="s">
        <v>137</v>
      </c>
      <c r="H106" s="20">
        <v>1</v>
      </c>
      <c r="I106" s="20">
        <v>1</v>
      </c>
      <c r="J106" s="20">
        <v>1</v>
      </c>
      <c r="K106" s="20">
        <v>1</v>
      </c>
      <c r="L106" s="20">
        <v>1</v>
      </c>
      <c r="M106" s="20">
        <v>1</v>
      </c>
      <c r="N106" s="20">
        <v>1</v>
      </c>
      <c r="O106" s="20">
        <v>1</v>
      </c>
      <c r="P106" s="20">
        <v>1</v>
      </c>
      <c r="Q106" s="20">
        <v>1</v>
      </c>
      <c r="R106" s="20">
        <v>1</v>
      </c>
      <c r="S106" s="20">
        <v>1</v>
      </c>
      <c r="T106" s="20">
        <v>1</v>
      </c>
      <c r="U106" s="20">
        <v>1</v>
      </c>
      <c r="V106" s="20">
        <v>1</v>
      </c>
      <c r="W106" s="20">
        <v>1</v>
      </c>
      <c r="X106" s="20">
        <v>1</v>
      </c>
      <c r="Y106" s="20">
        <v>1</v>
      </c>
      <c r="Z106" s="20">
        <v>1</v>
      </c>
      <c r="AA106" s="20">
        <v>1</v>
      </c>
      <c r="AB106" s="20">
        <v>1</v>
      </c>
      <c r="AC106" s="20">
        <v>1</v>
      </c>
      <c r="AD106" s="20">
        <v>1</v>
      </c>
      <c r="AE106" s="20"/>
      <c r="AF106" s="20">
        <v>1</v>
      </c>
      <c r="AG106" s="20">
        <v>1</v>
      </c>
      <c r="AH106" s="62">
        <v>1</v>
      </c>
      <c r="AI106" s="20">
        <v>1</v>
      </c>
      <c r="AJ106" s="20">
        <v>0</v>
      </c>
      <c r="AK106" s="62">
        <v>1</v>
      </c>
      <c r="AL106" s="20" t="s">
        <v>137</v>
      </c>
      <c r="AM106" s="20">
        <v>1</v>
      </c>
    </row>
    <row r="107" spans="1:43" ht="16" x14ac:dyDescent="0.2">
      <c r="A107" s="20" t="s">
        <v>137</v>
      </c>
      <c r="B107" s="20" t="s">
        <v>137</v>
      </c>
      <c r="C107" s="20" t="s">
        <v>137</v>
      </c>
      <c r="D107" s="20"/>
      <c r="E107" s="20" t="s">
        <v>137</v>
      </c>
      <c r="F107" s="20" t="s">
        <v>137</v>
      </c>
      <c r="G107" s="20" t="s">
        <v>137</v>
      </c>
      <c r="H107" s="20">
        <v>1</v>
      </c>
      <c r="I107" s="20">
        <v>1</v>
      </c>
      <c r="J107" s="20">
        <v>1</v>
      </c>
      <c r="K107" s="20">
        <v>1</v>
      </c>
      <c r="L107" s="20">
        <v>1</v>
      </c>
      <c r="M107" s="20">
        <v>1</v>
      </c>
      <c r="N107" s="20">
        <v>1</v>
      </c>
      <c r="O107" s="20">
        <v>1</v>
      </c>
      <c r="P107" s="20">
        <v>1</v>
      </c>
      <c r="Q107" s="20">
        <v>1</v>
      </c>
      <c r="R107" s="20">
        <v>1</v>
      </c>
      <c r="S107" s="20">
        <v>1</v>
      </c>
      <c r="T107" s="20">
        <v>1</v>
      </c>
      <c r="U107" s="20">
        <v>1</v>
      </c>
      <c r="V107" s="20">
        <v>1</v>
      </c>
      <c r="W107" s="20">
        <v>1</v>
      </c>
      <c r="X107" s="20">
        <v>1</v>
      </c>
      <c r="Y107" s="20">
        <v>1</v>
      </c>
      <c r="Z107" s="20">
        <v>1</v>
      </c>
      <c r="AA107" s="20">
        <v>1</v>
      </c>
      <c r="AB107" s="20">
        <v>1</v>
      </c>
      <c r="AC107" s="20">
        <v>1</v>
      </c>
      <c r="AD107" s="20">
        <v>1</v>
      </c>
      <c r="AE107" s="20"/>
      <c r="AF107" s="20">
        <v>1</v>
      </c>
      <c r="AG107" s="20">
        <v>1</v>
      </c>
      <c r="AH107" s="62">
        <v>1</v>
      </c>
      <c r="AI107" s="20">
        <v>1</v>
      </c>
      <c r="AJ107" s="20">
        <v>1</v>
      </c>
      <c r="AK107" s="62">
        <v>1</v>
      </c>
      <c r="AL107" s="20" t="s">
        <v>137</v>
      </c>
      <c r="AM107" s="20">
        <v>1</v>
      </c>
    </row>
    <row r="108" spans="1:43" s="107" customFormat="1" ht="17" thickBot="1" x14ac:dyDescent="0.25">
      <c r="A108" s="66" t="s">
        <v>137</v>
      </c>
      <c r="B108" s="66" t="s">
        <v>137</v>
      </c>
      <c r="C108" s="66" t="s">
        <v>137</v>
      </c>
      <c r="D108" s="66"/>
      <c r="E108" s="66" t="s">
        <v>137</v>
      </c>
      <c r="F108" s="66" t="s">
        <v>137</v>
      </c>
      <c r="G108" s="66" t="s">
        <v>137</v>
      </c>
      <c r="H108" s="66">
        <v>1</v>
      </c>
      <c r="I108" s="66">
        <v>1</v>
      </c>
      <c r="J108" s="66">
        <v>1</v>
      </c>
      <c r="K108" s="66">
        <v>1</v>
      </c>
      <c r="L108" s="66">
        <v>1</v>
      </c>
      <c r="M108" s="66">
        <v>1</v>
      </c>
      <c r="N108" s="66">
        <v>1</v>
      </c>
      <c r="O108" s="66">
        <v>1</v>
      </c>
      <c r="P108" s="66">
        <v>1</v>
      </c>
      <c r="Q108" s="66">
        <v>1</v>
      </c>
      <c r="R108" s="66">
        <v>1</v>
      </c>
      <c r="S108" s="66">
        <v>1</v>
      </c>
      <c r="T108" s="66">
        <v>1</v>
      </c>
      <c r="U108" s="66">
        <v>1</v>
      </c>
      <c r="V108" s="66">
        <v>1</v>
      </c>
      <c r="W108" s="66">
        <v>1</v>
      </c>
      <c r="X108" s="66">
        <v>1</v>
      </c>
      <c r="Y108" s="66">
        <v>1</v>
      </c>
      <c r="Z108" s="66">
        <v>1</v>
      </c>
      <c r="AA108" s="66">
        <v>1</v>
      </c>
      <c r="AB108" s="66">
        <v>1</v>
      </c>
      <c r="AC108" s="66">
        <v>1</v>
      </c>
      <c r="AD108" s="66">
        <v>1</v>
      </c>
      <c r="AE108" s="66"/>
      <c r="AF108" s="66">
        <v>1</v>
      </c>
      <c r="AG108" s="66">
        <v>1</v>
      </c>
      <c r="AH108" s="72">
        <v>1</v>
      </c>
      <c r="AI108" s="66">
        <v>1</v>
      </c>
      <c r="AJ108" s="66">
        <v>1</v>
      </c>
      <c r="AK108" s="72">
        <v>1</v>
      </c>
      <c r="AL108" s="66" t="s">
        <v>137</v>
      </c>
      <c r="AM108" s="66">
        <v>1</v>
      </c>
      <c r="AN108" s="106"/>
      <c r="AP108" s="108"/>
      <c r="AQ108" s="108"/>
    </row>
    <row r="109" spans="1:43" ht="17" thickTop="1" x14ac:dyDescent="0.2">
      <c r="A109" s="174">
        <v>1</v>
      </c>
      <c r="B109" s="174">
        <v>1</v>
      </c>
      <c r="C109" s="174">
        <v>1</v>
      </c>
      <c r="D109" s="174"/>
      <c r="E109" s="174">
        <v>1</v>
      </c>
      <c r="F109" s="174">
        <v>1</v>
      </c>
      <c r="G109" s="174">
        <v>1</v>
      </c>
      <c r="H109" s="174">
        <v>1</v>
      </c>
      <c r="I109" s="174">
        <v>1</v>
      </c>
      <c r="J109" s="174">
        <v>1</v>
      </c>
      <c r="K109" s="175">
        <v>1</v>
      </c>
      <c r="L109" s="175">
        <v>1</v>
      </c>
      <c r="M109" s="175">
        <v>0</v>
      </c>
      <c r="N109" s="175">
        <v>1</v>
      </c>
      <c r="O109" s="175">
        <v>1</v>
      </c>
      <c r="P109" s="175">
        <v>0</v>
      </c>
      <c r="Q109" s="175">
        <v>1</v>
      </c>
      <c r="R109" s="174">
        <v>1</v>
      </c>
      <c r="S109" s="176">
        <v>1</v>
      </c>
      <c r="T109" s="174">
        <v>1</v>
      </c>
      <c r="U109" s="174">
        <v>1</v>
      </c>
      <c r="V109" s="174">
        <v>1</v>
      </c>
      <c r="W109" s="174">
        <v>1</v>
      </c>
      <c r="X109" s="174">
        <v>1</v>
      </c>
      <c r="Y109" s="70">
        <v>1</v>
      </c>
      <c r="Z109" s="174">
        <v>1</v>
      </c>
      <c r="AA109" s="174">
        <v>1</v>
      </c>
      <c r="AB109" s="174">
        <v>1</v>
      </c>
      <c r="AC109" s="174">
        <v>1</v>
      </c>
      <c r="AD109" s="174">
        <v>1</v>
      </c>
      <c r="AE109" s="174"/>
      <c r="AF109" s="174">
        <v>1</v>
      </c>
      <c r="AG109" s="174">
        <v>1</v>
      </c>
      <c r="AH109" s="174">
        <v>1</v>
      </c>
      <c r="AI109" s="174">
        <v>1</v>
      </c>
      <c r="AJ109" s="174">
        <v>1</v>
      </c>
      <c r="AK109" s="174">
        <v>1</v>
      </c>
      <c r="AL109" s="174" t="s">
        <v>137</v>
      </c>
      <c r="AM109" s="174" t="s">
        <v>137</v>
      </c>
    </row>
    <row r="110" spans="1:43" ht="16" x14ac:dyDescent="0.2">
      <c r="A110" s="11" t="s">
        <v>137</v>
      </c>
      <c r="B110" s="11" t="s">
        <v>137</v>
      </c>
      <c r="C110" s="11" t="s">
        <v>137</v>
      </c>
      <c r="E110" s="11" t="s">
        <v>137</v>
      </c>
      <c r="F110" s="11" t="s">
        <v>137</v>
      </c>
      <c r="G110" s="11" t="s">
        <v>137</v>
      </c>
      <c r="H110" s="11">
        <v>1</v>
      </c>
      <c r="I110" s="11">
        <v>1</v>
      </c>
      <c r="J110" s="11">
        <v>1</v>
      </c>
      <c r="K110" s="17">
        <v>1</v>
      </c>
      <c r="L110" s="17">
        <v>1</v>
      </c>
      <c r="M110" s="17">
        <v>0</v>
      </c>
      <c r="N110" s="17">
        <v>1</v>
      </c>
      <c r="O110" s="17">
        <v>1</v>
      </c>
      <c r="P110" s="17">
        <v>0</v>
      </c>
      <c r="Q110" s="17">
        <v>1</v>
      </c>
      <c r="R110" s="11">
        <v>1</v>
      </c>
      <c r="S110" s="12">
        <v>1</v>
      </c>
      <c r="T110" s="11">
        <v>1</v>
      </c>
      <c r="U110" s="11">
        <v>1</v>
      </c>
      <c r="V110" s="11">
        <v>1</v>
      </c>
      <c r="W110" s="11">
        <v>1</v>
      </c>
      <c r="X110" s="11">
        <v>1</v>
      </c>
      <c r="Y110" s="20">
        <v>1</v>
      </c>
      <c r="Z110" s="11">
        <v>1</v>
      </c>
      <c r="AA110" s="11">
        <v>1</v>
      </c>
      <c r="AB110" s="11">
        <v>1</v>
      </c>
      <c r="AC110" s="11">
        <v>1</v>
      </c>
      <c r="AD110" s="11">
        <v>1</v>
      </c>
      <c r="AF110" s="11">
        <v>1</v>
      </c>
      <c r="AG110" s="11">
        <v>1</v>
      </c>
      <c r="AH110" s="11">
        <v>1</v>
      </c>
      <c r="AI110" s="11">
        <v>1</v>
      </c>
      <c r="AJ110" s="11">
        <v>1</v>
      </c>
      <c r="AK110" s="11">
        <v>1</v>
      </c>
      <c r="AL110" s="11" t="s">
        <v>137</v>
      </c>
      <c r="AM110" s="11" t="s">
        <v>137</v>
      </c>
    </row>
    <row r="111" spans="1:43" ht="16" x14ac:dyDescent="0.2">
      <c r="A111" s="11">
        <v>1</v>
      </c>
      <c r="B111" s="11">
        <v>1</v>
      </c>
      <c r="C111" s="11">
        <v>1</v>
      </c>
      <c r="E111" s="11">
        <v>1</v>
      </c>
      <c r="F111" s="11">
        <v>1</v>
      </c>
      <c r="G111" s="11">
        <v>1</v>
      </c>
      <c r="H111" s="11">
        <v>1</v>
      </c>
      <c r="I111" s="11">
        <v>1</v>
      </c>
      <c r="J111" s="11">
        <v>1</v>
      </c>
      <c r="K111" s="17">
        <v>1</v>
      </c>
      <c r="L111" s="17">
        <v>1</v>
      </c>
      <c r="M111" s="17">
        <v>1</v>
      </c>
      <c r="N111" s="17">
        <v>1</v>
      </c>
      <c r="O111" s="17">
        <v>1</v>
      </c>
      <c r="P111" s="17">
        <v>1</v>
      </c>
      <c r="Q111" s="17">
        <v>1</v>
      </c>
      <c r="R111" s="11">
        <v>1</v>
      </c>
      <c r="S111" s="12">
        <v>1</v>
      </c>
      <c r="T111" s="11">
        <v>1</v>
      </c>
      <c r="U111" s="11">
        <v>1</v>
      </c>
      <c r="V111" s="11">
        <v>1</v>
      </c>
      <c r="W111" s="11">
        <v>1</v>
      </c>
      <c r="X111" s="11">
        <v>1</v>
      </c>
      <c r="Y111" s="11">
        <v>1</v>
      </c>
      <c r="Z111" s="11">
        <v>1</v>
      </c>
      <c r="AA111" s="11">
        <v>1</v>
      </c>
      <c r="AB111" s="11">
        <v>1</v>
      </c>
      <c r="AC111" s="11">
        <v>1</v>
      </c>
      <c r="AD111" s="11">
        <v>1</v>
      </c>
      <c r="AF111" s="11">
        <v>1</v>
      </c>
      <c r="AG111" s="11">
        <v>1</v>
      </c>
      <c r="AH111" s="11">
        <v>1</v>
      </c>
      <c r="AI111" s="11">
        <v>1</v>
      </c>
      <c r="AJ111" s="11">
        <v>1</v>
      </c>
      <c r="AK111" s="11">
        <v>1</v>
      </c>
      <c r="AL111" s="11" t="s">
        <v>137</v>
      </c>
      <c r="AM111" s="11" t="s">
        <v>137</v>
      </c>
    </row>
    <row r="112" spans="1:43" ht="16" x14ac:dyDescent="0.2">
      <c r="A112" s="11" t="s">
        <v>137</v>
      </c>
      <c r="B112" s="11" t="s">
        <v>137</v>
      </c>
      <c r="C112" s="11" t="s">
        <v>137</v>
      </c>
      <c r="E112" s="11" t="s">
        <v>137</v>
      </c>
      <c r="F112" s="11" t="s">
        <v>137</v>
      </c>
      <c r="G112" s="11" t="s">
        <v>137</v>
      </c>
      <c r="H112" s="11" t="s">
        <v>137</v>
      </c>
      <c r="I112" s="11" t="s">
        <v>137</v>
      </c>
      <c r="J112" s="11" t="s">
        <v>137</v>
      </c>
      <c r="K112" s="17" t="s">
        <v>137</v>
      </c>
      <c r="L112" s="17" t="s">
        <v>137</v>
      </c>
      <c r="M112" s="17" t="s">
        <v>137</v>
      </c>
      <c r="N112" s="17" t="s">
        <v>137</v>
      </c>
      <c r="O112" s="17" t="s">
        <v>137</v>
      </c>
      <c r="P112" s="17" t="s">
        <v>137</v>
      </c>
      <c r="Q112" s="17" t="s">
        <v>137</v>
      </c>
      <c r="R112" s="11" t="s">
        <v>137</v>
      </c>
      <c r="S112" s="12" t="s">
        <v>137</v>
      </c>
      <c r="T112" s="11" t="s">
        <v>137</v>
      </c>
      <c r="U112" s="11" t="s">
        <v>137</v>
      </c>
      <c r="V112" s="11" t="s">
        <v>137</v>
      </c>
      <c r="W112" s="11" t="s">
        <v>137</v>
      </c>
      <c r="X112" s="11" t="s">
        <v>137</v>
      </c>
      <c r="Y112" s="11" t="s">
        <v>137</v>
      </c>
      <c r="Z112" s="11" t="s">
        <v>137</v>
      </c>
      <c r="AA112" s="11" t="s">
        <v>137</v>
      </c>
      <c r="AB112" s="11">
        <v>1</v>
      </c>
      <c r="AC112" s="11">
        <v>1</v>
      </c>
      <c r="AD112" s="11">
        <v>1</v>
      </c>
      <c r="AF112" s="11">
        <v>1</v>
      </c>
      <c r="AG112" s="11">
        <v>1</v>
      </c>
      <c r="AH112" s="11">
        <v>1</v>
      </c>
      <c r="AI112" s="11">
        <v>1</v>
      </c>
      <c r="AJ112" s="11">
        <v>1</v>
      </c>
      <c r="AK112" s="11">
        <v>1</v>
      </c>
      <c r="AL112" s="11" t="s">
        <v>137</v>
      </c>
      <c r="AM112" s="11" t="s">
        <v>137</v>
      </c>
    </row>
    <row r="113" spans="1:39" ht="16" x14ac:dyDescent="0.2">
      <c r="A113" s="11" t="s">
        <v>137</v>
      </c>
      <c r="B113" s="11" t="s">
        <v>137</v>
      </c>
      <c r="C113" s="11" t="s">
        <v>137</v>
      </c>
      <c r="E113" s="11" t="s">
        <v>137</v>
      </c>
      <c r="F113" s="11" t="s">
        <v>137</v>
      </c>
      <c r="G113" s="11" t="s">
        <v>137</v>
      </c>
      <c r="H113" s="11" t="s">
        <v>137</v>
      </c>
      <c r="I113" s="11" t="s">
        <v>137</v>
      </c>
      <c r="J113" s="11" t="s">
        <v>137</v>
      </c>
      <c r="K113" s="17" t="s">
        <v>137</v>
      </c>
      <c r="L113" s="17" t="s">
        <v>137</v>
      </c>
      <c r="M113" s="17" t="s">
        <v>137</v>
      </c>
      <c r="N113" s="17" t="s">
        <v>137</v>
      </c>
      <c r="O113" s="17" t="s">
        <v>137</v>
      </c>
      <c r="P113" s="17" t="s">
        <v>137</v>
      </c>
      <c r="Q113" s="17" t="s">
        <v>137</v>
      </c>
      <c r="R113" s="11" t="s">
        <v>137</v>
      </c>
      <c r="S113" s="12" t="s">
        <v>137</v>
      </c>
      <c r="T113" s="11" t="s">
        <v>137</v>
      </c>
      <c r="U113" s="11" t="s">
        <v>137</v>
      </c>
      <c r="V113" s="11" t="s">
        <v>137</v>
      </c>
      <c r="W113" s="11" t="s">
        <v>137</v>
      </c>
      <c r="X113" s="11" t="s">
        <v>137</v>
      </c>
      <c r="Y113" s="11" t="s">
        <v>137</v>
      </c>
      <c r="Z113" s="11" t="s">
        <v>137</v>
      </c>
      <c r="AA113" s="11" t="s">
        <v>137</v>
      </c>
      <c r="AB113" s="11">
        <v>1</v>
      </c>
      <c r="AC113" s="11">
        <v>1</v>
      </c>
      <c r="AD113" s="11">
        <v>1</v>
      </c>
      <c r="AF113" s="11">
        <v>1</v>
      </c>
      <c r="AG113" s="11">
        <v>1</v>
      </c>
      <c r="AH113" s="11">
        <v>1</v>
      </c>
      <c r="AI113" s="11">
        <v>1</v>
      </c>
      <c r="AJ113" s="11">
        <v>1</v>
      </c>
      <c r="AK113" s="11">
        <v>1</v>
      </c>
      <c r="AL113" s="11" t="s">
        <v>137</v>
      </c>
      <c r="AM113" s="11" t="s">
        <v>137</v>
      </c>
    </row>
    <row r="114" spans="1:39" ht="16" x14ac:dyDescent="0.2">
      <c r="A114" s="11" t="s">
        <v>137</v>
      </c>
      <c r="B114" s="11" t="s">
        <v>137</v>
      </c>
      <c r="C114" s="11" t="s">
        <v>137</v>
      </c>
      <c r="E114" s="11" t="s">
        <v>137</v>
      </c>
      <c r="F114" s="11" t="s">
        <v>137</v>
      </c>
      <c r="G114" s="11" t="s">
        <v>137</v>
      </c>
      <c r="H114" s="11">
        <v>1</v>
      </c>
      <c r="I114" s="11">
        <v>1</v>
      </c>
      <c r="J114" s="11">
        <v>1</v>
      </c>
      <c r="K114" s="17">
        <v>1</v>
      </c>
      <c r="L114" s="17">
        <v>1</v>
      </c>
      <c r="M114" s="17">
        <v>1</v>
      </c>
      <c r="N114" s="17">
        <v>1</v>
      </c>
      <c r="O114" s="17">
        <v>1</v>
      </c>
      <c r="P114" s="17">
        <v>1</v>
      </c>
      <c r="Q114" s="17">
        <v>1</v>
      </c>
      <c r="R114" s="11">
        <v>1</v>
      </c>
      <c r="S114" s="12">
        <v>1</v>
      </c>
      <c r="T114" s="11">
        <v>1</v>
      </c>
      <c r="U114" s="11">
        <v>1</v>
      </c>
      <c r="V114" s="11">
        <v>1</v>
      </c>
      <c r="W114" s="11">
        <v>1</v>
      </c>
      <c r="X114" s="11">
        <v>1</v>
      </c>
      <c r="Y114" s="11">
        <v>1</v>
      </c>
      <c r="Z114" s="11">
        <v>1</v>
      </c>
      <c r="AA114" s="11">
        <v>1</v>
      </c>
      <c r="AB114" s="11">
        <v>1</v>
      </c>
      <c r="AC114" s="11">
        <v>1</v>
      </c>
      <c r="AD114" s="11">
        <v>1</v>
      </c>
      <c r="AF114" s="11">
        <v>1</v>
      </c>
      <c r="AG114" s="11">
        <v>1</v>
      </c>
      <c r="AH114" s="11">
        <v>1</v>
      </c>
      <c r="AI114" s="11">
        <v>1</v>
      </c>
      <c r="AJ114" s="11">
        <v>1</v>
      </c>
      <c r="AK114" s="11">
        <v>1</v>
      </c>
      <c r="AL114" s="11" t="s">
        <v>137</v>
      </c>
      <c r="AM114" s="11" t="s">
        <v>137</v>
      </c>
    </row>
    <row r="115" spans="1:39" ht="16" x14ac:dyDescent="0.2">
      <c r="A115" s="11" t="s">
        <v>137</v>
      </c>
      <c r="B115" s="11" t="s">
        <v>137</v>
      </c>
      <c r="C115" s="11" t="s">
        <v>137</v>
      </c>
      <c r="E115" s="11" t="s">
        <v>137</v>
      </c>
      <c r="F115" s="11" t="s">
        <v>137</v>
      </c>
      <c r="G115" s="11" t="s">
        <v>137</v>
      </c>
      <c r="H115" s="11" t="s">
        <v>137</v>
      </c>
      <c r="I115" s="11" t="s">
        <v>137</v>
      </c>
      <c r="J115" s="11" t="s">
        <v>137</v>
      </c>
      <c r="K115" s="17" t="s">
        <v>137</v>
      </c>
      <c r="L115" s="17" t="s">
        <v>137</v>
      </c>
      <c r="M115" s="17" t="s">
        <v>137</v>
      </c>
      <c r="N115" s="17" t="s">
        <v>137</v>
      </c>
      <c r="O115" s="17" t="s">
        <v>137</v>
      </c>
      <c r="P115" s="17" t="s">
        <v>137</v>
      </c>
      <c r="Q115" s="17" t="s">
        <v>137</v>
      </c>
      <c r="R115" s="11" t="s">
        <v>137</v>
      </c>
      <c r="S115" s="12" t="s">
        <v>137</v>
      </c>
      <c r="T115" s="11" t="s">
        <v>137</v>
      </c>
      <c r="U115" s="11" t="s">
        <v>137</v>
      </c>
      <c r="V115" s="11" t="s">
        <v>137</v>
      </c>
      <c r="W115" s="11" t="s">
        <v>137</v>
      </c>
      <c r="X115" s="11" t="s">
        <v>137</v>
      </c>
      <c r="Y115" s="11" t="s">
        <v>137</v>
      </c>
      <c r="Z115" s="11" t="s">
        <v>137</v>
      </c>
      <c r="AA115" s="11" t="s">
        <v>137</v>
      </c>
      <c r="AB115" s="11">
        <v>1</v>
      </c>
      <c r="AC115" s="11">
        <v>1</v>
      </c>
      <c r="AD115" s="11">
        <v>1</v>
      </c>
      <c r="AF115" s="11">
        <v>1</v>
      </c>
      <c r="AG115" s="11">
        <v>1</v>
      </c>
      <c r="AH115" s="11">
        <v>1</v>
      </c>
      <c r="AI115" s="11">
        <v>1</v>
      </c>
      <c r="AJ115" s="11">
        <v>1</v>
      </c>
      <c r="AK115" s="11">
        <v>1</v>
      </c>
      <c r="AL115" s="11" t="s">
        <v>137</v>
      </c>
      <c r="AM115" s="11" t="s">
        <v>137</v>
      </c>
    </row>
    <row r="116" spans="1:39" ht="16" x14ac:dyDescent="0.2">
      <c r="A116" s="11" t="s">
        <v>137</v>
      </c>
      <c r="B116" s="11" t="s">
        <v>137</v>
      </c>
      <c r="C116" s="11" t="s">
        <v>137</v>
      </c>
      <c r="E116" s="11" t="s">
        <v>137</v>
      </c>
      <c r="F116" s="11" t="s">
        <v>137</v>
      </c>
      <c r="G116" s="11" t="s">
        <v>137</v>
      </c>
      <c r="H116" s="11" t="s">
        <v>137</v>
      </c>
      <c r="I116" s="11" t="s">
        <v>137</v>
      </c>
      <c r="J116" s="11" t="s">
        <v>137</v>
      </c>
      <c r="K116" s="17" t="s">
        <v>137</v>
      </c>
      <c r="L116" s="17" t="s">
        <v>137</v>
      </c>
      <c r="M116" s="17" t="s">
        <v>137</v>
      </c>
      <c r="N116" s="17" t="s">
        <v>137</v>
      </c>
      <c r="O116" s="17" t="s">
        <v>137</v>
      </c>
      <c r="P116" s="17" t="s">
        <v>137</v>
      </c>
      <c r="Q116" s="17" t="s">
        <v>137</v>
      </c>
      <c r="R116" s="11" t="s">
        <v>137</v>
      </c>
      <c r="S116" s="12" t="s">
        <v>137</v>
      </c>
      <c r="T116" s="11" t="s">
        <v>137</v>
      </c>
      <c r="U116" s="11" t="s">
        <v>137</v>
      </c>
      <c r="V116" s="11" t="s">
        <v>137</v>
      </c>
      <c r="W116" s="11" t="s">
        <v>137</v>
      </c>
      <c r="X116" s="11" t="s">
        <v>137</v>
      </c>
      <c r="Y116" s="11" t="s">
        <v>137</v>
      </c>
      <c r="Z116" s="11" t="s">
        <v>137</v>
      </c>
      <c r="AA116" s="11" t="s">
        <v>137</v>
      </c>
      <c r="AB116" s="11">
        <v>1</v>
      </c>
      <c r="AC116" s="11">
        <v>1</v>
      </c>
      <c r="AD116" s="11">
        <v>1</v>
      </c>
      <c r="AF116" s="11">
        <v>1</v>
      </c>
      <c r="AG116" s="11">
        <v>1</v>
      </c>
      <c r="AH116" s="11">
        <v>1</v>
      </c>
      <c r="AI116" s="11">
        <v>1</v>
      </c>
      <c r="AJ116" s="11">
        <v>1</v>
      </c>
      <c r="AK116" s="11">
        <v>1</v>
      </c>
      <c r="AL116" s="11" t="s">
        <v>137</v>
      </c>
      <c r="AM116" s="11" t="s">
        <v>137</v>
      </c>
    </row>
    <row r="117" spans="1:39" ht="16" x14ac:dyDescent="0.2">
      <c r="A117" s="11" t="s">
        <v>137</v>
      </c>
      <c r="B117" s="11" t="s">
        <v>137</v>
      </c>
      <c r="C117" s="11" t="s">
        <v>137</v>
      </c>
      <c r="E117" s="11" t="s">
        <v>137</v>
      </c>
      <c r="F117" s="11" t="s">
        <v>137</v>
      </c>
      <c r="G117" s="11" t="s">
        <v>137</v>
      </c>
      <c r="H117" s="11">
        <v>1</v>
      </c>
      <c r="I117" s="11">
        <v>1</v>
      </c>
      <c r="J117" s="11">
        <v>1</v>
      </c>
      <c r="K117" s="17">
        <v>1</v>
      </c>
      <c r="L117" s="17">
        <v>1</v>
      </c>
      <c r="M117" s="17">
        <v>1</v>
      </c>
      <c r="N117" s="17">
        <v>1</v>
      </c>
      <c r="O117" s="17">
        <v>1</v>
      </c>
      <c r="P117" s="17">
        <v>1</v>
      </c>
      <c r="Q117" s="17">
        <v>1</v>
      </c>
      <c r="R117" s="11">
        <v>1</v>
      </c>
      <c r="S117" s="12">
        <v>1</v>
      </c>
      <c r="T117" s="11">
        <v>1</v>
      </c>
      <c r="U117" s="11">
        <v>1</v>
      </c>
      <c r="V117" s="11">
        <v>1</v>
      </c>
      <c r="W117" s="11">
        <v>1</v>
      </c>
      <c r="X117" s="11">
        <v>1</v>
      </c>
      <c r="Y117" s="11">
        <v>1</v>
      </c>
      <c r="Z117" s="11">
        <v>1</v>
      </c>
      <c r="AA117" s="11">
        <v>1</v>
      </c>
      <c r="AB117" s="11">
        <v>1</v>
      </c>
      <c r="AC117" s="11">
        <v>1</v>
      </c>
      <c r="AD117" s="11">
        <v>1</v>
      </c>
      <c r="AF117" s="11">
        <v>1</v>
      </c>
      <c r="AG117" s="11">
        <v>1</v>
      </c>
      <c r="AH117" s="11">
        <v>1</v>
      </c>
      <c r="AI117" s="11">
        <v>1</v>
      </c>
      <c r="AJ117" s="11">
        <v>1</v>
      </c>
      <c r="AK117" s="11">
        <v>1</v>
      </c>
      <c r="AL117" s="11" t="s">
        <v>137</v>
      </c>
      <c r="AM117" s="11" t="s">
        <v>137</v>
      </c>
    </row>
    <row r="118" spans="1:39" ht="16" x14ac:dyDescent="0.2">
      <c r="A118" s="11" t="s">
        <v>137</v>
      </c>
      <c r="B118" s="11" t="s">
        <v>137</v>
      </c>
      <c r="C118" s="11" t="s">
        <v>137</v>
      </c>
      <c r="E118" s="11" t="s">
        <v>137</v>
      </c>
      <c r="F118" s="11" t="s">
        <v>137</v>
      </c>
      <c r="G118" s="11" t="s">
        <v>137</v>
      </c>
      <c r="H118" s="11" t="s">
        <v>137</v>
      </c>
      <c r="I118" s="11" t="s">
        <v>137</v>
      </c>
      <c r="J118" s="11" t="s">
        <v>137</v>
      </c>
      <c r="K118" s="17" t="s">
        <v>137</v>
      </c>
      <c r="L118" s="17" t="s">
        <v>137</v>
      </c>
      <c r="M118" s="17" t="s">
        <v>137</v>
      </c>
      <c r="N118" s="17" t="s">
        <v>137</v>
      </c>
      <c r="O118" s="17" t="s">
        <v>137</v>
      </c>
      <c r="P118" s="17" t="s">
        <v>137</v>
      </c>
      <c r="Q118" s="17" t="s">
        <v>137</v>
      </c>
      <c r="R118" s="11" t="s">
        <v>137</v>
      </c>
      <c r="S118" s="12" t="s">
        <v>137</v>
      </c>
      <c r="T118" s="11" t="s">
        <v>137</v>
      </c>
      <c r="U118" s="11" t="s">
        <v>137</v>
      </c>
      <c r="V118" s="11" t="s">
        <v>137</v>
      </c>
      <c r="W118" s="11" t="s">
        <v>137</v>
      </c>
      <c r="X118" s="11" t="s">
        <v>137</v>
      </c>
      <c r="Y118" s="11" t="s">
        <v>137</v>
      </c>
      <c r="Z118" s="11" t="s">
        <v>137</v>
      </c>
      <c r="AA118" s="11" t="s">
        <v>137</v>
      </c>
      <c r="AB118" s="11">
        <v>1</v>
      </c>
      <c r="AC118" s="11">
        <v>1</v>
      </c>
      <c r="AD118" s="11">
        <v>1</v>
      </c>
      <c r="AF118" s="11">
        <v>1</v>
      </c>
      <c r="AG118" s="11">
        <v>1</v>
      </c>
      <c r="AH118" s="11">
        <v>1</v>
      </c>
      <c r="AI118" s="11">
        <v>1</v>
      </c>
      <c r="AJ118" s="11">
        <v>1</v>
      </c>
      <c r="AK118" s="11">
        <v>1</v>
      </c>
      <c r="AL118" s="11" t="s">
        <v>137</v>
      </c>
      <c r="AM118" s="11" t="s">
        <v>137</v>
      </c>
    </row>
    <row r="119" spans="1:39" ht="16" x14ac:dyDescent="0.2">
      <c r="A119" s="11" t="s">
        <v>137</v>
      </c>
      <c r="B119" s="11" t="s">
        <v>137</v>
      </c>
      <c r="C119" s="11" t="s">
        <v>137</v>
      </c>
      <c r="E119" s="11" t="s">
        <v>137</v>
      </c>
      <c r="F119" s="11" t="s">
        <v>137</v>
      </c>
      <c r="G119" s="11" t="s">
        <v>137</v>
      </c>
      <c r="H119" s="11" t="s">
        <v>137</v>
      </c>
      <c r="I119" s="11" t="s">
        <v>137</v>
      </c>
      <c r="J119" s="11" t="s">
        <v>137</v>
      </c>
      <c r="K119" s="17" t="s">
        <v>137</v>
      </c>
      <c r="L119" s="17" t="s">
        <v>137</v>
      </c>
      <c r="M119" s="17" t="s">
        <v>137</v>
      </c>
      <c r="N119" s="17" t="s">
        <v>137</v>
      </c>
      <c r="O119" s="17" t="s">
        <v>137</v>
      </c>
      <c r="P119" s="17" t="s">
        <v>137</v>
      </c>
      <c r="Q119" s="17" t="s">
        <v>137</v>
      </c>
      <c r="R119" s="11" t="s">
        <v>137</v>
      </c>
      <c r="S119" s="12" t="s">
        <v>137</v>
      </c>
      <c r="T119" s="11" t="s">
        <v>137</v>
      </c>
      <c r="U119" s="11" t="s">
        <v>137</v>
      </c>
      <c r="V119" s="11" t="s">
        <v>137</v>
      </c>
      <c r="W119" s="11" t="s">
        <v>137</v>
      </c>
      <c r="X119" s="11" t="s">
        <v>137</v>
      </c>
      <c r="Y119" s="11" t="s">
        <v>137</v>
      </c>
      <c r="Z119" s="11" t="s">
        <v>137</v>
      </c>
      <c r="AA119" s="11" t="s">
        <v>137</v>
      </c>
      <c r="AB119" s="11">
        <v>1</v>
      </c>
      <c r="AC119" s="11">
        <v>1</v>
      </c>
      <c r="AD119" s="11">
        <v>1</v>
      </c>
      <c r="AF119" s="11">
        <v>1</v>
      </c>
      <c r="AG119" s="11">
        <v>1</v>
      </c>
      <c r="AH119" s="11">
        <v>1</v>
      </c>
      <c r="AI119" s="11">
        <v>1</v>
      </c>
      <c r="AJ119" s="11">
        <v>1</v>
      </c>
      <c r="AK119" s="11">
        <v>1</v>
      </c>
      <c r="AL119" s="11" t="s">
        <v>137</v>
      </c>
      <c r="AM119" s="11" t="s">
        <v>137</v>
      </c>
    </row>
    <row r="120" spans="1:39" ht="16" x14ac:dyDescent="0.2">
      <c r="A120" s="11" t="s">
        <v>137</v>
      </c>
      <c r="B120" s="11" t="s">
        <v>137</v>
      </c>
      <c r="C120" s="11" t="s">
        <v>137</v>
      </c>
      <c r="E120" s="11" t="s">
        <v>137</v>
      </c>
      <c r="F120" s="11" t="s">
        <v>137</v>
      </c>
      <c r="G120" s="11" t="s">
        <v>137</v>
      </c>
      <c r="H120" s="11">
        <v>1</v>
      </c>
      <c r="I120" s="11">
        <v>1</v>
      </c>
      <c r="J120" s="11">
        <v>1</v>
      </c>
      <c r="K120" s="17">
        <v>1</v>
      </c>
      <c r="L120" s="17">
        <v>1</v>
      </c>
      <c r="M120" s="17">
        <v>1</v>
      </c>
      <c r="N120" s="17">
        <v>1</v>
      </c>
      <c r="O120" s="17">
        <v>1</v>
      </c>
      <c r="P120" s="17">
        <v>1</v>
      </c>
      <c r="Q120" s="17">
        <v>1</v>
      </c>
      <c r="R120" s="11">
        <v>1</v>
      </c>
      <c r="S120" s="12">
        <v>1</v>
      </c>
      <c r="T120" s="11">
        <v>1</v>
      </c>
      <c r="U120" s="11">
        <v>1</v>
      </c>
      <c r="V120" s="11">
        <v>1</v>
      </c>
      <c r="W120" s="11">
        <v>1</v>
      </c>
      <c r="X120" s="11">
        <v>1</v>
      </c>
      <c r="Y120" s="11">
        <v>1</v>
      </c>
      <c r="Z120" s="11">
        <v>1</v>
      </c>
      <c r="AA120" s="11">
        <v>1</v>
      </c>
      <c r="AB120" s="11">
        <v>1</v>
      </c>
      <c r="AC120" s="11">
        <v>1</v>
      </c>
      <c r="AD120" s="11">
        <v>1</v>
      </c>
      <c r="AF120" s="11">
        <v>1</v>
      </c>
      <c r="AG120" s="11">
        <v>1</v>
      </c>
      <c r="AH120" s="11">
        <v>1</v>
      </c>
      <c r="AI120" s="11">
        <v>1</v>
      </c>
      <c r="AJ120" s="11">
        <v>1</v>
      </c>
      <c r="AK120" s="11">
        <v>1</v>
      </c>
      <c r="AL120" s="11" t="s">
        <v>137</v>
      </c>
      <c r="AM120" s="11" t="s">
        <v>137</v>
      </c>
    </row>
    <row r="121" spans="1:39" ht="16" x14ac:dyDescent="0.2">
      <c r="A121" s="11" t="s">
        <v>137</v>
      </c>
      <c r="B121" s="11" t="s">
        <v>137</v>
      </c>
      <c r="C121" s="11" t="s">
        <v>137</v>
      </c>
      <c r="E121" s="11" t="s">
        <v>137</v>
      </c>
      <c r="F121" s="11" t="s">
        <v>137</v>
      </c>
      <c r="G121" s="11" t="s">
        <v>137</v>
      </c>
      <c r="H121" s="11" t="s">
        <v>137</v>
      </c>
      <c r="I121" s="11" t="s">
        <v>137</v>
      </c>
      <c r="J121" s="11" t="s">
        <v>137</v>
      </c>
      <c r="K121" s="17" t="s">
        <v>137</v>
      </c>
      <c r="L121" s="17" t="s">
        <v>137</v>
      </c>
      <c r="M121" s="17" t="s">
        <v>137</v>
      </c>
      <c r="N121" s="17" t="s">
        <v>137</v>
      </c>
      <c r="O121" s="17" t="s">
        <v>137</v>
      </c>
      <c r="P121" s="17" t="s">
        <v>137</v>
      </c>
      <c r="Q121" s="17" t="s">
        <v>137</v>
      </c>
      <c r="R121" s="11" t="s">
        <v>137</v>
      </c>
      <c r="S121" s="12" t="s">
        <v>137</v>
      </c>
      <c r="T121" s="11" t="s">
        <v>137</v>
      </c>
      <c r="U121" s="11" t="s">
        <v>137</v>
      </c>
      <c r="V121" s="11" t="s">
        <v>137</v>
      </c>
      <c r="W121" s="11" t="s">
        <v>137</v>
      </c>
      <c r="X121" s="11" t="s">
        <v>137</v>
      </c>
      <c r="Y121" s="11" t="s">
        <v>137</v>
      </c>
      <c r="Z121" s="11" t="s">
        <v>137</v>
      </c>
      <c r="AA121" s="11" t="s">
        <v>137</v>
      </c>
      <c r="AB121" s="11">
        <v>1</v>
      </c>
      <c r="AC121" s="11">
        <v>1</v>
      </c>
      <c r="AD121" s="11">
        <v>1</v>
      </c>
      <c r="AF121" s="11">
        <v>1</v>
      </c>
      <c r="AG121" s="11">
        <v>1</v>
      </c>
      <c r="AH121" s="11">
        <v>1</v>
      </c>
      <c r="AI121" s="11">
        <v>1</v>
      </c>
      <c r="AJ121" s="11">
        <v>1</v>
      </c>
      <c r="AK121" s="11">
        <v>1</v>
      </c>
      <c r="AL121" s="11" t="s">
        <v>137</v>
      </c>
      <c r="AM121" s="11" t="s">
        <v>137</v>
      </c>
    </row>
    <row r="122" spans="1:39" ht="16" x14ac:dyDescent="0.2">
      <c r="A122" s="11" t="s">
        <v>137</v>
      </c>
      <c r="B122" s="11" t="s">
        <v>137</v>
      </c>
      <c r="C122" s="11" t="s">
        <v>137</v>
      </c>
      <c r="E122" s="11" t="s">
        <v>137</v>
      </c>
      <c r="F122" s="11" t="s">
        <v>137</v>
      </c>
      <c r="G122" s="11" t="s">
        <v>137</v>
      </c>
      <c r="H122" s="11" t="s">
        <v>137</v>
      </c>
      <c r="I122" s="11" t="s">
        <v>137</v>
      </c>
      <c r="J122" s="11" t="s">
        <v>137</v>
      </c>
      <c r="K122" s="17" t="s">
        <v>137</v>
      </c>
      <c r="L122" s="17" t="s">
        <v>137</v>
      </c>
      <c r="M122" s="17" t="s">
        <v>137</v>
      </c>
      <c r="N122" s="17" t="s">
        <v>137</v>
      </c>
      <c r="O122" s="17" t="s">
        <v>137</v>
      </c>
      <c r="P122" s="17" t="s">
        <v>137</v>
      </c>
      <c r="Q122" s="17" t="s">
        <v>137</v>
      </c>
      <c r="R122" s="11" t="s">
        <v>137</v>
      </c>
      <c r="S122" s="12" t="s">
        <v>137</v>
      </c>
      <c r="T122" s="11" t="s">
        <v>137</v>
      </c>
      <c r="U122" s="11" t="s">
        <v>137</v>
      </c>
      <c r="V122" s="11" t="s">
        <v>137</v>
      </c>
      <c r="W122" s="11" t="s">
        <v>137</v>
      </c>
      <c r="X122" s="11" t="s">
        <v>137</v>
      </c>
      <c r="Y122" s="11" t="s">
        <v>137</v>
      </c>
      <c r="Z122" s="11" t="s">
        <v>137</v>
      </c>
      <c r="AA122" s="11" t="s">
        <v>137</v>
      </c>
      <c r="AB122" s="11">
        <v>1</v>
      </c>
      <c r="AC122" s="11">
        <v>1</v>
      </c>
      <c r="AD122" s="11">
        <v>1</v>
      </c>
      <c r="AF122" s="11">
        <v>1</v>
      </c>
      <c r="AG122" s="11">
        <v>1</v>
      </c>
      <c r="AH122" s="11">
        <v>1</v>
      </c>
      <c r="AI122" s="11">
        <v>1</v>
      </c>
      <c r="AJ122" s="11">
        <v>1</v>
      </c>
      <c r="AK122" s="11">
        <v>1</v>
      </c>
      <c r="AL122" s="11" t="s">
        <v>137</v>
      </c>
      <c r="AM122" s="11" t="s">
        <v>137</v>
      </c>
    </row>
    <row r="123" spans="1:39" ht="16" x14ac:dyDescent="0.2">
      <c r="A123" s="11" t="s">
        <v>137</v>
      </c>
      <c r="B123" s="11" t="s">
        <v>137</v>
      </c>
      <c r="C123" s="11" t="s">
        <v>137</v>
      </c>
      <c r="E123" s="11" t="s">
        <v>137</v>
      </c>
      <c r="F123" s="11" t="s">
        <v>137</v>
      </c>
      <c r="G123" s="11" t="s">
        <v>137</v>
      </c>
      <c r="H123" s="11">
        <v>1</v>
      </c>
      <c r="I123" s="11">
        <v>1</v>
      </c>
      <c r="J123" s="11">
        <v>1</v>
      </c>
      <c r="K123" s="17">
        <v>1</v>
      </c>
      <c r="L123" s="17">
        <v>1</v>
      </c>
      <c r="M123" s="17">
        <v>1</v>
      </c>
      <c r="N123" s="17">
        <v>1</v>
      </c>
      <c r="O123" s="17">
        <v>1</v>
      </c>
      <c r="P123" s="17">
        <v>1</v>
      </c>
      <c r="Q123" s="17">
        <v>1</v>
      </c>
      <c r="R123" s="11">
        <v>1</v>
      </c>
      <c r="S123" s="12">
        <v>1</v>
      </c>
      <c r="T123" s="11">
        <v>1</v>
      </c>
      <c r="U123" s="11">
        <v>1</v>
      </c>
      <c r="V123" s="11">
        <v>1</v>
      </c>
      <c r="W123" s="11">
        <v>1</v>
      </c>
      <c r="X123" s="11">
        <v>1</v>
      </c>
      <c r="Y123" s="11">
        <v>1</v>
      </c>
      <c r="Z123" s="11">
        <v>1</v>
      </c>
      <c r="AA123" s="11">
        <v>1</v>
      </c>
      <c r="AB123" s="11">
        <v>1</v>
      </c>
      <c r="AC123" s="11">
        <v>1</v>
      </c>
      <c r="AD123" s="11">
        <v>1</v>
      </c>
      <c r="AF123" s="11">
        <v>1</v>
      </c>
      <c r="AG123" s="11">
        <v>1</v>
      </c>
      <c r="AH123" s="11">
        <v>1</v>
      </c>
      <c r="AI123" s="11">
        <v>1</v>
      </c>
      <c r="AJ123" s="11">
        <v>1</v>
      </c>
      <c r="AK123" s="11">
        <v>1</v>
      </c>
      <c r="AL123" s="11" t="s">
        <v>137</v>
      </c>
      <c r="AM123" s="11" t="s">
        <v>137</v>
      </c>
    </row>
    <row r="124" spans="1:39" ht="16" x14ac:dyDescent="0.2">
      <c r="A124" s="11" t="s">
        <v>137</v>
      </c>
      <c r="B124" s="11" t="s">
        <v>137</v>
      </c>
      <c r="C124" s="11" t="s">
        <v>137</v>
      </c>
      <c r="E124" s="11" t="s">
        <v>137</v>
      </c>
      <c r="F124" s="11" t="s">
        <v>137</v>
      </c>
      <c r="G124" s="11" t="s">
        <v>137</v>
      </c>
      <c r="H124" s="11" t="s">
        <v>137</v>
      </c>
      <c r="I124" s="11" t="s">
        <v>137</v>
      </c>
      <c r="J124" s="11" t="s">
        <v>137</v>
      </c>
      <c r="K124" s="17" t="s">
        <v>137</v>
      </c>
      <c r="L124" s="17" t="s">
        <v>137</v>
      </c>
      <c r="M124" s="17" t="s">
        <v>137</v>
      </c>
      <c r="N124" s="17" t="s">
        <v>137</v>
      </c>
      <c r="O124" s="17" t="s">
        <v>137</v>
      </c>
      <c r="P124" s="17" t="s">
        <v>137</v>
      </c>
      <c r="Q124" s="17" t="s">
        <v>137</v>
      </c>
      <c r="R124" s="11" t="s">
        <v>137</v>
      </c>
      <c r="S124" s="12" t="s">
        <v>137</v>
      </c>
      <c r="T124" s="11" t="s">
        <v>137</v>
      </c>
      <c r="U124" s="11" t="s">
        <v>137</v>
      </c>
      <c r="V124" s="11" t="s">
        <v>137</v>
      </c>
      <c r="W124" s="11" t="s">
        <v>137</v>
      </c>
      <c r="X124" s="11" t="s">
        <v>137</v>
      </c>
      <c r="Y124" s="11" t="s">
        <v>137</v>
      </c>
      <c r="Z124" s="11" t="s">
        <v>137</v>
      </c>
      <c r="AA124" s="11" t="s">
        <v>137</v>
      </c>
      <c r="AB124" s="11">
        <v>1</v>
      </c>
      <c r="AC124" s="11">
        <v>1</v>
      </c>
      <c r="AD124" s="11">
        <v>1</v>
      </c>
      <c r="AF124" s="11">
        <v>1</v>
      </c>
      <c r="AG124" s="11">
        <v>1</v>
      </c>
      <c r="AH124" s="11">
        <v>1</v>
      </c>
      <c r="AI124" s="11">
        <v>1</v>
      </c>
      <c r="AJ124" s="11">
        <v>1</v>
      </c>
      <c r="AK124" s="11">
        <v>1</v>
      </c>
      <c r="AL124" s="11" t="s">
        <v>137</v>
      </c>
      <c r="AM124" s="11" t="s">
        <v>137</v>
      </c>
    </row>
    <row r="125" spans="1:39" ht="16" x14ac:dyDescent="0.2">
      <c r="A125" s="11" t="s">
        <v>137</v>
      </c>
      <c r="B125" s="11" t="s">
        <v>137</v>
      </c>
      <c r="C125" s="11" t="s">
        <v>137</v>
      </c>
      <c r="E125" s="11" t="s">
        <v>137</v>
      </c>
      <c r="F125" s="11" t="s">
        <v>137</v>
      </c>
      <c r="G125" s="11" t="s">
        <v>137</v>
      </c>
      <c r="H125" s="11" t="s">
        <v>137</v>
      </c>
      <c r="I125" s="11" t="s">
        <v>137</v>
      </c>
      <c r="J125" s="11" t="s">
        <v>137</v>
      </c>
      <c r="K125" s="17" t="s">
        <v>137</v>
      </c>
      <c r="L125" s="17" t="s">
        <v>137</v>
      </c>
      <c r="M125" s="17" t="s">
        <v>137</v>
      </c>
      <c r="N125" s="17" t="s">
        <v>137</v>
      </c>
      <c r="O125" s="17" t="s">
        <v>137</v>
      </c>
      <c r="P125" s="17" t="s">
        <v>137</v>
      </c>
      <c r="Q125" s="17" t="s">
        <v>137</v>
      </c>
      <c r="R125" s="11" t="s">
        <v>137</v>
      </c>
      <c r="S125" s="12" t="s">
        <v>137</v>
      </c>
      <c r="T125" s="11" t="s">
        <v>137</v>
      </c>
      <c r="U125" s="11" t="s">
        <v>137</v>
      </c>
      <c r="V125" s="11" t="s">
        <v>137</v>
      </c>
      <c r="W125" s="11" t="s">
        <v>137</v>
      </c>
      <c r="X125" s="11" t="s">
        <v>137</v>
      </c>
      <c r="Y125" s="11" t="s">
        <v>137</v>
      </c>
      <c r="Z125" s="11" t="s">
        <v>137</v>
      </c>
      <c r="AA125" s="11" t="s">
        <v>137</v>
      </c>
      <c r="AB125" s="11">
        <v>1</v>
      </c>
      <c r="AC125" s="11">
        <v>1</v>
      </c>
      <c r="AD125" s="11">
        <v>1</v>
      </c>
      <c r="AF125" s="11">
        <v>0</v>
      </c>
      <c r="AG125" s="11">
        <v>1</v>
      </c>
      <c r="AH125" s="11">
        <v>1</v>
      </c>
      <c r="AI125" s="11">
        <v>1</v>
      </c>
      <c r="AJ125" s="11">
        <v>1</v>
      </c>
      <c r="AK125" s="11">
        <v>1</v>
      </c>
      <c r="AL125" s="11" t="s">
        <v>137</v>
      </c>
      <c r="AM125" s="11" t="s">
        <v>137</v>
      </c>
    </row>
    <row r="126" spans="1:39" ht="16" x14ac:dyDescent="0.2">
      <c r="A126" s="11" t="s">
        <v>137</v>
      </c>
      <c r="B126" s="11" t="s">
        <v>137</v>
      </c>
      <c r="C126" s="11" t="s">
        <v>137</v>
      </c>
      <c r="E126" s="11" t="s">
        <v>137</v>
      </c>
      <c r="F126" s="11" t="s">
        <v>137</v>
      </c>
      <c r="G126" s="11" t="s">
        <v>137</v>
      </c>
      <c r="H126" s="11">
        <v>1</v>
      </c>
      <c r="I126" s="11">
        <v>1</v>
      </c>
      <c r="J126" s="11">
        <v>1</v>
      </c>
      <c r="K126" s="17">
        <v>1</v>
      </c>
      <c r="L126" s="17">
        <v>1</v>
      </c>
      <c r="M126" s="17">
        <v>1</v>
      </c>
      <c r="N126" s="17">
        <v>1</v>
      </c>
      <c r="O126" s="17">
        <v>1</v>
      </c>
      <c r="P126" s="17">
        <v>1</v>
      </c>
      <c r="Q126" s="17">
        <v>1</v>
      </c>
      <c r="R126" s="11">
        <v>1</v>
      </c>
      <c r="S126" s="12">
        <v>1</v>
      </c>
      <c r="T126" s="11">
        <v>1</v>
      </c>
      <c r="U126" s="11">
        <v>1</v>
      </c>
      <c r="V126" s="11">
        <v>1</v>
      </c>
      <c r="W126" s="11">
        <v>1</v>
      </c>
      <c r="X126" s="11">
        <v>1</v>
      </c>
      <c r="Y126" s="11">
        <v>1</v>
      </c>
      <c r="Z126" s="11">
        <v>1</v>
      </c>
      <c r="AA126" s="11">
        <v>1</v>
      </c>
      <c r="AB126" s="11">
        <v>1</v>
      </c>
      <c r="AC126" s="11">
        <v>1</v>
      </c>
      <c r="AD126" s="11">
        <v>1</v>
      </c>
      <c r="AF126" s="11">
        <v>1</v>
      </c>
      <c r="AG126" s="11">
        <v>1</v>
      </c>
      <c r="AH126" s="11">
        <v>1</v>
      </c>
      <c r="AI126" s="11">
        <v>1</v>
      </c>
      <c r="AJ126" s="11">
        <v>1</v>
      </c>
      <c r="AK126" s="11">
        <v>1</v>
      </c>
      <c r="AL126" s="11" t="s">
        <v>137</v>
      </c>
      <c r="AM126" s="11" t="s">
        <v>137</v>
      </c>
    </row>
    <row r="127" spans="1:39" ht="16" x14ac:dyDescent="0.2">
      <c r="A127" s="11" t="s">
        <v>137</v>
      </c>
      <c r="B127" s="11" t="s">
        <v>137</v>
      </c>
      <c r="C127" s="11" t="s">
        <v>137</v>
      </c>
      <c r="E127" s="11" t="s">
        <v>137</v>
      </c>
      <c r="F127" s="11" t="s">
        <v>137</v>
      </c>
      <c r="G127" s="11" t="s">
        <v>137</v>
      </c>
      <c r="H127" s="11" t="s">
        <v>137</v>
      </c>
      <c r="I127" s="11" t="s">
        <v>137</v>
      </c>
      <c r="J127" s="11" t="s">
        <v>137</v>
      </c>
      <c r="K127" s="17" t="s">
        <v>137</v>
      </c>
      <c r="L127" s="17" t="s">
        <v>137</v>
      </c>
      <c r="M127" s="17" t="s">
        <v>137</v>
      </c>
      <c r="N127" s="17" t="s">
        <v>137</v>
      </c>
      <c r="O127" s="17" t="s">
        <v>137</v>
      </c>
      <c r="P127" s="17" t="s">
        <v>137</v>
      </c>
      <c r="Q127" s="17" t="s">
        <v>137</v>
      </c>
      <c r="R127" s="11" t="s">
        <v>137</v>
      </c>
      <c r="S127" s="12" t="s">
        <v>137</v>
      </c>
      <c r="T127" s="11" t="s">
        <v>137</v>
      </c>
      <c r="U127" s="11" t="s">
        <v>137</v>
      </c>
      <c r="V127" s="11" t="s">
        <v>137</v>
      </c>
      <c r="W127" s="11" t="s">
        <v>137</v>
      </c>
      <c r="X127" s="11" t="s">
        <v>137</v>
      </c>
      <c r="Y127" s="11" t="s">
        <v>137</v>
      </c>
      <c r="Z127" s="11" t="s">
        <v>137</v>
      </c>
      <c r="AA127" s="11" t="s">
        <v>137</v>
      </c>
      <c r="AB127" s="11">
        <v>1</v>
      </c>
      <c r="AC127" s="11">
        <v>1</v>
      </c>
      <c r="AD127" s="11">
        <v>1</v>
      </c>
      <c r="AF127" s="11">
        <v>1</v>
      </c>
      <c r="AG127" s="11">
        <v>1</v>
      </c>
      <c r="AH127" s="11">
        <v>1</v>
      </c>
      <c r="AI127" s="11">
        <v>1</v>
      </c>
      <c r="AJ127" s="11">
        <v>1</v>
      </c>
      <c r="AK127" s="11">
        <v>1</v>
      </c>
      <c r="AL127" s="11" t="s">
        <v>137</v>
      </c>
      <c r="AM127" s="11" t="s">
        <v>137</v>
      </c>
    </row>
    <row r="128" spans="1:39" ht="16" x14ac:dyDescent="0.2">
      <c r="A128" s="11" t="s">
        <v>137</v>
      </c>
      <c r="B128" s="11" t="s">
        <v>137</v>
      </c>
      <c r="C128" s="11" t="s">
        <v>137</v>
      </c>
      <c r="E128" s="11" t="s">
        <v>137</v>
      </c>
      <c r="F128" s="11" t="s">
        <v>137</v>
      </c>
      <c r="G128" s="11" t="s">
        <v>137</v>
      </c>
      <c r="H128" s="11" t="s">
        <v>137</v>
      </c>
      <c r="I128" s="11" t="s">
        <v>137</v>
      </c>
      <c r="J128" s="11" t="s">
        <v>137</v>
      </c>
      <c r="K128" s="17" t="s">
        <v>137</v>
      </c>
      <c r="L128" s="17" t="s">
        <v>137</v>
      </c>
      <c r="M128" s="17" t="s">
        <v>137</v>
      </c>
      <c r="N128" s="17" t="s">
        <v>137</v>
      </c>
      <c r="O128" s="17" t="s">
        <v>137</v>
      </c>
      <c r="P128" s="17" t="s">
        <v>137</v>
      </c>
      <c r="Q128" s="17" t="s">
        <v>137</v>
      </c>
      <c r="R128" s="11" t="s">
        <v>137</v>
      </c>
      <c r="S128" s="12" t="s">
        <v>137</v>
      </c>
      <c r="T128" s="11" t="s">
        <v>137</v>
      </c>
      <c r="U128" s="11" t="s">
        <v>137</v>
      </c>
      <c r="V128" s="11" t="s">
        <v>137</v>
      </c>
      <c r="W128" s="11" t="s">
        <v>137</v>
      </c>
      <c r="X128" s="11" t="s">
        <v>137</v>
      </c>
      <c r="Y128" s="11" t="s">
        <v>137</v>
      </c>
      <c r="Z128" s="11" t="s">
        <v>137</v>
      </c>
      <c r="AA128" s="11" t="s">
        <v>137</v>
      </c>
      <c r="AB128" s="11">
        <v>1</v>
      </c>
      <c r="AC128" s="11">
        <v>1</v>
      </c>
      <c r="AD128" s="11">
        <v>1</v>
      </c>
      <c r="AF128" s="11">
        <v>0</v>
      </c>
      <c r="AG128" s="11">
        <v>1</v>
      </c>
      <c r="AH128" s="11">
        <v>1</v>
      </c>
      <c r="AI128" s="11">
        <v>1</v>
      </c>
      <c r="AJ128" s="11">
        <v>1</v>
      </c>
      <c r="AK128" s="11">
        <v>1</v>
      </c>
      <c r="AL128" s="11" t="s">
        <v>137</v>
      </c>
      <c r="AM128" s="11" t="s">
        <v>137</v>
      </c>
    </row>
    <row r="129" spans="1:39" ht="16" x14ac:dyDescent="0.2">
      <c r="A129" s="11" t="s">
        <v>137</v>
      </c>
      <c r="B129" s="11" t="s">
        <v>137</v>
      </c>
      <c r="C129" s="11" t="s">
        <v>137</v>
      </c>
      <c r="E129" s="11" t="s">
        <v>137</v>
      </c>
      <c r="F129" s="11" t="s">
        <v>137</v>
      </c>
      <c r="G129" s="11" t="s">
        <v>137</v>
      </c>
      <c r="H129" s="11">
        <v>1</v>
      </c>
      <c r="I129" s="11">
        <v>1</v>
      </c>
      <c r="J129" s="11">
        <v>1</v>
      </c>
      <c r="K129" s="17">
        <v>1</v>
      </c>
      <c r="L129" s="17">
        <v>1</v>
      </c>
      <c r="M129" s="17">
        <v>1</v>
      </c>
      <c r="N129" s="17">
        <v>1</v>
      </c>
      <c r="O129" s="17">
        <v>1</v>
      </c>
      <c r="P129" s="17">
        <v>1</v>
      </c>
      <c r="Q129" s="17">
        <v>1</v>
      </c>
      <c r="R129" s="11">
        <v>1</v>
      </c>
      <c r="S129" s="12">
        <v>1</v>
      </c>
      <c r="T129" s="11">
        <v>1</v>
      </c>
      <c r="U129" s="11">
        <v>1</v>
      </c>
      <c r="V129" s="11">
        <v>1</v>
      </c>
      <c r="W129" s="11">
        <v>1</v>
      </c>
      <c r="X129" s="11">
        <v>1</v>
      </c>
      <c r="Y129" s="11">
        <v>1</v>
      </c>
      <c r="Z129" s="11">
        <v>1</v>
      </c>
      <c r="AA129" s="11">
        <v>1</v>
      </c>
      <c r="AB129" s="11">
        <v>1</v>
      </c>
      <c r="AC129" s="11">
        <v>1</v>
      </c>
      <c r="AD129" s="11">
        <v>1</v>
      </c>
      <c r="AF129" s="11">
        <v>1</v>
      </c>
      <c r="AG129" s="11">
        <v>1</v>
      </c>
      <c r="AH129" s="11">
        <v>1</v>
      </c>
      <c r="AI129" s="11">
        <v>1</v>
      </c>
      <c r="AJ129" s="11">
        <v>1</v>
      </c>
      <c r="AK129" s="11">
        <v>1</v>
      </c>
      <c r="AL129" s="11" t="s">
        <v>137</v>
      </c>
      <c r="AM129" s="11" t="s">
        <v>137</v>
      </c>
    </row>
    <row r="130" spans="1:39" ht="16" x14ac:dyDescent="0.2">
      <c r="A130" s="11" t="s">
        <v>137</v>
      </c>
      <c r="B130" s="11" t="s">
        <v>137</v>
      </c>
      <c r="C130" s="11" t="s">
        <v>137</v>
      </c>
      <c r="E130" s="11" t="s">
        <v>137</v>
      </c>
      <c r="F130" s="11" t="s">
        <v>137</v>
      </c>
      <c r="G130" s="11" t="s">
        <v>137</v>
      </c>
      <c r="H130" s="11" t="s">
        <v>137</v>
      </c>
      <c r="I130" s="11" t="s">
        <v>137</v>
      </c>
      <c r="J130" s="11" t="s">
        <v>137</v>
      </c>
      <c r="K130" s="17" t="s">
        <v>137</v>
      </c>
      <c r="L130" s="17" t="s">
        <v>137</v>
      </c>
      <c r="M130" s="17" t="s">
        <v>137</v>
      </c>
      <c r="N130" s="17" t="s">
        <v>137</v>
      </c>
      <c r="O130" s="17" t="s">
        <v>137</v>
      </c>
      <c r="P130" s="17" t="s">
        <v>137</v>
      </c>
      <c r="Q130" s="17" t="s">
        <v>137</v>
      </c>
      <c r="R130" s="11" t="s">
        <v>137</v>
      </c>
      <c r="S130" s="12" t="s">
        <v>137</v>
      </c>
      <c r="T130" s="11" t="s">
        <v>137</v>
      </c>
      <c r="U130" s="11" t="s">
        <v>137</v>
      </c>
      <c r="V130" s="11" t="s">
        <v>137</v>
      </c>
      <c r="W130" s="11" t="s">
        <v>137</v>
      </c>
      <c r="X130" s="11" t="s">
        <v>137</v>
      </c>
      <c r="Y130" s="11" t="s">
        <v>137</v>
      </c>
      <c r="Z130" s="11" t="s">
        <v>137</v>
      </c>
      <c r="AA130" s="11" t="s">
        <v>137</v>
      </c>
      <c r="AB130" s="11">
        <v>1</v>
      </c>
      <c r="AC130" s="11">
        <v>1</v>
      </c>
      <c r="AD130" s="11">
        <v>1</v>
      </c>
      <c r="AF130" s="11">
        <v>1</v>
      </c>
      <c r="AG130" s="11">
        <v>1</v>
      </c>
      <c r="AH130" s="11">
        <v>1</v>
      </c>
      <c r="AI130" s="11">
        <v>1</v>
      </c>
      <c r="AJ130" s="11">
        <v>1</v>
      </c>
      <c r="AK130" s="11">
        <v>1</v>
      </c>
      <c r="AL130" s="11" t="s">
        <v>137</v>
      </c>
      <c r="AM130" s="11" t="s">
        <v>137</v>
      </c>
    </row>
    <row r="131" spans="1:39" ht="16" x14ac:dyDescent="0.2">
      <c r="A131" s="11" t="s">
        <v>137</v>
      </c>
      <c r="B131" s="11" t="s">
        <v>137</v>
      </c>
      <c r="C131" s="11" t="s">
        <v>137</v>
      </c>
      <c r="E131" s="11" t="s">
        <v>137</v>
      </c>
      <c r="F131" s="11" t="s">
        <v>137</v>
      </c>
      <c r="G131" s="11" t="s">
        <v>137</v>
      </c>
      <c r="H131" s="11" t="s">
        <v>137</v>
      </c>
      <c r="I131" s="11" t="s">
        <v>137</v>
      </c>
      <c r="J131" s="11" t="s">
        <v>137</v>
      </c>
      <c r="K131" s="17" t="s">
        <v>137</v>
      </c>
      <c r="L131" s="17" t="s">
        <v>137</v>
      </c>
      <c r="M131" s="17" t="s">
        <v>137</v>
      </c>
      <c r="N131" s="17" t="s">
        <v>137</v>
      </c>
      <c r="O131" s="17" t="s">
        <v>137</v>
      </c>
      <c r="P131" s="17" t="s">
        <v>137</v>
      </c>
      <c r="Q131" s="17" t="s">
        <v>137</v>
      </c>
      <c r="R131" s="11" t="s">
        <v>137</v>
      </c>
      <c r="S131" s="12" t="s">
        <v>137</v>
      </c>
      <c r="T131" s="11" t="s">
        <v>137</v>
      </c>
      <c r="U131" s="11" t="s">
        <v>137</v>
      </c>
      <c r="V131" s="11" t="s">
        <v>137</v>
      </c>
      <c r="W131" s="11" t="s">
        <v>137</v>
      </c>
      <c r="X131" s="11" t="s">
        <v>137</v>
      </c>
      <c r="Y131" s="11" t="s">
        <v>137</v>
      </c>
      <c r="Z131" s="11" t="s">
        <v>137</v>
      </c>
      <c r="AA131" s="11" t="s">
        <v>137</v>
      </c>
      <c r="AB131" s="11">
        <v>1</v>
      </c>
      <c r="AC131" s="11">
        <v>1</v>
      </c>
      <c r="AD131" s="11">
        <v>1</v>
      </c>
      <c r="AF131" s="11">
        <v>1</v>
      </c>
      <c r="AG131" s="11">
        <v>1</v>
      </c>
      <c r="AH131" s="11">
        <v>1</v>
      </c>
      <c r="AI131" s="11">
        <v>1</v>
      </c>
      <c r="AJ131" s="11">
        <v>1</v>
      </c>
      <c r="AK131" s="11">
        <v>1</v>
      </c>
      <c r="AL131" s="11" t="s">
        <v>137</v>
      </c>
      <c r="AM131" s="11" t="s">
        <v>137</v>
      </c>
    </row>
    <row r="132" spans="1:39" ht="16" x14ac:dyDescent="0.2">
      <c r="A132" s="11" t="s">
        <v>137</v>
      </c>
      <c r="B132" s="11" t="s">
        <v>137</v>
      </c>
      <c r="C132" s="11" t="s">
        <v>137</v>
      </c>
      <c r="E132" s="11" t="s">
        <v>137</v>
      </c>
      <c r="F132" s="11" t="s">
        <v>137</v>
      </c>
      <c r="G132" s="11" t="s">
        <v>137</v>
      </c>
      <c r="H132" s="11">
        <v>1</v>
      </c>
      <c r="I132" s="11">
        <v>1</v>
      </c>
      <c r="J132" s="11">
        <v>1</v>
      </c>
      <c r="K132" s="17">
        <v>1</v>
      </c>
      <c r="L132" s="17">
        <v>1</v>
      </c>
      <c r="M132" s="17">
        <v>1</v>
      </c>
      <c r="N132" s="17">
        <v>1</v>
      </c>
      <c r="O132" s="17">
        <v>1</v>
      </c>
      <c r="P132" s="17">
        <v>1</v>
      </c>
      <c r="Q132" s="17">
        <v>1</v>
      </c>
      <c r="R132" s="11">
        <v>1</v>
      </c>
      <c r="S132" s="12">
        <v>1</v>
      </c>
      <c r="T132" s="11">
        <v>1</v>
      </c>
      <c r="U132" s="11">
        <v>1</v>
      </c>
      <c r="V132" s="11">
        <v>1</v>
      </c>
      <c r="W132" s="11">
        <v>1</v>
      </c>
      <c r="X132" s="11">
        <v>1</v>
      </c>
      <c r="Y132" s="11">
        <v>1</v>
      </c>
      <c r="Z132" s="11">
        <v>1</v>
      </c>
      <c r="AA132" s="11">
        <v>1</v>
      </c>
      <c r="AB132" s="11">
        <v>1</v>
      </c>
      <c r="AC132" s="11">
        <v>1</v>
      </c>
      <c r="AD132" s="11">
        <v>1</v>
      </c>
      <c r="AF132" s="11">
        <v>1</v>
      </c>
      <c r="AG132" s="11">
        <v>1</v>
      </c>
      <c r="AH132" s="11">
        <v>1</v>
      </c>
      <c r="AI132" s="11">
        <v>1</v>
      </c>
      <c r="AJ132" s="11">
        <v>1</v>
      </c>
      <c r="AK132" s="11">
        <v>1</v>
      </c>
      <c r="AL132" s="11" t="s">
        <v>137</v>
      </c>
      <c r="AM132" s="11" t="s">
        <v>137</v>
      </c>
    </row>
    <row r="133" spans="1:39" ht="16" x14ac:dyDescent="0.2">
      <c r="A133" s="11" t="s">
        <v>137</v>
      </c>
      <c r="B133" s="11" t="s">
        <v>137</v>
      </c>
      <c r="C133" s="11" t="s">
        <v>137</v>
      </c>
      <c r="E133" s="11" t="s">
        <v>137</v>
      </c>
      <c r="F133" s="11" t="s">
        <v>137</v>
      </c>
      <c r="G133" s="11" t="s">
        <v>137</v>
      </c>
      <c r="H133" s="11" t="s">
        <v>137</v>
      </c>
      <c r="I133" s="11" t="s">
        <v>137</v>
      </c>
      <c r="J133" s="11" t="s">
        <v>137</v>
      </c>
      <c r="K133" s="17" t="s">
        <v>137</v>
      </c>
      <c r="L133" s="17" t="s">
        <v>137</v>
      </c>
      <c r="M133" s="17" t="s">
        <v>137</v>
      </c>
      <c r="N133" s="17" t="s">
        <v>137</v>
      </c>
      <c r="O133" s="17" t="s">
        <v>137</v>
      </c>
      <c r="P133" s="17" t="s">
        <v>137</v>
      </c>
      <c r="Q133" s="17" t="s">
        <v>137</v>
      </c>
      <c r="R133" s="11" t="s">
        <v>137</v>
      </c>
      <c r="S133" s="12" t="s">
        <v>137</v>
      </c>
      <c r="T133" s="11" t="s">
        <v>137</v>
      </c>
      <c r="U133" s="11" t="s">
        <v>137</v>
      </c>
      <c r="V133" s="11" t="s">
        <v>137</v>
      </c>
      <c r="W133" s="11" t="s">
        <v>137</v>
      </c>
      <c r="X133" s="11" t="s">
        <v>137</v>
      </c>
      <c r="Y133" s="11" t="s">
        <v>137</v>
      </c>
      <c r="Z133" s="11" t="s">
        <v>137</v>
      </c>
      <c r="AA133" s="11" t="s">
        <v>137</v>
      </c>
      <c r="AB133" s="11">
        <v>1</v>
      </c>
      <c r="AC133" s="11">
        <v>1</v>
      </c>
      <c r="AD133" s="11">
        <v>1</v>
      </c>
      <c r="AF133" s="11">
        <v>1</v>
      </c>
      <c r="AG133" s="11">
        <v>1</v>
      </c>
      <c r="AH133" s="11">
        <v>1</v>
      </c>
      <c r="AI133" s="11">
        <v>1</v>
      </c>
      <c r="AJ133" s="11">
        <v>1</v>
      </c>
      <c r="AK133" s="11">
        <v>1</v>
      </c>
      <c r="AL133" s="11" t="s">
        <v>137</v>
      </c>
      <c r="AM133" s="11" t="s">
        <v>137</v>
      </c>
    </row>
    <row r="134" spans="1:39" ht="16" x14ac:dyDescent="0.2">
      <c r="A134" s="11" t="s">
        <v>137</v>
      </c>
      <c r="B134" s="11" t="s">
        <v>137</v>
      </c>
      <c r="C134" s="11" t="s">
        <v>137</v>
      </c>
      <c r="E134" s="11" t="s">
        <v>137</v>
      </c>
      <c r="F134" s="11" t="s">
        <v>137</v>
      </c>
      <c r="G134" s="11" t="s">
        <v>137</v>
      </c>
      <c r="H134" s="11" t="s">
        <v>137</v>
      </c>
      <c r="I134" s="11" t="s">
        <v>137</v>
      </c>
      <c r="J134" s="11" t="s">
        <v>137</v>
      </c>
      <c r="K134" s="17" t="s">
        <v>137</v>
      </c>
      <c r="L134" s="17" t="s">
        <v>137</v>
      </c>
      <c r="M134" s="17" t="s">
        <v>137</v>
      </c>
      <c r="N134" s="17" t="s">
        <v>137</v>
      </c>
      <c r="O134" s="17" t="s">
        <v>137</v>
      </c>
      <c r="P134" s="17" t="s">
        <v>137</v>
      </c>
      <c r="Q134" s="17" t="s">
        <v>137</v>
      </c>
      <c r="R134" s="11" t="s">
        <v>137</v>
      </c>
      <c r="S134" s="12" t="s">
        <v>137</v>
      </c>
      <c r="T134" s="11" t="s">
        <v>137</v>
      </c>
      <c r="U134" s="11" t="s">
        <v>137</v>
      </c>
      <c r="V134" s="11" t="s">
        <v>137</v>
      </c>
      <c r="W134" s="11" t="s">
        <v>137</v>
      </c>
      <c r="X134" s="11" t="s">
        <v>137</v>
      </c>
      <c r="Y134" s="11" t="s">
        <v>137</v>
      </c>
      <c r="Z134" s="11" t="s">
        <v>137</v>
      </c>
      <c r="AA134" s="11" t="s">
        <v>137</v>
      </c>
      <c r="AB134" s="11">
        <v>1</v>
      </c>
      <c r="AC134" s="11">
        <v>1</v>
      </c>
      <c r="AD134" s="11">
        <v>1</v>
      </c>
      <c r="AF134" s="11">
        <v>1</v>
      </c>
      <c r="AG134" s="11">
        <v>1</v>
      </c>
      <c r="AH134" s="11">
        <v>1</v>
      </c>
      <c r="AI134" s="11">
        <v>1</v>
      </c>
      <c r="AJ134" s="11">
        <v>1</v>
      </c>
      <c r="AK134" s="11">
        <v>1</v>
      </c>
      <c r="AL134" s="11" t="s">
        <v>137</v>
      </c>
      <c r="AM134" s="11" t="s">
        <v>137</v>
      </c>
    </row>
    <row r="135" spans="1:39" ht="16" x14ac:dyDescent="0.2">
      <c r="A135" s="11">
        <v>1</v>
      </c>
      <c r="B135" s="11">
        <v>1</v>
      </c>
      <c r="C135" s="11">
        <v>1</v>
      </c>
      <c r="E135" s="11">
        <v>1</v>
      </c>
      <c r="F135" s="11">
        <v>1</v>
      </c>
      <c r="G135" s="11">
        <v>1</v>
      </c>
      <c r="H135" s="11">
        <v>1</v>
      </c>
      <c r="I135" s="11">
        <v>1</v>
      </c>
      <c r="J135" s="11">
        <v>1</v>
      </c>
      <c r="K135" s="17">
        <v>1</v>
      </c>
      <c r="L135" s="17">
        <v>1</v>
      </c>
      <c r="M135" s="17">
        <v>1</v>
      </c>
      <c r="N135" s="17">
        <v>1</v>
      </c>
      <c r="O135" s="17">
        <v>1</v>
      </c>
      <c r="P135" s="17">
        <v>1</v>
      </c>
      <c r="Q135" s="17">
        <v>1</v>
      </c>
      <c r="R135" s="11">
        <v>1</v>
      </c>
      <c r="S135" s="12">
        <v>1</v>
      </c>
      <c r="T135" s="11">
        <v>1</v>
      </c>
      <c r="U135" s="11">
        <v>1</v>
      </c>
      <c r="V135" s="11">
        <v>1</v>
      </c>
      <c r="W135" s="11">
        <v>1</v>
      </c>
      <c r="X135" s="11">
        <v>1</v>
      </c>
      <c r="Y135" s="11">
        <v>1</v>
      </c>
      <c r="Z135" s="11">
        <v>1</v>
      </c>
      <c r="AA135" s="11">
        <v>1</v>
      </c>
      <c r="AB135" s="11">
        <v>1</v>
      </c>
      <c r="AC135" s="11">
        <v>1</v>
      </c>
      <c r="AD135" s="11">
        <v>1</v>
      </c>
      <c r="AF135" s="11">
        <v>1</v>
      </c>
      <c r="AG135" s="11">
        <v>1</v>
      </c>
      <c r="AH135" s="11">
        <v>1</v>
      </c>
      <c r="AI135" s="11">
        <v>1</v>
      </c>
      <c r="AJ135" s="11">
        <v>1</v>
      </c>
      <c r="AK135" s="11">
        <v>1</v>
      </c>
      <c r="AL135" s="11" t="s">
        <v>137</v>
      </c>
      <c r="AM135" s="11" t="s">
        <v>137</v>
      </c>
    </row>
    <row r="136" spans="1:39" ht="16" x14ac:dyDescent="0.2">
      <c r="A136" s="11" t="s">
        <v>137</v>
      </c>
      <c r="B136" s="11" t="s">
        <v>137</v>
      </c>
      <c r="C136" s="11" t="s">
        <v>137</v>
      </c>
      <c r="E136" s="11" t="s">
        <v>137</v>
      </c>
      <c r="F136" s="11" t="s">
        <v>137</v>
      </c>
      <c r="G136" s="11" t="s">
        <v>137</v>
      </c>
      <c r="H136" s="11" t="s">
        <v>137</v>
      </c>
      <c r="I136" s="11" t="s">
        <v>137</v>
      </c>
      <c r="J136" s="11" t="s">
        <v>137</v>
      </c>
      <c r="K136" s="17" t="s">
        <v>137</v>
      </c>
      <c r="L136" s="17" t="s">
        <v>137</v>
      </c>
      <c r="M136" s="17" t="s">
        <v>137</v>
      </c>
      <c r="N136" s="17" t="s">
        <v>137</v>
      </c>
      <c r="O136" s="17" t="s">
        <v>137</v>
      </c>
      <c r="P136" s="17" t="s">
        <v>137</v>
      </c>
      <c r="Q136" s="17" t="s">
        <v>137</v>
      </c>
      <c r="R136" s="11" t="s">
        <v>137</v>
      </c>
      <c r="S136" s="12" t="s">
        <v>137</v>
      </c>
      <c r="T136" s="11" t="s">
        <v>137</v>
      </c>
      <c r="U136" s="11" t="s">
        <v>137</v>
      </c>
      <c r="V136" s="11" t="s">
        <v>137</v>
      </c>
      <c r="W136" s="11" t="s">
        <v>137</v>
      </c>
      <c r="X136" s="11" t="s">
        <v>137</v>
      </c>
      <c r="Y136" s="11" t="s">
        <v>137</v>
      </c>
      <c r="Z136" s="11" t="s">
        <v>137</v>
      </c>
      <c r="AA136" s="11" t="s">
        <v>137</v>
      </c>
      <c r="AB136" s="11">
        <v>1</v>
      </c>
      <c r="AC136" s="11">
        <v>0</v>
      </c>
      <c r="AD136" s="11">
        <v>1</v>
      </c>
      <c r="AF136" s="11">
        <v>1</v>
      </c>
      <c r="AG136" s="11">
        <v>1</v>
      </c>
      <c r="AH136" s="11">
        <v>1</v>
      </c>
      <c r="AI136" s="11">
        <v>1</v>
      </c>
      <c r="AJ136" s="11">
        <v>1</v>
      </c>
      <c r="AK136" s="11">
        <v>1</v>
      </c>
      <c r="AL136" s="11" t="s">
        <v>137</v>
      </c>
      <c r="AM136" s="11" t="s">
        <v>137</v>
      </c>
    </row>
    <row r="137" spans="1:39" ht="16" x14ac:dyDescent="0.2">
      <c r="A137" s="11" t="s">
        <v>137</v>
      </c>
      <c r="B137" s="11" t="s">
        <v>137</v>
      </c>
      <c r="C137" s="11" t="s">
        <v>137</v>
      </c>
      <c r="E137" s="11" t="s">
        <v>137</v>
      </c>
      <c r="F137" s="11" t="s">
        <v>137</v>
      </c>
      <c r="G137" s="11" t="s">
        <v>137</v>
      </c>
      <c r="H137" s="11">
        <v>1</v>
      </c>
      <c r="I137" s="11">
        <v>1</v>
      </c>
      <c r="J137" s="11">
        <v>1</v>
      </c>
      <c r="K137" s="17">
        <v>1</v>
      </c>
      <c r="L137" s="17">
        <v>1</v>
      </c>
      <c r="M137" s="17">
        <v>1</v>
      </c>
      <c r="N137" s="17">
        <v>1</v>
      </c>
      <c r="O137" s="17">
        <v>1</v>
      </c>
      <c r="P137" s="17">
        <v>1</v>
      </c>
      <c r="Q137" s="17">
        <v>1</v>
      </c>
      <c r="R137" s="11">
        <v>1</v>
      </c>
      <c r="S137" s="12">
        <v>1</v>
      </c>
      <c r="T137" s="11">
        <v>1</v>
      </c>
      <c r="U137" s="11">
        <v>1</v>
      </c>
      <c r="V137" s="11">
        <v>1</v>
      </c>
      <c r="W137" s="11">
        <v>1</v>
      </c>
      <c r="X137" s="11">
        <v>1</v>
      </c>
      <c r="Y137" s="11">
        <v>1</v>
      </c>
      <c r="Z137" s="11">
        <v>1</v>
      </c>
      <c r="AA137" s="11">
        <v>1</v>
      </c>
      <c r="AB137" s="11">
        <v>1</v>
      </c>
      <c r="AC137" s="11">
        <v>1</v>
      </c>
      <c r="AD137" s="11">
        <v>1</v>
      </c>
      <c r="AF137" s="11">
        <v>1</v>
      </c>
      <c r="AG137" s="11">
        <v>1</v>
      </c>
      <c r="AH137" s="11">
        <v>1</v>
      </c>
      <c r="AI137" s="11">
        <v>1</v>
      </c>
      <c r="AJ137" s="11">
        <v>1</v>
      </c>
      <c r="AK137" s="11">
        <v>1</v>
      </c>
      <c r="AL137" s="11" t="s">
        <v>137</v>
      </c>
      <c r="AM137" s="11" t="s">
        <v>137</v>
      </c>
    </row>
    <row r="138" spans="1:39" ht="16" x14ac:dyDescent="0.2">
      <c r="A138" s="11" t="s">
        <v>137</v>
      </c>
      <c r="B138" s="11" t="s">
        <v>137</v>
      </c>
      <c r="C138" s="11" t="s">
        <v>137</v>
      </c>
      <c r="E138" s="11" t="s">
        <v>137</v>
      </c>
      <c r="F138" s="11" t="s">
        <v>137</v>
      </c>
      <c r="G138" s="11" t="s">
        <v>137</v>
      </c>
      <c r="H138" s="11" t="s">
        <v>137</v>
      </c>
      <c r="I138" s="11" t="s">
        <v>137</v>
      </c>
      <c r="J138" s="11" t="s">
        <v>137</v>
      </c>
      <c r="K138" s="17" t="s">
        <v>137</v>
      </c>
      <c r="L138" s="17" t="s">
        <v>137</v>
      </c>
      <c r="M138" s="17" t="s">
        <v>137</v>
      </c>
      <c r="N138" s="17" t="s">
        <v>137</v>
      </c>
      <c r="O138" s="17" t="s">
        <v>137</v>
      </c>
      <c r="P138" s="17" t="s">
        <v>137</v>
      </c>
      <c r="Q138" s="17" t="s">
        <v>137</v>
      </c>
      <c r="R138" s="11" t="s">
        <v>137</v>
      </c>
      <c r="S138" s="12" t="s">
        <v>137</v>
      </c>
      <c r="T138" s="11" t="s">
        <v>137</v>
      </c>
      <c r="U138" s="11" t="s">
        <v>137</v>
      </c>
      <c r="V138" s="11" t="s">
        <v>137</v>
      </c>
      <c r="W138" s="11" t="s">
        <v>137</v>
      </c>
      <c r="X138" s="11" t="s">
        <v>137</v>
      </c>
      <c r="Y138" s="11" t="s">
        <v>137</v>
      </c>
      <c r="Z138" s="11" t="s">
        <v>137</v>
      </c>
      <c r="AA138" s="11" t="s">
        <v>137</v>
      </c>
      <c r="AB138" s="11">
        <v>1</v>
      </c>
      <c r="AC138" s="11">
        <v>0</v>
      </c>
      <c r="AD138" s="11">
        <v>1</v>
      </c>
      <c r="AF138" s="11">
        <v>0</v>
      </c>
      <c r="AG138" s="11">
        <v>0</v>
      </c>
      <c r="AH138" s="11">
        <v>1</v>
      </c>
      <c r="AI138" s="11">
        <v>1</v>
      </c>
      <c r="AJ138" s="11">
        <v>1</v>
      </c>
      <c r="AK138" s="11">
        <v>1</v>
      </c>
      <c r="AL138" s="11" t="s">
        <v>137</v>
      </c>
      <c r="AM138" s="11" t="s">
        <v>137</v>
      </c>
    </row>
    <row r="139" spans="1:39" ht="16" x14ac:dyDescent="0.2">
      <c r="A139" s="11" t="s">
        <v>137</v>
      </c>
      <c r="B139" s="11" t="s">
        <v>137</v>
      </c>
      <c r="C139" s="11" t="s">
        <v>137</v>
      </c>
      <c r="E139" s="11" t="s">
        <v>137</v>
      </c>
      <c r="F139" s="11" t="s">
        <v>137</v>
      </c>
      <c r="G139" s="11" t="s">
        <v>137</v>
      </c>
      <c r="H139" s="11">
        <v>1</v>
      </c>
      <c r="I139" s="11">
        <v>1</v>
      </c>
      <c r="J139" s="11">
        <v>1</v>
      </c>
      <c r="K139" s="17">
        <v>1</v>
      </c>
      <c r="L139" s="17">
        <v>1</v>
      </c>
      <c r="M139" s="17">
        <v>1</v>
      </c>
      <c r="N139" s="17">
        <v>1</v>
      </c>
      <c r="O139" s="17">
        <v>1</v>
      </c>
      <c r="P139" s="17">
        <v>1</v>
      </c>
      <c r="Q139" s="17">
        <v>1</v>
      </c>
      <c r="R139" s="11">
        <v>1</v>
      </c>
      <c r="S139" s="12">
        <v>1</v>
      </c>
      <c r="T139" s="11">
        <v>1</v>
      </c>
      <c r="U139" s="11">
        <v>1</v>
      </c>
      <c r="V139" s="11">
        <v>1</v>
      </c>
      <c r="W139" s="11">
        <v>1</v>
      </c>
      <c r="X139" s="11">
        <v>1</v>
      </c>
      <c r="Y139" s="11">
        <v>1</v>
      </c>
      <c r="Z139" s="11">
        <v>1</v>
      </c>
      <c r="AA139" s="11">
        <v>1</v>
      </c>
      <c r="AB139" s="11">
        <v>1</v>
      </c>
      <c r="AC139" s="11">
        <v>1</v>
      </c>
      <c r="AD139" s="11">
        <v>1</v>
      </c>
      <c r="AF139" s="11">
        <v>1</v>
      </c>
      <c r="AG139" s="11">
        <v>1</v>
      </c>
      <c r="AH139" s="11">
        <v>1</v>
      </c>
      <c r="AI139" s="11">
        <v>1</v>
      </c>
      <c r="AJ139" s="11">
        <v>1</v>
      </c>
      <c r="AK139" s="11">
        <v>1</v>
      </c>
      <c r="AL139" s="11" t="s">
        <v>137</v>
      </c>
      <c r="AM139" s="11" t="s">
        <v>137</v>
      </c>
    </row>
    <row r="140" spans="1:39" ht="16" x14ac:dyDescent="0.2">
      <c r="A140" s="11" t="s">
        <v>137</v>
      </c>
      <c r="B140" s="11" t="s">
        <v>137</v>
      </c>
      <c r="C140" s="11" t="s">
        <v>137</v>
      </c>
      <c r="E140" s="11" t="s">
        <v>137</v>
      </c>
      <c r="F140" s="11" t="s">
        <v>137</v>
      </c>
      <c r="G140" s="11" t="s">
        <v>137</v>
      </c>
      <c r="H140" s="11" t="s">
        <v>137</v>
      </c>
      <c r="I140" s="11" t="s">
        <v>137</v>
      </c>
      <c r="J140" s="11" t="s">
        <v>137</v>
      </c>
      <c r="K140" s="17" t="s">
        <v>137</v>
      </c>
      <c r="L140" s="17" t="s">
        <v>137</v>
      </c>
      <c r="M140" s="17" t="s">
        <v>137</v>
      </c>
      <c r="N140" s="17" t="s">
        <v>137</v>
      </c>
      <c r="O140" s="17" t="s">
        <v>137</v>
      </c>
      <c r="P140" s="17" t="s">
        <v>137</v>
      </c>
      <c r="Q140" s="17" t="s">
        <v>137</v>
      </c>
      <c r="R140" s="11" t="s">
        <v>137</v>
      </c>
      <c r="S140" s="12" t="s">
        <v>137</v>
      </c>
      <c r="T140" s="11" t="s">
        <v>137</v>
      </c>
      <c r="U140" s="11" t="s">
        <v>137</v>
      </c>
      <c r="V140" s="11" t="s">
        <v>137</v>
      </c>
      <c r="W140" s="11" t="s">
        <v>137</v>
      </c>
      <c r="X140" s="11" t="s">
        <v>137</v>
      </c>
      <c r="Y140" s="11" t="s">
        <v>137</v>
      </c>
      <c r="Z140" s="11" t="s">
        <v>137</v>
      </c>
      <c r="AA140" s="11" t="s">
        <v>137</v>
      </c>
      <c r="AB140" s="11">
        <v>1</v>
      </c>
      <c r="AC140" s="11">
        <v>0</v>
      </c>
      <c r="AD140" s="11">
        <v>1</v>
      </c>
      <c r="AF140" s="11">
        <v>0</v>
      </c>
      <c r="AG140" s="11">
        <v>0</v>
      </c>
      <c r="AH140" s="11">
        <v>1</v>
      </c>
      <c r="AI140" s="11">
        <v>1</v>
      </c>
      <c r="AJ140" s="11">
        <v>1</v>
      </c>
      <c r="AK140" s="11">
        <v>1</v>
      </c>
      <c r="AL140" s="11" t="s">
        <v>137</v>
      </c>
      <c r="AM140" s="11" t="s">
        <v>137</v>
      </c>
    </row>
    <row r="141" spans="1:39" ht="16" x14ac:dyDescent="0.2">
      <c r="A141" s="11" t="s">
        <v>137</v>
      </c>
      <c r="B141" s="11" t="s">
        <v>137</v>
      </c>
      <c r="C141" s="11" t="s">
        <v>137</v>
      </c>
      <c r="E141" s="11" t="s">
        <v>137</v>
      </c>
      <c r="F141" s="11" t="s">
        <v>137</v>
      </c>
      <c r="G141" s="11" t="s">
        <v>137</v>
      </c>
      <c r="H141" s="11">
        <v>1</v>
      </c>
      <c r="I141" s="11">
        <v>1</v>
      </c>
      <c r="J141" s="11">
        <v>1</v>
      </c>
      <c r="K141" s="17">
        <v>1</v>
      </c>
      <c r="L141" s="17">
        <v>1</v>
      </c>
      <c r="M141" s="17">
        <v>1</v>
      </c>
      <c r="N141" s="17">
        <v>1</v>
      </c>
      <c r="O141" s="17">
        <v>1</v>
      </c>
      <c r="P141" s="17">
        <v>1</v>
      </c>
      <c r="Q141" s="17">
        <v>1</v>
      </c>
      <c r="R141" s="11">
        <v>1</v>
      </c>
      <c r="S141" s="12">
        <v>1</v>
      </c>
      <c r="T141" s="11">
        <v>1</v>
      </c>
      <c r="U141" s="11">
        <v>1</v>
      </c>
      <c r="V141" s="11">
        <v>1</v>
      </c>
      <c r="W141" s="11">
        <v>1</v>
      </c>
      <c r="X141" s="11">
        <v>1</v>
      </c>
      <c r="Y141" s="11">
        <v>1</v>
      </c>
      <c r="Z141" s="11">
        <v>1</v>
      </c>
      <c r="AA141" s="11">
        <v>1</v>
      </c>
      <c r="AB141" s="11">
        <v>1</v>
      </c>
      <c r="AC141" s="11">
        <v>1</v>
      </c>
      <c r="AD141" s="11">
        <v>1</v>
      </c>
      <c r="AF141" s="11">
        <v>1</v>
      </c>
      <c r="AG141" s="11">
        <v>1</v>
      </c>
      <c r="AH141" s="11">
        <v>1</v>
      </c>
      <c r="AI141" s="11">
        <v>1</v>
      </c>
      <c r="AJ141" s="11">
        <v>1</v>
      </c>
      <c r="AK141" s="11">
        <v>1</v>
      </c>
      <c r="AL141" s="11" t="s">
        <v>137</v>
      </c>
      <c r="AM141" s="11" t="s">
        <v>137</v>
      </c>
    </row>
    <row r="142" spans="1:39" ht="16" x14ac:dyDescent="0.2">
      <c r="A142" s="11" t="s">
        <v>137</v>
      </c>
      <c r="B142" s="11" t="s">
        <v>137</v>
      </c>
      <c r="C142" s="11" t="s">
        <v>137</v>
      </c>
      <c r="E142" s="11" t="s">
        <v>137</v>
      </c>
      <c r="F142" s="11" t="s">
        <v>137</v>
      </c>
      <c r="G142" s="11" t="s">
        <v>137</v>
      </c>
      <c r="H142" s="11" t="s">
        <v>137</v>
      </c>
      <c r="I142" s="11" t="s">
        <v>137</v>
      </c>
      <c r="J142" s="11" t="s">
        <v>137</v>
      </c>
      <c r="K142" s="17" t="s">
        <v>137</v>
      </c>
      <c r="L142" s="17" t="s">
        <v>137</v>
      </c>
      <c r="M142" s="17" t="s">
        <v>137</v>
      </c>
      <c r="N142" s="17" t="s">
        <v>137</v>
      </c>
      <c r="O142" s="17" t="s">
        <v>137</v>
      </c>
      <c r="P142" s="17" t="s">
        <v>137</v>
      </c>
      <c r="Q142" s="17" t="s">
        <v>137</v>
      </c>
      <c r="R142" s="11" t="s">
        <v>137</v>
      </c>
      <c r="S142" s="12" t="s">
        <v>137</v>
      </c>
      <c r="T142" s="11" t="s">
        <v>137</v>
      </c>
      <c r="U142" s="11" t="s">
        <v>137</v>
      </c>
      <c r="V142" s="11" t="s">
        <v>137</v>
      </c>
      <c r="W142" s="11" t="s">
        <v>137</v>
      </c>
      <c r="X142" s="11" t="s">
        <v>137</v>
      </c>
      <c r="Y142" s="11" t="s">
        <v>137</v>
      </c>
      <c r="Z142" s="11" t="s">
        <v>137</v>
      </c>
      <c r="AA142" s="11" t="s">
        <v>137</v>
      </c>
      <c r="AB142" s="11">
        <v>1</v>
      </c>
      <c r="AC142" s="11">
        <v>0</v>
      </c>
      <c r="AD142" s="11">
        <v>1</v>
      </c>
      <c r="AF142" s="11">
        <v>1</v>
      </c>
      <c r="AG142" s="11">
        <v>1</v>
      </c>
      <c r="AH142" s="11">
        <v>1</v>
      </c>
      <c r="AI142" s="11">
        <v>1</v>
      </c>
      <c r="AJ142" s="11">
        <v>1</v>
      </c>
      <c r="AK142" s="11">
        <v>1</v>
      </c>
      <c r="AL142" s="11" t="s">
        <v>137</v>
      </c>
      <c r="AM142" s="11" t="s">
        <v>137</v>
      </c>
    </row>
    <row r="143" spans="1:39" ht="16" x14ac:dyDescent="0.2">
      <c r="A143" s="11">
        <v>1</v>
      </c>
      <c r="B143" s="11">
        <v>1</v>
      </c>
      <c r="C143" s="11">
        <v>1</v>
      </c>
      <c r="E143" s="11">
        <v>1</v>
      </c>
      <c r="F143" s="11">
        <v>1</v>
      </c>
      <c r="G143" s="11">
        <v>1</v>
      </c>
      <c r="H143" s="11">
        <v>1</v>
      </c>
      <c r="I143" s="11">
        <v>1</v>
      </c>
      <c r="J143" s="11">
        <v>1</v>
      </c>
      <c r="K143" s="17">
        <v>1</v>
      </c>
      <c r="L143" s="17">
        <v>1</v>
      </c>
      <c r="M143" s="17">
        <v>1</v>
      </c>
      <c r="N143" s="17">
        <v>1</v>
      </c>
      <c r="O143" s="17">
        <v>1</v>
      </c>
      <c r="P143" s="17">
        <v>1</v>
      </c>
      <c r="Q143" s="17">
        <v>1</v>
      </c>
      <c r="R143" s="11">
        <v>1</v>
      </c>
      <c r="S143" s="12">
        <v>1</v>
      </c>
      <c r="T143" s="11">
        <v>1</v>
      </c>
      <c r="U143" s="11">
        <v>1</v>
      </c>
      <c r="V143" s="11">
        <v>1</v>
      </c>
      <c r="W143" s="11">
        <v>1</v>
      </c>
      <c r="X143" s="11">
        <v>1</v>
      </c>
      <c r="Y143" s="11">
        <v>1</v>
      </c>
      <c r="Z143" s="11">
        <v>1</v>
      </c>
      <c r="AA143" s="11">
        <v>1</v>
      </c>
      <c r="AB143" s="11">
        <v>1</v>
      </c>
      <c r="AC143" s="11">
        <v>1</v>
      </c>
      <c r="AD143" s="11">
        <v>1</v>
      </c>
      <c r="AF143" s="11">
        <v>1</v>
      </c>
      <c r="AG143" s="11">
        <v>1</v>
      </c>
      <c r="AH143" s="11">
        <v>1</v>
      </c>
      <c r="AI143" s="11">
        <v>1</v>
      </c>
      <c r="AJ143" s="11">
        <v>1</v>
      </c>
      <c r="AK143" s="11">
        <v>1</v>
      </c>
      <c r="AL143" s="11" t="s">
        <v>137</v>
      </c>
      <c r="AM143" s="11" t="s">
        <v>137</v>
      </c>
    </row>
    <row r="144" spans="1:39" ht="16" x14ac:dyDescent="0.2">
      <c r="A144" s="11" t="s">
        <v>137</v>
      </c>
      <c r="B144" s="11" t="s">
        <v>137</v>
      </c>
      <c r="C144" s="11" t="s">
        <v>137</v>
      </c>
      <c r="E144" s="11" t="s">
        <v>137</v>
      </c>
      <c r="F144" s="11" t="s">
        <v>137</v>
      </c>
      <c r="G144" s="11" t="s">
        <v>137</v>
      </c>
      <c r="H144" s="11">
        <v>1</v>
      </c>
      <c r="I144" s="11">
        <v>1</v>
      </c>
      <c r="J144" s="11">
        <v>1</v>
      </c>
      <c r="K144" s="17">
        <v>1</v>
      </c>
      <c r="L144" s="17">
        <v>1</v>
      </c>
      <c r="M144" s="17">
        <v>1</v>
      </c>
      <c r="N144" s="17">
        <v>1</v>
      </c>
      <c r="O144" s="17">
        <v>1</v>
      </c>
      <c r="P144" s="17">
        <v>1</v>
      </c>
      <c r="Q144" s="17">
        <v>1</v>
      </c>
      <c r="R144" s="11">
        <v>1</v>
      </c>
      <c r="S144" s="12">
        <v>1</v>
      </c>
      <c r="T144" s="11">
        <v>1</v>
      </c>
      <c r="U144" s="11">
        <v>1</v>
      </c>
      <c r="V144" s="11">
        <v>1</v>
      </c>
      <c r="W144" s="11">
        <v>1</v>
      </c>
      <c r="X144" s="11">
        <v>1</v>
      </c>
      <c r="Y144" s="11">
        <v>1</v>
      </c>
      <c r="Z144" s="11">
        <v>1</v>
      </c>
      <c r="AA144" s="11">
        <v>1</v>
      </c>
      <c r="AB144" s="11">
        <v>1</v>
      </c>
      <c r="AC144" s="11">
        <v>1</v>
      </c>
      <c r="AD144" s="11">
        <v>1</v>
      </c>
      <c r="AF144" s="11">
        <v>1</v>
      </c>
      <c r="AG144" s="11">
        <v>1</v>
      </c>
      <c r="AH144" s="11">
        <v>1</v>
      </c>
      <c r="AI144" s="11">
        <v>1</v>
      </c>
      <c r="AJ144" s="11">
        <v>1</v>
      </c>
      <c r="AK144" s="11">
        <v>1</v>
      </c>
      <c r="AL144" s="11" t="s">
        <v>137</v>
      </c>
      <c r="AM144" s="11" t="s">
        <v>137</v>
      </c>
    </row>
    <row r="145" spans="1:39" ht="16" x14ac:dyDescent="0.2">
      <c r="A145" s="11" t="s">
        <v>137</v>
      </c>
      <c r="B145" s="11" t="s">
        <v>137</v>
      </c>
      <c r="C145" s="11" t="s">
        <v>137</v>
      </c>
      <c r="E145" s="11" t="s">
        <v>137</v>
      </c>
      <c r="F145" s="11" t="s">
        <v>137</v>
      </c>
      <c r="G145" s="11" t="s">
        <v>137</v>
      </c>
      <c r="H145" s="11">
        <v>1</v>
      </c>
      <c r="I145" s="11">
        <v>1</v>
      </c>
      <c r="J145" s="11">
        <v>1</v>
      </c>
      <c r="K145" s="17">
        <v>1</v>
      </c>
      <c r="L145" s="17">
        <v>1</v>
      </c>
      <c r="M145" s="17">
        <v>1</v>
      </c>
      <c r="N145" s="17">
        <v>1</v>
      </c>
      <c r="O145" s="17">
        <v>1</v>
      </c>
      <c r="P145" s="17">
        <v>1</v>
      </c>
      <c r="Q145" s="17">
        <v>1</v>
      </c>
      <c r="R145" s="11">
        <v>1</v>
      </c>
      <c r="S145" s="12">
        <v>1</v>
      </c>
      <c r="T145" s="11">
        <v>1</v>
      </c>
      <c r="U145" s="11">
        <v>1</v>
      </c>
      <c r="V145" s="11">
        <v>1</v>
      </c>
      <c r="W145" s="11">
        <v>1</v>
      </c>
      <c r="X145" s="11">
        <v>1</v>
      </c>
      <c r="Y145" s="11">
        <v>1</v>
      </c>
      <c r="Z145" s="11">
        <v>1</v>
      </c>
      <c r="AA145" s="11">
        <v>1</v>
      </c>
      <c r="AB145" s="11">
        <v>1</v>
      </c>
      <c r="AC145" s="11">
        <v>1</v>
      </c>
      <c r="AD145" s="11">
        <v>1</v>
      </c>
      <c r="AF145" s="11">
        <v>1</v>
      </c>
      <c r="AG145" s="11">
        <v>1</v>
      </c>
      <c r="AH145" s="11">
        <v>1</v>
      </c>
      <c r="AI145" s="11">
        <v>1</v>
      </c>
      <c r="AJ145" s="11">
        <v>1</v>
      </c>
      <c r="AK145" s="11">
        <v>1</v>
      </c>
      <c r="AL145" s="11" t="s">
        <v>137</v>
      </c>
      <c r="AM145" s="11" t="s">
        <v>137</v>
      </c>
    </row>
    <row r="146" spans="1:39" ht="16" x14ac:dyDescent="0.2">
      <c r="A146" s="11" t="s">
        <v>137</v>
      </c>
      <c r="B146" s="11" t="s">
        <v>137</v>
      </c>
      <c r="C146" s="11" t="s">
        <v>137</v>
      </c>
      <c r="E146" s="11" t="s">
        <v>137</v>
      </c>
      <c r="F146" s="11" t="s">
        <v>137</v>
      </c>
      <c r="G146" s="11" t="s">
        <v>137</v>
      </c>
      <c r="H146" s="11">
        <v>1</v>
      </c>
      <c r="I146" s="11">
        <v>1</v>
      </c>
      <c r="J146" s="11">
        <v>1</v>
      </c>
      <c r="K146" s="17">
        <v>1</v>
      </c>
      <c r="L146" s="17">
        <v>1</v>
      </c>
      <c r="M146" s="17">
        <v>1</v>
      </c>
      <c r="N146" s="17">
        <v>1</v>
      </c>
      <c r="O146" s="17">
        <v>1</v>
      </c>
      <c r="P146" s="17">
        <v>1</v>
      </c>
      <c r="Q146" s="17">
        <v>1</v>
      </c>
      <c r="R146" s="11">
        <v>1</v>
      </c>
      <c r="S146" s="12">
        <v>1</v>
      </c>
      <c r="T146" s="11">
        <v>1</v>
      </c>
      <c r="U146" s="11">
        <v>1</v>
      </c>
      <c r="V146" s="11">
        <v>1</v>
      </c>
      <c r="W146" s="11">
        <v>1</v>
      </c>
      <c r="X146" s="11">
        <v>1</v>
      </c>
      <c r="Y146" s="11">
        <v>1</v>
      </c>
      <c r="Z146" s="11">
        <v>1</v>
      </c>
      <c r="AA146" s="11">
        <v>1</v>
      </c>
      <c r="AB146" s="11">
        <v>1</v>
      </c>
      <c r="AC146" s="11">
        <v>1</v>
      </c>
      <c r="AD146" s="11">
        <v>1</v>
      </c>
      <c r="AF146" s="11">
        <v>1</v>
      </c>
      <c r="AG146" s="11">
        <v>1</v>
      </c>
      <c r="AH146" s="11">
        <v>1</v>
      </c>
      <c r="AI146" s="11">
        <v>1</v>
      </c>
      <c r="AJ146" s="11">
        <v>1</v>
      </c>
      <c r="AK146" s="11">
        <v>1</v>
      </c>
      <c r="AL146" s="11" t="s">
        <v>137</v>
      </c>
      <c r="AM146" s="11" t="s">
        <v>137</v>
      </c>
    </row>
    <row r="147" spans="1:39" ht="16" x14ac:dyDescent="0.2">
      <c r="A147" s="11" t="s">
        <v>137</v>
      </c>
      <c r="B147" s="11" t="s">
        <v>137</v>
      </c>
      <c r="C147" s="11" t="s">
        <v>137</v>
      </c>
      <c r="E147" s="11" t="s">
        <v>137</v>
      </c>
      <c r="F147" s="11" t="s">
        <v>137</v>
      </c>
      <c r="G147" s="11" t="s">
        <v>137</v>
      </c>
      <c r="H147" s="11">
        <v>1</v>
      </c>
      <c r="I147" s="11">
        <v>1</v>
      </c>
      <c r="J147" s="11">
        <v>1</v>
      </c>
      <c r="K147" s="17">
        <v>1</v>
      </c>
      <c r="L147" s="17">
        <v>1</v>
      </c>
      <c r="M147" s="17">
        <v>1</v>
      </c>
      <c r="N147" s="17">
        <v>1</v>
      </c>
      <c r="O147" s="17">
        <v>1</v>
      </c>
      <c r="P147" s="17">
        <v>1</v>
      </c>
      <c r="Q147" s="17">
        <v>1</v>
      </c>
      <c r="R147" s="11">
        <v>1</v>
      </c>
      <c r="S147" s="12">
        <v>1</v>
      </c>
      <c r="T147" s="11">
        <v>1</v>
      </c>
      <c r="U147" s="11">
        <v>1</v>
      </c>
      <c r="V147" s="11">
        <v>1</v>
      </c>
      <c r="W147" s="11">
        <v>1</v>
      </c>
      <c r="X147" s="11">
        <v>1</v>
      </c>
      <c r="Y147" s="11">
        <v>1</v>
      </c>
      <c r="Z147" s="11">
        <v>1</v>
      </c>
      <c r="AA147" s="11">
        <v>1</v>
      </c>
      <c r="AB147" s="11">
        <v>1</v>
      </c>
      <c r="AC147" s="11">
        <v>1</v>
      </c>
      <c r="AD147" s="11">
        <v>1</v>
      </c>
      <c r="AF147" s="11">
        <v>1</v>
      </c>
      <c r="AG147" s="11">
        <v>1</v>
      </c>
      <c r="AH147" s="11">
        <v>1</v>
      </c>
      <c r="AI147" s="11">
        <v>1</v>
      </c>
      <c r="AJ147" s="11">
        <v>1</v>
      </c>
      <c r="AK147" s="11">
        <v>1</v>
      </c>
      <c r="AL147" s="11" t="s">
        <v>137</v>
      </c>
      <c r="AM147" s="11" t="s">
        <v>137</v>
      </c>
    </row>
    <row r="148" spans="1:39" ht="16" x14ac:dyDescent="0.2">
      <c r="A148" s="11" t="s">
        <v>137</v>
      </c>
      <c r="B148" s="11" t="s">
        <v>137</v>
      </c>
      <c r="C148" s="11" t="s">
        <v>137</v>
      </c>
      <c r="E148" s="11" t="s">
        <v>137</v>
      </c>
      <c r="F148" s="11" t="s">
        <v>137</v>
      </c>
      <c r="G148" s="11" t="s">
        <v>137</v>
      </c>
      <c r="H148" s="11">
        <v>1</v>
      </c>
      <c r="I148" s="11">
        <v>1</v>
      </c>
      <c r="J148" s="11">
        <v>1</v>
      </c>
      <c r="K148" s="17">
        <v>1</v>
      </c>
      <c r="L148" s="17">
        <v>1</v>
      </c>
      <c r="M148" s="17">
        <v>1</v>
      </c>
      <c r="N148" s="17">
        <v>1</v>
      </c>
      <c r="O148" s="17">
        <v>1</v>
      </c>
      <c r="P148" s="17">
        <v>1</v>
      </c>
      <c r="Q148" s="17">
        <v>1</v>
      </c>
      <c r="R148" s="11">
        <v>1</v>
      </c>
      <c r="S148" s="12">
        <v>1</v>
      </c>
      <c r="T148" s="11">
        <v>1</v>
      </c>
      <c r="U148" s="11">
        <v>1</v>
      </c>
      <c r="V148" s="11">
        <v>1</v>
      </c>
      <c r="W148" s="11">
        <v>1</v>
      </c>
      <c r="X148" s="11">
        <v>1</v>
      </c>
      <c r="Y148" s="11">
        <v>1</v>
      </c>
      <c r="Z148" s="11">
        <v>1</v>
      </c>
      <c r="AA148" s="11">
        <v>1</v>
      </c>
      <c r="AB148" s="11">
        <v>1</v>
      </c>
      <c r="AC148" s="11">
        <v>1</v>
      </c>
      <c r="AD148" s="11">
        <v>1</v>
      </c>
      <c r="AF148" s="11">
        <v>1</v>
      </c>
      <c r="AG148" s="11">
        <v>1</v>
      </c>
      <c r="AH148" s="11">
        <v>1</v>
      </c>
      <c r="AI148" s="11">
        <v>1</v>
      </c>
      <c r="AJ148" s="11">
        <v>1</v>
      </c>
      <c r="AK148" s="11">
        <v>1</v>
      </c>
      <c r="AL148" s="11" t="s">
        <v>137</v>
      </c>
      <c r="AM148" s="11" t="s">
        <v>137</v>
      </c>
    </row>
    <row r="149" spans="1:39" ht="16" x14ac:dyDescent="0.2">
      <c r="A149" s="11" t="s">
        <v>137</v>
      </c>
      <c r="B149" s="11" t="s">
        <v>137</v>
      </c>
      <c r="C149" s="11" t="s">
        <v>137</v>
      </c>
      <c r="E149" s="11" t="s">
        <v>137</v>
      </c>
      <c r="F149" s="11" t="s">
        <v>137</v>
      </c>
      <c r="G149" s="11" t="s">
        <v>137</v>
      </c>
      <c r="H149" s="11">
        <v>1</v>
      </c>
      <c r="I149" s="11">
        <v>1</v>
      </c>
      <c r="J149" s="11">
        <v>1</v>
      </c>
      <c r="K149" s="17">
        <v>1</v>
      </c>
      <c r="L149" s="17">
        <v>1</v>
      </c>
      <c r="M149" s="17">
        <v>1</v>
      </c>
      <c r="N149" s="17">
        <v>1</v>
      </c>
      <c r="O149" s="17">
        <v>1</v>
      </c>
      <c r="P149" s="17">
        <v>1</v>
      </c>
      <c r="Q149" s="17">
        <v>1</v>
      </c>
      <c r="R149" s="11">
        <v>1</v>
      </c>
      <c r="S149" s="12">
        <v>1</v>
      </c>
      <c r="T149" s="11">
        <v>1</v>
      </c>
      <c r="U149" s="11">
        <v>1</v>
      </c>
      <c r="V149" s="11">
        <v>1</v>
      </c>
      <c r="W149" s="11">
        <v>1</v>
      </c>
      <c r="X149" s="11">
        <v>1</v>
      </c>
      <c r="Y149" s="11">
        <v>1</v>
      </c>
      <c r="Z149" s="11">
        <v>1</v>
      </c>
      <c r="AA149" s="11">
        <v>1</v>
      </c>
      <c r="AB149" s="11">
        <v>1</v>
      </c>
      <c r="AC149" s="11">
        <v>1</v>
      </c>
      <c r="AD149" s="11">
        <v>1</v>
      </c>
      <c r="AF149" s="11">
        <v>1</v>
      </c>
      <c r="AG149" s="11">
        <v>1</v>
      </c>
      <c r="AH149" s="11">
        <v>1</v>
      </c>
      <c r="AI149" s="11">
        <v>1</v>
      </c>
      <c r="AJ149" s="11">
        <v>1</v>
      </c>
      <c r="AK149" s="11">
        <v>1</v>
      </c>
      <c r="AL149" s="11" t="s">
        <v>137</v>
      </c>
      <c r="AM149" s="11" t="s">
        <v>137</v>
      </c>
    </row>
    <row r="150" spans="1:39" ht="16" x14ac:dyDescent="0.2">
      <c r="A150" s="11" t="s">
        <v>137</v>
      </c>
      <c r="B150" s="11" t="s">
        <v>137</v>
      </c>
      <c r="C150" s="11" t="s">
        <v>137</v>
      </c>
      <c r="E150" s="11" t="s">
        <v>137</v>
      </c>
      <c r="F150" s="11" t="s">
        <v>137</v>
      </c>
      <c r="G150" s="11" t="s">
        <v>137</v>
      </c>
      <c r="H150" s="11">
        <v>1</v>
      </c>
      <c r="I150" s="11">
        <v>1</v>
      </c>
      <c r="J150" s="11">
        <v>1</v>
      </c>
      <c r="K150" s="17">
        <v>1</v>
      </c>
      <c r="L150" s="17">
        <v>1</v>
      </c>
      <c r="M150" s="17">
        <v>1</v>
      </c>
      <c r="N150" s="17">
        <v>1</v>
      </c>
      <c r="O150" s="17">
        <v>1</v>
      </c>
      <c r="P150" s="17">
        <v>1</v>
      </c>
      <c r="Q150" s="17">
        <v>1</v>
      </c>
      <c r="R150" s="11">
        <v>1</v>
      </c>
      <c r="S150" s="12">
        <v>1</v>
      </c>
      <c r="T150" s="11">
        <v>1</v>
      </c>
      <c r="U150" s="11">
        <v>1</v>
      </c>
      <c r="V150" s="11">
        <v>1</v>
      </c>
      <c r="W150" s="11">
        <v>1</v>
      </c>
      <c r="X150" s="11">
        <v>1</v>
      </c>
      <c r="Y150" s="11">
        <v>1</v>
      </c>
      <c r="Z150" s="11">
        <v>1</v>
      </c>
      <c r="AA150" s="11">
        <v>1</v>
      </c>
      <c r="AB150" s="11">
        <v>1</v>
      </c>
      <c r="AC150" s="11">
        <v>1</v>
      </c>
      <c r="AD150" s="11">
        <v>1</v>
      </c>
      <c r="AF150" s="11">
        <v>1</v>
      </c>
      <c r="AG150" s="11">
        <v>1</v>
      </c>
      <c r="AH150" s="11">
        <v>1</v>
      </c>
      <c r="AI150" s="11">
        <v>1</v>
      </c>
      <c r="AJ150" s="11">
        <v>1</v>
      </c>
      <c r="AK150" s="11">
        <v>1</v>
      </c>
      <c r="AL150" s="11" t="s">
        <v>137</v>
      </c>
      <c r="AM150" s="11" t="s">
        <v>137</v>
      </c>
    </row>
    <row r="151" spans="1:39" ht="16" x14ac:dyDescent="0.2">
      <c r="A151" s="11" t="s">
        <v>137</v>
      </c>
      <c r="B151" s="11" t="s">
        <v>137</v>
      </c>
      <c r="C151" s="11" t="s">
        <v>137</v>
      </c>
      <c r="E151" s="11" t="s">
        <v>137</v>
      </c>
      <c r="F151" s="11" t="s">
        <v>137</v>
      </c>
      <c r="G151" s="11" t="s">
        <v>137</v>
      </c>
      <c r="H151" s="11">
        <v>1</v>
      </c>
      <c r="I151" s="11">
        <v>1</v>
      </c>
      <c r="J151" s="11">
        <v>1</v>
      </c>
      <c r="K151" s="17">
        <v>1</v>
      </c>
      <c r="L151" s="17">
        <v>1</v>
      </c>
      <c r="M151" s="17">
        <v>1</v>
      </c>
      <c r="N151" s="17">
        <v>1</v>
      </c>
      <c r="O151" s="17">
        <v>1</v>
      </c>
      <c r="P151" s="17">
        <v>1</v>
      </c>
      <c r="Q151" s="17">
        <v>1</v>
      </c>
      <c r="R151" s="11">
        <v>1</v>
      </c>
      <c r="S151" s="12">
        <v>1</v>
      </c>
      <c r="T151" s="11">
        <v>1</v>
      </c>
      <c r="U151" s="11">
        <v>1</v>
      </c>
      <c r="V151" s="11">
        <v>1</v>
      </c>
      <c r="W151" s="11">
        <v>1</v>
      </c>
      <c r="X151" s="11">
        <v>1</v>
      </c>
      <c r="Y151" s="11">
        <v>1</v>
      </c>
      <c r="Z151" s="11">
        <v>1</v>
      </c>
      <c r="AA151" s="11">
        <v>1</v>
      </c>
      <c r="AB151" s="11">
        <v>1</v>
      </c>
      <c r="AC151" s="11">
        <v>1</v>
      </c>
      <c r="AD151" s="11">
        <v>1</v>
      </c>
      <c r="AF151" s="11">
        <v>1</v>
      </c>
      <c r="AG151" s="11">
        <v>1</v>
      </c>
      <c r="AH151" s="11">
        <v>1</v>
      </c>
      <c r="AI151" s="11">
        <v>1</v>
      </c>
      <c r="AJ151" s="11">
        <v>1</v>
      </c>
      <c r="AK151" s="11">
        <v>1</v>
      </c>
      <c r="AL151" s="11" t="s">
        <v>137</v>
      </c>
      <c r="AM151" s="11" t="s">
        <v>137</v>
      </c>
    </row>
    <row r="152" spans="1:39" ht="16" x14ac:dyDescent="0.2">
      <c r="A152" s="11" t="s">
        <v>137</v>
      </c>
      <c r="B152" s="11" t="s">
        <v>137</v>
      </c>
      <c r="C152" s="11" t="s">
        <v>137</v>
      </c>
      <c r="E152" s="11" t="s">
        <v>137</v>
      </c>
      <c r="F152" s="11" t="s">
        <v>137</v>
      </c>
      <c r="G152" s="11" t="s">
        <v>137</v>
      </c>
      <c r="H152" s="11">
        <v>1</v>
      </c>
      <c r="I152" s="11">
        <v>1</v>
      </c>
      <c r="J152" s="11">
        <v>1</v>
      </c>
      <c r="K152" s="17">
        <v>1</v>
      </c>
      <c r="L152" s="17">
        <v>1</v>
      </c>
      <c r="M152" s="17">
        <v>1</v>
      </c>
      <c r="N152" s="17">
        <v>1</v>
      </c>
      <c r="O152" s="17">
        <v>1</v>
      </c>
      <c r="P152" s="17">
        <v>1</v>
      </c>
      <c r="Q152" s="17">
        <v>1</v>
      </c>
      <c r="R152" s="11">
        <v>1</v>
      </c>
      <c r="S152" s="12">
        <v>1</v>
      </c>
      <c r="T152" s="11">
        <v>1</v>
      </c>
      <c r="U152" s="11">
        <v>1</v>
      </c>
      <c r="V152" s="11">
        <v>1</v>
      </c>
      <c r="W152" s="11">
        <v>1</v>
      </c>
      <c r="X152" s="11">
        <v>1</v>
      </c>
      <c r="Y152" s="11">
        <v>1</v>
      </c>
      <c r="Z152" s="11">
        <v>1</v>
      </c>
      <c r="AA152" s="11">
        <v>1</v>
      </c>
      <c r="AB152" s="11">
        <v>1</v>
      </c>
      <c r="AC152" s="11">
        <v>1</v>
      </c>
      <c r="AD152" s="11">
        <v>1</v>
      </c>
      <c r="AF152" s="11">
        <v>1</v>
      </c>
      <c r="AG152" s="11">
        <v>1</v>
      </c>
      <c r="AH152" s="11">
        <v>1</v>
      </c>
      <c r="AI152" s="11">
        <v>1</v>
      </c>
      <c r="AJ152" s="11">
        <v>1</v>
      </c>
      <c r="AK152" s="11">
        <v>1</v>
      </c>
      <c r="AL152" s="11" t="s">
        <v>137</v>
      </c>
      <c r="AM152" s="11" t="s">
        <v>137</v>
      </c>
    </row>
    <row r="153" spans="1:39" ht="16" x14ac:dyDescent="0.2">
      <c r="A153" s="11" t="s">
        <v>137</v>
      </c>
      <c r="B153" s="11" t="s">
        <v>137</v>
      </c>
      <c r="C153" s="11" t="s">
        <v>137</v>
      </c>
      <c r="E153" s="11" t="s">
        <v>137</v>
      </c>
      <c r="F153" s="11" t="s">
        <v>137</v>
      </c>
      <c r="G153" s="11" t="s">
        <v>137</v>
      </c>
      <c r="H153" s="11">
        <v>1</v>
      </c>
      <c r="I153" s="11">
        <v>1</v>
      </c>
      <c r="J153" s="11">
        <v>1</v>
      </c>
      <c r="K153" s="17">
        <v>1</v>
      </c>
      <c r="L153" s="17">
        <v>1</v>
      </c>
      <c r="M153" s="17">
        <v>1</v>
      </c>
      <c r="N153" s="17">
        <v>1</v>
      </c>
      <c r="O153" s="17">
        <v>1</v>
      </c>
      <c r="P153" s="17">
        <v>1</v>
      </c>
      <c r="Q153" s="17">
        <v>1</v>
      </c>
      <c r="R153" s="11">
        <v>1</v>
      </c>
      <c r="S153" s="12">
        <v>1</v>
      </c>
      <c r="T153" s="11">
        <v>1</v>
      </c>
      <c r="U153" s="11">
        <v>1</v>
      </c>
      <c r="V153" s="11">
        <v>1</v>
      </c>
      <c r="W153" s="11">
        <v>1</v>
      </c>
      <c r="X153" s="11">
        <v>1</v>
      </c>
      <c r="Y153" s="11">
        <v>1</v>
      </c>
      <c r="Z153" s="11">
        <v>1</v>
      </c>
      <c r="AA153" s="11">
        <v>1</v>
      </c>
      <c r="AB153" s="11">
        <v>1</v>
      </c>
      <c r="AC153" s="11">
        <v>1</v>
      </c>
      <c r="AD153" s="11">
        <v>1</v>
      </c>
      <c r="AF153" s="11">
        <v>1</v>
      </c>
      <c r="AG153" s="11">
        <v>1</v>
      </c>
      <c r="AH153" s="11">
        <v>1</v>
      </c>
      <c r="AI153" s="11">
        <v>1</v>
      </c>
      <c r="AJ153" s="11">
        <v>1</v>
      </c>
      <c r="AK153" s="11">
        <v>1</v>
      </c>
      <c r="AL153" s="11" t="s">
        <v>137</v>
      </c>
      <c r="AM153" s="11" t="s">
        <v>137</v>
      </c>
    </row>
    <row r="154" spans="1:39" ht="16" x14ac:dyDescent="0.2">
      <c r="A154" s="11" t="s">
        <v>137</v>
      </c>
      <c r="B154" s="11" t="s">
        <v>137</v>
      </c>
      <c r="C154" s="11" t="s">
        <v>137</v>
      </c>
      <c r="E154" s="11" t="s">
        <v>137</v>
      </c>
      <c r="F154" s="11" t="s">
        <v>137</v>
      </c>
      <c r="G154" s="11" t="s">
        <v>137</v>
      </c>
      <c r="H154" s="11">
        <v>1</v>
      </c>
      <c r="I154" s="11">
        <v>1</v>
      </c>
      <c r="J154" s="11">
        <v>1</v>
      </c>
      <c r="K154" s="17">
        <v>1</v>
      </c>
      <c r="L154" s="17">
        <v>1</v>
      </c>
      <c r="M154" s="17">
        <v>1</v>
      </c>
      <c r="N154" s="17">
        <v>1</v>
      </c>
      <c r="O154" s="17">
        <v>1</v>
      </c>
      <c r="P154" s="17">
        <v>1</v>
      </c>
      <c r="Q154" s="17">
        <v>1</v>
      </c>
      <c r="R154" s="11">
        <v>1</v>
      </c>
      <c r="S154" s="12">
        <v>1</v>
      </c>
      <c r="T154" s="11">
        <v>1</v>
      </c>
      <c r="U154" s="11">
        <v>1</v>
      </c>
      <c r="V154" s="11">
        <v>1</v>
      </c>
      <c r="W154" s="11">
        <v>1</v>
      </c>
      <c r="X154" s="11">
        <v>1</v>
      </c>
      <c r="Y154" s="11">
        <v>1</v>
      </c>
      <c r="Z154" s="11">
        <v>1</v>
      </c>
      <c r="AA154" s="11">
        <v>1</v>
      </c>
      <c r="AB154" s="11">
        <v>1</v>
      </c>
      <c r="AC154" s="11">
        <v>1</v>
      </c>
      <c r="AD154" s="11">
        <v>1</v>
      </c>
      <c r="AF154" s="11">
        <v>1</v>
      </c>
      <c r="AG154" s="11">
        <v>1</v>
      </c>
      <c r="AH154" s="11">
        <v>1</v>
      </c>
      <c r="AI154" s="11">
        <v>1</v>
      </c>
      <c r="AJ154" s="11">
        <v>1</v>
      </c>
      <c r="AK154" s="11">
        <v>1</v>
      </c>
      <c r="AL154" s="11" t="s">
        <v>137</v>
      </c>
      <c r="AM154" s="11" t="s">
        <v>137</v>
      </c>
    </row>
    <row r="155" spans="1:39" ht="16" x14ac:dyDescent="0.2">
      <c r="A155" s="11" t="s">
        <v>137</v>
      </c>
      <c r="B155" s="11" t="s">
        <v>137</v>
      </c>
      <c r="C155" s="11" t="s">
        <v>137</v>
      </c>
      <c r="E155" s="11" t="s">
        <v>137</v>
      </c>
      <c r="F155" s="11" t="s">
        <v>137</v>
      </c>
      <c r="G155" s="11" t="s">
        <v>137</v>
      </c>
      <c r="H155" s="11">
        <v>1</v>
      </c>
      <c r="I155" s="11">
        <v>1</v>
      </c>
      <c r="J155" s="11">
        <v>1</v>
      </c>
      <c r="K155" s="17">
        <v>1</v>
      </c>
      <c r="L155" s="17">
        <v>1</v>
      </c>
      <c r="M155" s="17">
        <v>1</v>
      </c>
      <c r="N155" s="17">
        <v>1</v>
      </c>
      <c r="O155" s="17">
        <v>1</v>
      </c>
      <c r="P155" s="17">
        <v>1</v>
      </c>
      <c r="Q155" s="17">
        <v>1</v>
      </c>
      <c r="R155" s="11">
        <v>1</v>
      </c>
      <c r="S155" s="12">
        <v>1</v>
      </c>
      <c r="T155" s="11">
        <v>1</v>
      </c>
      <c r="U155" s="11">
        <v>1</v>
      </c>
      <c r="V155" s="11">
        <v>1</v>
      </c>
      <c r="W155" s="11">
        <v>1</v>
      </c>
      <c r="X155" s="11">
        <v>1</v>
      </c>
      <c r="Y155" s="11">
        <v>1</v>
      </c>
      <c r="Z155" s="11">
        <v>1</v>
      </c>
      <c r="AA155" s="11">
        <v>1</v>
      </c>
      <c r="AB155" s="11">
        <v>1</v>
      </c>
      <c r="AC155" s="11">
        <v>1</v>
      </c>
      <c r="AD155" s="11">
        <v>1</v>
      </c>
      <c r="AF155" s="11">
        <v>1</v>
      </c>
      <c r="AG155" s="11">
        <v>1</v>
      </c>
      <c r="AH155" s="11">
        <v>1</v>
      </c>
      <c r="AI155" s="11">
        <v>1</v>
      </c>
      <c r="AJ155" s="11">
        <v>1</v>
      </c>
      <c r="AK155" s="11">
        <v>1</v>
      </c>
      <c r="AL155" s="11" t="s">
        <v>137</v>
      </c>
      <c r="AM155" s="11" t="s">
        <v>137</v>
      </c>
    </row>
    <row r="156" spans="1:39" ht="16" x14ac:dyDescent="0.2">
      <c r="A156" s="11" t="s">
        <v>137</v>
      </c>
      <c r="B156" s="11" t="s">
        <v>137</v>
      </c>
      <c r="C156" s="11" t="s">
        <v>137</v>
      </c>
      <c r="E156" s="11" t="s">
        <v>137</v>
      </c>
      <c r="F156" s="11" t="s">
        <v>137</v>
      </c>
      <c r="G156" s="11" t="s">
        <v>137</v>
      </c>
      <c r="H156" s="11">
        <v>1</v>
      </c>
      <c r="I156" s="11">
        <v>1</v>
      </c>
      <c r="J156" s="11">
        <v>1</v>
      </c>
      <c r="K156" s="17">
        <v>1</v>
      </c>
      <c r="L156" s="17">
        <v>1</v>
      </c>
      <c r="M156" s="17">
        <v>1</v>
      </c>
      <c r="N156" s="17">
        <v>1</v>
      </c>
      <c r="O156" s="17">
        <v>1</v>
      </c>
      <c r="P156" s="17">
        <v>1</v>
      </c>
      <c r="Q156" s="17">
        <v>1</v>
      </c>
      <c r="R156" s="11">
        <v>1</v>
      </c>
      <c r="S156" s="12">
        <v>1</v>
      </c>
      <c r="T156" s="11">
        <v>1</v>
      </c>
      <c r="U156" s="11">
        <v>1</v>
      </c>
      <c r="V156" s="11">
        <v>1</v>
      </c>
      <c r="W156" s="11">
        <v>1</v>
      </c>
      <c r="X156" s="11">
        <v>1</v>
      </c>
      <c r="Y156" s="11">
        <v>1</v>
      </c>
      <c r="Z156" s="11">
        <v>1</v>
      </c>
      <c r="AA156" s="11">
        <v>1</v>
      </c>
      <c r="AB156" s="11">
        <v>1</v>
      </c>
      <c r="AC156" s="11">
        <v>1</v>
      </c>
      <c r="AD156" s="11">
        <v>1</v>
      </c>
      <c r="AF156" s="11">
        <v>1</v>
      </c>
      <c r="AG156" s="11">
        <v>1</v>
      </c>
      <c r="AH156" s="11">
        <v>1</v>
      </c>
      <c r="AI156" s="11">
        <v>1</v>
      </c>
      <c r="AJ156" s="11">
        <v>1</v>
      </c>
      <c r="AK156" s="11">
        <v>1</v>
      </c>
      <c r="AL156" s="11" t="s">
        <v>137</v>
      </c>
      <c r="AM156" s="11" t="s">
        <v>137</v>
      </c>
    </row>
    <row r="157" spans="1:39" ht="16" x14ac:dyDescent="0.2">
      <c r="A157" s="11" t="s">
        <v>137</v>
      </c>
      <c r="B157" s="11" t="s">
        <v>137</v>
      </c>
      <c r="C157" s="11" t="s">
        <v>137</v>
      </c>
      <c r="E157" s="11" t="s">
        <v>137</v>
      </c>
      <c r="F157" s="11" t="s">
        <v>137</v>
      </c>
      <c r="G157" s="11" t="s">
        <v>137</v>
      </c>
      <c r="H157" s="11">
        <v>1</v>
      </c>
      <c r="I157" s="11">
        <v>1</v>
      </c>
      <c r="J157" s="11">
        <v>1</v>
      </c>
      <c r="K157" s="17">
        <v>1</v>
      </c>
      <c r="L157" s="17">
        <v>1</v>
      </c>
      <c r="M157" s="17">
        <v>1</v>
      </c>
      <c r="N157" s="17">
        <v>1</v>
      </c>
      <c r="O157" s="17">
        <v>1</v>
      </c>
      <c r="P157" s="17">
        <v>1</v>
      </c>
      <c r="Q157" s="17">
        <v>1</v>
      </c>
      <c r="R157" s="11">
        <v>1</v>
      </c>
      <c r="S157" s="12">
        <v>1</v>
      </c>
      <c r="T157" s="11">
        <v>1</v>
      </c>
      <c r="U157" s="11">
        <v>1</v>
      </c>
      <c r="V157" s="11">
        <v>1</v>
      </c>
      <c r="W157" s="11">
        <v>1</v>
      </c>
      <c r="X157" s="11">
        <v>1</v>
      </c>
      <c r="Y157" s="11">
        <v>1</v>
      </c>
      <c r="Z157" s="11">
        <v>1</v>
      </c>
      <c r="AA157" s="11">
        <v>1</v>
      </c>
      <c r="AB157" s="11">
        <v>1</v>
      </c>
      <c r="AC157" s="11">
        <v>1</v>
      </c>
      <c r="AD157" s="11">
        <v>1</v>
      </c>
      <c r="AF157" s="11">
        <v>1</v>
      </c>
      <c r="AG157" s="11">
        <v>1</v>
      </c>
      <c r="AH157" s="11">
        <v>1</v>
      </c>
      <c r="AI157" s="11">
        <v>1</v>
      </c>
      <c r="AJ157" s="11">
        <v>1</v>
      </c>
      <c r="AK157" s="11">
        <v>1</v>
      </c>
      <c r="AL157" s="11" t="s">
        <v>137</v>
      </c>
      <c r="AM157" s="11" t="s">
        <v>137</v>
      </c>
    </row>
    <row r="158" spans="1:39" ht="16" x14ac:dyDescent="0.2">
      <c r="A158" s="11" t="s">
        <v>137</v>
      </c>
      <c r="B158" s="11" t="s">
        <v>137</v>
      </c>
      <c r="C158" s="11" t="s">
        <v>137</v>
      </c>
      <c r="E158" s="11" t="s">
        <v>137</v>
      </c>
      <c r="F158" s="11" t="s">
        <v>137</v>
      </c>
      <c r="G158" s="11" t="s">
        <v>137</v>
      </c>
      <c r="H158" s="11">
        <v>1</v>
      </c>
      <c r="I158" s="11">
        <v>1</v>
      </c>
      <c r="J158" s="11">
        <v>1</v>
      </c>
      <c r="K158" s="17">
        <v>1</v>
      </c>
      <c r="L158" s="17">
        <v>1</v>
      </c>
      <c r="M158" s="17">
        <v>1</v>
      </c>
      <c r="N158" s="17">
        <v>1</v>
      </c>
      <c r="O158" s="17">
        <v>1</v>
      </c>
      <c r="P158" s="17">
        <v>1</v>
      </c>
      <c r="Q158" s="17">
        <v>1</v>
      </c>
      <c r="R158" s="11">
        <v>1</v>
      </c>
      <c r="S158" s="12">
        <v>1</v>
      </c>
      <c r="T158" s="11">
        <v>1</v>
      </c>
      <c r="U158" s="11">
        <v>1</v>
      </c>
      <c r="V158" s="11">
        <v>1</v>
      </c>
      <c r="W158" s="11">
        <v>1</v>
      </c>
      <c r="X158" s="11">
        <v>1</v>
      </c>
      <c r="Y158" s="11">
        <v>1</v>
      </c>
      <c r="Z158" s="11">
        <v>1</v>
      </c>
      <c r="AA158" s="11">
        <v>1</v>
      </c>
      <c r="AB158" s="11">
        <v>1</v>
      </c>
      <c r="AC158" s="11">
        <v>1</v>
      </c>
      <c r="AD158" s="11">
        <v>1</v>
      </c>
      <c r="AF158" s="11">
        <v>1</v>
      </c>
      <c r="AG158" s="11">
        <v>1</v>
      </c>
      <c r="AH158" s="11">
        <v>1</v>
      </c>
      <c r="AI158" s="11">
        <v>1</v>
      </c>
      <c r="AJ158" s="11">
        <v>1</v>
      </c>
      <c r="AK158" s="11">
        <v>1</v>
      </c>
      <c r="AL158" s="11" t="s">
        <v>137</v>
      </c>
      <c r="AM158" s="11" t="s">
        <v>137</v>
      </c>
    </row>
    <row r="159" spans="1:39" ht="16" x14ac:dyDescent="0.2">
      <c r="A159" s="11" t="s">
        <v>137</v>
      </c>
      <c r="B159" s="11" t="s">
        <v>137</v>
      </c>
      <c r="C159" s="11" t="s">
        <v>137</v>
      </c>
      <c r="E159" s="11" t="s">
        <v>137</v>
      </c>
      <c r="F159" s="11" t="s">
        <v>137</v>
      </c>
      <c r="G159" s="11" t="s">
        <v>137</v>
      </c>
      <c r="H159" s="11">
        <v>1</v>
      </c>
      <c r="I159" s="11">
        <v>1</v>
      </c>
      <c r="J159" s="11">
        <v>1</v>
      </c>
      <c r="K159" s="17">
        <v>1</v>
      </c>
      <c r="L159" s="17">
        <v>1</v>
      </c>
      <c r="M159" s="17">
        <v>1</v>
      </c>
      <c r="N159" s="17">
        <v>1</v>
      </c>
      <c r="O159" s="17">
        <v>1</v>
      </c>
      <c r="P159" s="17">
        <v>1</v>
      </c>
      <c r="Q159" s="17">
        <v>1</v>
      </c>
      <c r="R159" s="11">
        <v>1</v>
      </c>
      <c r="S159" s="12">
        <v>1</v>
      </c>
      <c r="T159" s="11">
        <v>1</v>
      </c>
      <c r="U159" s="11">
        <v>1</v>
      </c>
      <c r="V159" s="11">
        <v>1</v>
      </c>
      <c r="W159" s="11">
        <v>1</v>
      </c>
      <c r="X159" s="11">
        <v>1</v>
      </c>
      <c r="Y159" s="11">
        <v>1</v>
      </c>
      <c r="Z159" s="11">
        <v>1</v>
      </c>
      <c r="AA159" s="11">
        <v>1</v>
      </c>
      <c r="AB159" s="11">
        <v>1</v>
      </c>
      <c r="AC159" s="11">
        <v>1</v>
      </c>
      <c r="AD159" s="11">
        <v>1</v>
      </c>
      <c r="AF159" s="11">
        <v>1</v>
      </c>
      <c r="AG159" s="11">
        <v>1</v>
      </c>
      <c r="AH159" s="11">
        <v>1</v>
      </c>
      <c r="AI159" s="11">
        <v>1</v>
      </c>
      <c r="AJ159" s="11">
        <v>1</v>
      </c>
      <c r="AK159" s="11">
        <v>1</v>
      </c>
      <c r="AL159" s="11" t="s">
        <v>137</v>
      </c>
      <c r="AM159" s="11" t="s">
        <v>137</v>
      </c>
    </row>
    <row r="160" spans="1:39" ht="16" x14ac:dyDescent="0.2">
      <c r="A160" s="11" t="s">
        <v>137</v>
      </c>
      <c r="B160" s="11" t="s">
        <v>137</v>
      </c>
      <c r="C160" s="11" t="s">
        <v>137</v>
      </c>
      <c r="E160" s="11" t="s">
        <v>137</v>
      </c>
      <c r="F160" s="11" t="s">
        <v>137</v>
      </c>
      <c r="G160" s="11" t="s">
        <v>137</v>
      </c>
      <c r="H160" s="11">
        <v>1</v>
      </c>
      <c r="I160" s="11">
        <v>1</v>
      </c>
      <c r="J160" s="11">
        <v>1</v>
      </c>
      <c r="K160" s="17">
        <v>1</v>
      </c>
      <c r="L160" s="17">
        <v>1</v>
      </c>
      <c r="M160" s="17">
        <v>1</v>
      </c>
      <c r="N160" s="17">
        <v>1</v>
      </c>
      <c r="O160" s="17">
        <v>1</v>
      </c>
      <c r="P160" s="17">
        <v>1</v>
      </c>
      <c r="Q160" s="17">
        <v>1</v>
      </c>
      <c r="R160" s="11">
        <v>1</v>
      </c>
      <c r="S160" s="12">
        <v>1</v>
      </c>
      <c r="T160" s="11">
        <v>1</v>
      </c>
      <c r="U160" s="11">
        <v>1</v>
      </c>
      <c r="V160" s="11">
        <v>1</v>
      </c>
      <c r="W160" s="11">
        <v>1</v>
      </c>
      <c r="X160" s="11">
        <v>1</v>
      </c>
      <c r="Y160" s="11">
        <v>1</v>
      </c>
      <c r="Z160" s="11">
        <v>1</v>
      </c>
      <c r="AA160" s="11">
        <v>1</v>
      </c>
      <c r="AB160" s="11">
        <v>1</v>
      </c>
      <c r="AC160" s="11">
        <v>1</v>
      </c>
      <c r="AD160" s="11">
        <v>1</v>
      </c>
      <c r="AF160" s="11">
        <v>1</v>
      </c>
      <c r="AG160" s="11">
        <v>1</v>
      </c>
      <c r="AH160" s="11">
        <v>1</v>
      </c>
      <c r="AI160" s="11">
        <v>1</v>
      </c>
      <c r="AJ160" s="11">
        <v>1</v>
      </c>
      <c r="AK160" s="11">
        <v>1</v>
      </c>
      <c r="AL160" s="11" t="s">
        <v>137</v>
      </c>
      <c r="AM160" s="11" t="s">
        <v>137</v>
      </c>
    </row>
    <row r="161" spans="1:39" ht="16" x14ac:dyDescent="0.2">
      <c r="A161" s="11" t="s">
        <v>137</v>
      </c>
      <c r="B161" s="11" t="s">
        <v>137</v>
      </c>
      <c r="C161" s="11" t="s">
        <v>137</v>
      </c>
      <c r="E161" s="11" t="s">
        <v>137</v>
      </c>
      <c r="F161" s="11" t="s">
        <v>137</v>
      </c>
      <c r="G161" s="11" t="s">
        <v>137</v>
      </c>
      <c r="H161" s="11">
        <v>1</v>
      </c>
      <c r="I161" s="11">
        <v>1</v>
      </c>
      <c r="J161" s="11">
        <v>1</v>
      </c>
      <c r="K161" s="17">
        <v>1</v>
      </c>
      <c r="L161" s="17">
        <v>1</v>
      </c>
      <c r="M161" s="17">
        <v>1</v>
      </c>
      <c r="N161" s="17">
        <v>1</v>
      </c>
      <c r="O161" s="17">
        <v>1</v>
      </c>
      <c r="P161" s="17">
        <v>1</v>
      </c>
      <c r="Q161" s="17">
        <v>1</v>
      </c>
      <c r="R161" s="11">
        <v>1</v>
      </c>
      <c r="S161" s="12">
        <v>1</v>
      </c>
      <c r="T161" s="11">
        <v>1</v>
      </c>
      <c r="U161" s="11">
        <v>1</v>
      </c>
      <c r="V161" s="11">
        <v>1</v>
      </c>
      <c r="W161" s="11">
        <v>1</v>
      </c>
      <c r="X161" s="11">
        <v>1</v>
      </c>
      <c r="Y161" s="11">
        <v>1</v>
      </c>
      <c r="Z161" s="11">
        <v>1</v>
      </c>
      <c r="AA161" s="11">
        <v>1</v>
      </c>
      <c r="AB161" s="11">
        <v>1</v>
      </c>
      <c r="AC161" s="11">
        <v>1</v>
      </c>
      <c r="AD161" s="11">
        <v>1</v>
      </c>
      <c r="AF161" s="11">
        <v>1</v>
      </c>
      <c r="AG161" s="11">
        <v>1</v>
      </c>
      <c r="AH161" s="11">
        <v>1</v>
      </c>
      <c r="AI161" s="11">
        <v>1</v>
      </c>
      <c r="AJ161" s="11">
        <v>1</v>
      </c>
      <c r="AK161" s="11">
        <v>1</v>
      </c>
      <c r="AL161" s="11" t="s">
        <v>137</v>
      </c>
      <c r="AM161" s="11" t="s">
        <v>137</v>
      </c>
    </row>
    <row r="162" spans="1:39" ht="16" x14ac:dyDescent="0.2">
      <c r="A162" s="11" t="s">
        <v>137</v>
      </c>
      <c r="B162" s="11" t="s">
        <v>137</v>
      </c>
      <c r="C162" s="11" t="s">
        <v>137</v>
      </c>
      <c r="E162" s="11" t="s">
        <v>137</v>
      </c>
      <c r="F162" s="11" t="s">
        <v>137</v>
      </c>
      <c r="G162" s="11" t="s">
        <v>137</v>
      </c>
      <c r="H162" s="11">
        <v>1</v>
      </c>
      <c r="I162" s="11">
        <v>1</v>
      </c>
      <c r="J162" s="11">
        <v>1</v>
      </c>
      <c r="K162" s="17">
        <v>1</v>
      </c>
      <c r="L162" s="17">
        <v>1</v>
      </c>
      <c r="M162" s="17">
        <v>1</v>
      </c>
      <c r="N162" s="17">
        <v>1</v>
      </c>
      <c r="O162" s="17">
        <v>1</v>
      </c>
      <c r="P162" s="17">
        <v>1</v>
      </c>
      <c r="Q162" s="17">
        <v>1</v>
      </c>
      <c r="R162" s="11">
        <v>1</v>
      </c>
      <c r="S162" s="12">
        <v>1</v>
      </c>
      <c r="T162" s="11">
        <v>1</v>
      </c>
      <c r="U162" s="11">
        <v>1</v>
      </c>
      <c r="V162" s="11">
        <v>1</v>
      </c>
      <c r="W162" s="11">
        <v>1</v>
      </c>
      <c r="X162" s="11">
        <v>1</v>
      </c>
      <c r="Y162" s="11">
        <v>1</v>
      </c>
      <c r="Z162" s="11">
        <v>1</v>
      </c>
      <c r="AA162" s="11">
        <v>1</v>
      </c>
      <c r="AB162" s="11">
        <v>1</v>
      </c>
      <c r="AC162" s="11">
        <v>1</v>
      </c>
      <c r="AD162" s="11">
        <v>1</v>
      </c>
      <c r="AF162" s="11">
        <v>1</v>
      </c>
      <c r="AG162" s="11">
        <v>1</v>
      </c>
      <c r="AH162" s="11">
        <v>1</v>
      </c>
      <c r="AI162" s="11">
        <v>1</v>
      </c>
      <c r="AJ162" s="11">
        <v>1</v>
      </c>
      <c r="AK162" s="11">
        <v>1</v>
      </c>
      <c r="AL162" s="11" t="s">
        <v>137</v>
      </c>
      <c r="AM162" s="11" t="s">
        <v>137</v>
      </c>
    </row>
    <row r="163" spans="1:39" ht="16" x14ac:dyDescent="0.2">
      <c r="A163" s="11" t="s">
        <v>137</v>
      </c>
      <c r="B163" s="11" t="s">
        <v>137</v>
      </c>
      <c r="C163" s="11" t="s">
        <v>137</v>
      </c>
      <c r="E163" s="11" t="s">
        <v>137</v>
      </c>
      <c r="F163" s="11" t="s">
        <v>137</v>
      </c>
      <c r="G163" s="11" t="s">
        <v>137</v>
      </c>
      <c r="H163" s="11">
        <v>1</v>
      </c>
      <c r="I163" s="11">
        <v>1</v>
      </c>
      <c r="J163" s="11">
        <v>1</v>
      </c>
      <c r="K163" s="17">
        <v>1</v>
      </c>
      <c r="L163" s="17">
        <v>1</v>
      </c>
      <c r="M163" s="17">
        <v>1</v>
      </c>
      <c r="N163" s="17">
        <v>1</v>
      </c>
      <c r="O163" s="17">
        <v>1</v>
      </c>
      <c r="P163" s="17">
        <v>1</v>
      </c>
      <c r="Q163" s="17">
        <v>1</v>
      </c>
      <c r="R163" s="11">
        <v>1</v>
      </c>
      <c r="S163" s="12">
        <v>1</v>
      </c>
      <c r="T163" s="11">
        <v>1</v>
      </c>
      <c r="U163" s="11">
        <v>1</v>
      </c>
      <c r="V163" s="11">
        <v>1</v>
      </c>
      <c r="W163" s="11">
        <v>1</v>
      </c>
      <c r="X163" s="11">
        <v>1</v>
      </c>
      <c r="Y163" s="11">
        <v>1</v>
      </c>
      <c r="Z163" s="11">
        <v>1</v>
      </c>
      <c r="AA163" s="11">
        <v>1</v>
      </c>
      <c r="AB163" s="11">
        <v>1</v>
      </c>
      <c r="AC163" s="11">
        <v>1</v>
      </c>
      <c r="AD163" s="11">
        <v>1</v>
      </c>
      <c r="AF163" s="11">
        <v>1</v>
      </c>
      <c r="AG163" s="11">
        <v>1</v>
      </c>
      <c r="AH163" s="11">
        <v>1</v>
      </c>
      <c r="AI163" s="11">
        <v>1</v>
      </c>
      <c r="AJ163" s="11">
        <v>1</v>
      </c>
      <c r="AK163" s="11">
        <v>1</v>
      </c>
      <c r="AL163" s="11" t="s">
        <v>137</v>
      </c>
      <c r="AM163" s="11" t="s">
        <v>137</v>
      </c>
    </row>
    <row r="164" spans="1:39" ht="16" x14ac:dyDescent="0.2">
      <c r="A164" s="11" t="s">
        <v>137</v>
      </c>
      <c r="B164" s="11" t="s">
        <v>137</v>
      </c>
      <c r="C164" s="11" t="s">
        <v>137</v>
      </c>
      <c r="E164" s="11" t="s">
        <v>137</v>
      </c>
      <c r="F164" s="11" t="s">
        <v>137</v>
      </c>
      <c r="G164" s="11" t="s">
        <v>137</v>
      </c>
      <c r="H164" s="11">
        <v>1</v>
      </c>
      <c r="I164" s="11">
        <v>1</v>
      </c>
      <c r="J164" s="11">
        <v>1</v>
      </c>
      <c r="K164" s="17">
        <v>1</v>
      </c>
      <c r="L164" s="17">
        <v>1</v>
      </c>
      <c r="M164" s="17">
        <v>1</v>
      </c>
      <c r="N164" s="17">
        <v>1</v>
      </c>
      <c r="O164" s="17">
        <v>1</v>
      </c>
      <c r="P164" s="17">
        <v>1</v>
      </c>
      <c r="Q164" s="17">
        <v>1</v>
      </c>
      <c r="R164" s="11">
        <v>1</v>
      </c>
      <c r="S164" s="12">
        <v>1</v>
      </c>
      <c r="T164" s="11">
        <v>1</v>
      </c>
      <c r="U164" s="11">
        <v>1</v>
      </c>
      <c r="V164" s="11">
        <v>1</v>
      </c>
      <c r="W164" s="11">
        <v>1</v>
      </c>
      <c r="X164" s="11">
        <v>1</v>
      </c>
      <c r="Y164" s="11">
        <v>1</v>
      </c>
      <c r="Z164" s="11">
        <v>1</v>
      </c>
      <c r="AA164" s="11">
        <v>1</v>
      </c>
      <c r="AB164" s="11">
        <v>1</v>
      </c>
      <c r="AC164" s="11">
        <v>1</v>
      </c>
      <c r="AD164" s="11">
        <v>1</v>
      </c>
      <c r="AF164" s="11">
        <v>1</v>
      </c>
      <c r="AG164" s="11">
        <v>1</v>
      </c>
      <c r="AH164" s="11">
        <v>1</v>
      </c>
      <c r="AI164" s="11">
        <v>1</v>
      </c>
      <c r="AJ164" s="11">
        <v>1</v>
      </c>
      <c r="AK164" s="11">
        <v>1</v>
      </c>
      <c r="AL164" s="11" t="s">
        <v>137</v>
      </c>
      <c r="AM164" s="11" t="s">
        <v>137</v>
      </c>
    </row>
    <row r="165" spans="1:39" ht="16" x14ac:dyDescent="0.2">
      <c r="A165" s="11">
        <v>1</v>
      </c>
      <c r="B165" s="11">
        <v>1</v>
      </c>
      <c r="C165" s="11">
        <v>1</v>
      </c>
      <c r="E165" s="11">
        <v>1</v>
      </c>
      <c r="F165" s="11">
        <v>1</v>
      </c>
      <c r="G165" s="11">
        <v>1</v>
      </c>
      <c r="H165" s="11">
        <v>1</v>
      </c>
      <c r="I165" s="11">
        <v>1</v>
      </c>
      <c r="J165" s="11">
        <v>1</v>
      </c>
      <c r="K165" s="17">
        <v>1</v>
      </c>
      <c r="L165" s="17">
        <v>1</v>
      </c>
      <c r="M165" s="17">
        <v>1</v>
      </c>
      <c r="N165" s="17">
        <v>1</v>
      </c>
      <c r="O165" s="17">
        <v>1</v>
      </c>
      <c r="P165" s="17">
        <v>1</v>
      </c>
      <c r="Q165" s="17">
        <v>1</v>
      </c>
      <c r="R165" s="11">
        <v>1</v>
      </c>
      <c r="S165" s="12">
        <v>1</v>
      </c>
      <c r="T165" s="11">
        <v>1</v>
      </c>
      <c r="U165" s="11">
        <v>1</v>
      </c>
      <c r="V165" s="11">
        <v>1</v>
      </c>
      <c r="W165" s="11">
        <v>1</v>
      </c>
      <c r="X165" s="11">
        <v>1</v>
      </c>
      <c r="Y165" s="11">
        <v>1</v>
      </c>
      <c r="Z165" s="11">
        <v>1</v>
      </c>
      <c r="AA165" s="11">
        <v>1</v>
      </c>
      <c r="AB165" s="11">
        <v>1</v>
      </c>
      <c r="AC165" s="11">
        <v>1</v>
      </c>
      <c r="AD165" s="11">
        <v>1</v>
      </c>
      <c r="AF165" s="11">
        <v>1</v>
      </c>
      <c r="AG165" s="11">
        <v>1</v>
      </c>
      <c r="AH165" s="11">
        <v>1</v>
      </c>
      <c r="AI165" s="11">
        <v>1</v>
      </c>
      <c r="AJ165" s="11">
        <v>1</v>
      </c>
      <c r="AK165" s="11">
        <v>1</v>
      </c>
      <c r="AL165" s="11" t="s">
        <v>137</v>
      </c>
      <c r="AM165" s="11" t="s">
        <v>137</v>
      </c>
    </row>
    <row r="166" spans="1:39" ht="16" x14ac:dyDescent="0.2">
      <c r="A166" s="11" t="s">
        <v>137</v>
      </c>
      <c r="B166" s="11" t="s">
        <v>137</v>
      </c>
      <c r="C166" s="11" t="s">
        <v>137</v>
      </c>
      <c r="E166" s="11" t="s">
        <v>137</v>
      </c>
      <c r="F166" s="11" t="s">
        <v>137</v>
      </c>
      <c r="G166" s="11" t="s">
        <v>137</v>
      </c>
      <c r="H166" s="11">
        <v>1</v>
      </c>
      <c r="I166" s="11">
        <v>1</v>
      </c>
      <c r="J166" s="11">
        <v>1</v>
      </c>
      <c r="K166" s="17">
        <v>1</v>
      </c>
      <c r="L166" s="17">
        <v>1</v>
      </c>
      <c r="M166" s="17">
        <v>1</v>
      </c>
      <c r="N166" s="17">
        <v>1</v>
      </c>
      <c r="O166" s="17">
        <v>1</v>
      </c>
      <c r="P166" s="17">
        <v>1</v>
      </c>
      <c r="Q166" s="17">
        <v>1</v>
      </c>
      <c r="R166" s="11">
        <v>1</v>
      </c>
      <c r="S166" s="12">
        <v>1</v>
      </c>
      <c r="T166" s="11">
        <v>1</v>
      </c>
      <c r="U166" s="11">
        <v>1</v>
      </c>
      <c r="V166" s="11">
        <v>1</v>
      </c>
      <c r="W166" s="11">
        <v>1</v>
      </c>
      <c r="X166" s="11">
        <v>1</v>
      </c>
      <c r="Y166" s="11">
        <v>1</v>
      </c>
      <c r="Z166" s="11">
        <v>1</v>
      </c>
      <c r="AA166" s="11">
        <v>1</v>
      </c>
      <c r="AB166" s="11">
        <v>1</v>
      </c>
      <c r="AC166" s="11">
        <v>1</v>
      </c>
      <c r="AD166" s="11">
        <v>1</v>
      </c>
      <c r="AF166" s="11">
        <v>1</v>
      </c>
      <c r="AG166" s="11">
        <v>1</v>
      </c>
      <c r="AH166" s="11">
        <v>1</v>
      </c>
      <c r="AI166" s="11">
        <v>1</v>
      </c>
      <c r="AJ166" s="11">
        <v>1</v>
      </c>
      <c r="AK166" s="11">
        <v>1</v>
      </c>
      <c r="AL166" s="11" t="s">
        <v>137</v>
      </c>
      <c r="AM166" s="11" t="s">
        <v>137</v>
      </c>
    </row>
    <row r="167" spans="1:39" ht="16" x14ac:dyDescent="0.2">
      <c r="A167" s="11">
        <v>1</v>
      </c>
      <c r="B167" s="11">
        <v>1</v>
      </c>
      <c r="C167" s="11">
        <v>1</v>
      </c>
      <c r="E167" s="11">
        <v>1</v>
      </c>
      <c r="F167" s="11">
        <v>1</v>
      </c>
      <c r="G167" s="11">
        <v>1</v>
      </c>
      <c r="H167" s="11">
        <v>1</v>
      </c>
      <c r="I167" s="11">
        <v>1</v>
      </c>
      <c r="J167" s="11">
        <v>1</v>
      </c>
      <c r="K167" s="17">
        <v>1</v>
      </c>
      <c r="L167" s="17">
        <v>1</v>
      </c>
      <c r="M167" s="17">
        <v>1</v>
      </c>
      <c r="N167" s="17">
        <v>1</v>
      </c>
      <c r="O167" s="17">
        <v>1</v>
      </c>
      <c r="P167" s="17">
        <v>1</v>
      </c>
      <c r="Q167" s="17">
        <v>1</v>
      </c>
      <c r="R167" s="11">
        <v>1</v>
      </c>
      <c r="S167" s="12">
        <v>1</v>
      </c>
      <c r="T167" s="11">
        <v>1</v>
      </c>
      <c r="U167" s="11">
        <v>1</v>
      </c>
      <c r="V167" s="11">
        <v>1</v>
      </c>
      <c r="W167" s="11">
        <v>1</v>
      </c>
      <c r="X167" s="11">
        <v>1</v>
      </c>
      <c r="Y167" s="11">
        <v>1</v>
      </c>
      <c r="Z167" s="11">
        <v>1</v>
      </c>
      <c r="AA167" s="11">
        <v>1</v>
      </c>
      <c r="AB167" s="11">
        <v>1</v>
      </c>
      <c r="AC167" s="11">
        <v>1</v>
      </c>
      <c r="AD167" s="11">
        <v>1</v>
      </c>
      <c r="AF167" s="11">
        <v>1</v>
      </c>
      <c r="AG167" s="11">
        <v>1</v>
      </c>
      <c r="AH167" s="11">
        <v>1</v>
      </c>
      <c r="AI167" s="11">
        <v>1</v>
      </c>
      <c r="AJ167" s="11">
        <v>1</v>
      </c>
      <c r="AK167" s="11">
        <v>1</v>
      </c>
      <c r="AL167" s="11" t="s">
        <v>137</v>
      </c>
      <c r="AM167" s="11" t="s">
        <v>137</v>
      </c>
    </row>
    <row r="168" spans="1:39" ht="16" x14ac:dyDescent="0.2">
      <c r="A168" s="11" t="s">
        <v>137</v>
      </c>
      <c r="B168" s="11" t="s">
        <v>137</v>
      </c>
      <c r="C168" s="11" t="s">
        <v>137</v>
      </c>
      <c r="E168" s="11" t="s">
        <v>137</v>
      </c>
      <c r="F168" s="11" t="s">
        <v>137</v>
      </c>
      <c r="G168" s="11" t="s">
        <v>137</v>
      </c>
      <c r="H168" s="11" t="s">
        <v>137</v>
      </c>
      <c r="I168" s="11" t="s">
        <v>137</v>
      </c>
      <c r="J168" s="11" t="s">
        <v>137</v>
      </c>
      <c r="K168" s="17" t="s">
        <v>137</v>
      </c>
      <c r="L168" s="17" t="s">
        <v>137</v>
      </c>
      <c r="M168" s="17" t="s">
        <v>137</v>
      </c>
      <c r="N168" s="17" t="s">
        <v>137</v>
      </c>
      <c r="O168" s="17" t="s">
        <v>137</v>
      </c>
      <c r="P168" s="17" t="s">
        <v>137</v>
      </c>
      <c r="Q168" s="17" t="s">
        <v>137</v>
      </c>
      <c r="R168" s="11" t="s">
        <v>137</v>
      </c>
      <c r="S168" s="12" t="s">
        <v>137</v>
      </c>
      <c r="T168" s="11" t="s">
        <v>137</v>
      </c>
      <c r="U168" s="11" t="s">
        <v>137</v>
      </c>
      <c r="V168" s="11" t="s">
        <v>137</v>
      </c>
      <c r="W168" s="11" t="s">
        <v>137</v>
      </c>
      <c r="X168" s="11" t="s">
        <v>137</v>
      </c>
      <c r="Y168" s="11" t="s">
        <v>137</v>
      </c>
      <c r="Z168" s="11" t="s">
        <v>137</v>
      </c>
      <c r="AA168" s="11" t="s">
        <v>137</v>
      </c>
      <c r="AB168" s="11">
        <v>1</v>
      </c>
      <c r="AC168" s="11">
        <v>1</v>
      </c>
      <c r="AD168" s="11">
        <v>1</v>
      </c>
      <c r="AF168" s="11">
        <v>1</v>
      </c>
      <c r="AG168" s="11">
        <v>1</v>
      </c>
      <c r="AH168" s="11">
        <v>1</v>
      </c>
      <c r="AI168" s="11">
        <v>1</v>
      </c>
      <c r="AJ168" s="11">
        <v>1</v>
      </c>
      <c r="AK168" s="11">
        <v>1</v>
      </c>
      <c r="AL168" s="11" t="s">
        <v>137</v>
      </c>
      <c r="AM168" s="11" t="s">
        <v>137</v>
      </c>
    </row>
    <row r="169" spans="1:39" ht="16" x14ac:dyDescent="0.2">
      <c r="A169" s="11" t="s">
        <v>137</v>
      </c>
      <c r="B169" s="11" t="s">
        <v>137</v>
      </c>
      <c r="C169" s="11" t="s">
        <v>137</v>
      </c>
      <c r="E169" s="11" t="s">
        <v>137</v>
      </c>
      <c r="F169" s="11" t="s">
        <v>137</v>
      </c>
      <c r="G169" s="11" t="s">
        <v>137</v>
      </c>
      <c r="H169" s="11" t="s">
        <v>137</v>
      </c>
      <c r="I169" s="11" t="s">
        <v>137</v>
      </c>
      <c r="J169" s="11" t="s">
        <v>137</v>
      </c>
      <c r="K169" s="17" t="s">
        <v>137</v>
      </c>
      <c r="L169" s="17" t="s">
        <v>137</v>
      </c>
      <c r="M169" s="17" t="s">
        <v>137</v>
      </c>
      <c r="N169" s="17" t="s">
        <v>137</v>
      </c>
      <c r="O169" s="17" t="s">
        <v>137</v>
      </c>
      <c r="P169" s="17" t="s">
        <v>137</v>
      </c>
      <c r="Q169" s="17" t="s">
        <v>137</v>
      </c>
      <c r="R169" s="11" t="s">
        <v>137</v>
      </c>
      <c r="S169" s="12" t="s">
        <v>137</v>
      </c>
      <c r="T169" s="11" t="s">
        <v>137</v>
      </c>
      <c r="U169" s="11" t="s">
        <v>137</v>
      </c>
      <c r="V169" s="11" t="s">
        <v>137</v>
      </c>
      <c r="W169" s="11" t="s">
        <v>137</v>
      </c>
      <c r="X169" s="11" t="s">
        <v>137</v>
      </c>
      <c r="Y169" s="11" t="s">
        <v>137</v>
      </c>
      <c r="Z169" s="11" t="s">
        <v>137</v>
      </c>
      <c r="AA169" s="11" t="s">
        <v>137</v>
      </c>
      <c r="AB169" s="11">
        <v>1</v>
      </c>
      <c r="AC169" s="11">
        <v>1</v>
      </c>
      <c r="AD169" s="11">
        <v>1</v>
      </c>
      <c r="AF169" s="11">
        <v>1</v>
      </c>
      <c r="AG169" s="11">
        <v>1</v>
      </c>
      <c r="AH169" s="11">
        <v>1</v>
      </c>
      <c r="AI169" s="11">
        <v>1</v>
      </c>
      <c r="AJ169" s="11">
        <v>1</v>
      </c>
      <c r="AK169" s="11">
        <v>1</v>
      </c>
      <c r="AL169" s="11" t="s">
        <v>137</v>
      </c>
      <c r="AM169" s="11" t="s">
        <v>137</v>
      </c>
    </row>
    <row r="170" spans="1:39" ht="16" x14ac:dyDescent="0.2">
      <c r="A170" s="11" t="s">
        <v>137</v>
      </c>
      <c r="B170" s="11" t="s">
        <v>137</v>
      </c>
      <c r="C170" s="11" t="s">
        <v>137</v>
      </c>
      <c r="E170" s="11" t="s">
        <v>137</v>
      </c>
      <c r="F170" s="11" t="s">
        <v>137</v>
      </c>
      <c r="G170" s="11" t="s">
        <v>137</v>
      </c>
      <c r="H170" s="11" t="s">
        <v>137</v>
      </c>
      <c r="I170" s="11" t="s">
        <v>137</v>
      </c>
      <c r="J170" s="11" t="s">
        <v>137</v>
      </c>
      <c r="K170" s="17" t="s">
        <v>137</v>
      </c>
      <c r="L170" s="17" t="s">
        <v>137</v>
      </c>
      <c r="M170" s="17" t="s">
        <v>137</v>
      </c>
      <c r="N170" s="17" t="s">
        <v>137</v>
      </c>
      <c r="O170" s="17" t="s">
        <v>137</v>
      </c>
      <c r="P170" s="17" t="s">
        <v>137</v>
      </c>
      <c r="Q170" s="17" t="s">
        <v>137</v>
      </c>
      <c r="R170" s="11" t="s">
        <v>137</v>
      </c>
      <c r="S170" s="12" t="s">
        <v>137</v>
      </c>
      <c r="T170" s="11" t="s">
        <v>137</v>
      </c>
      <c r="U170" s="11" t="s">
        <v>137</v>
      </c>
      <c r="V170" s="11" t="s">
        <v>137</v>
      </c>
      <c r="W170" s="11" t="s">
        <v>137</v>
      </c>
      <c r="X170" s="11" t="s">
        <v>137</v>
      </c>
      <c r="Y170" s="11" t="s">
        <v>137</v>
      </c>
      <c r="Z170" s="11" t="s">
        <v>137</v>
      </c>
      <c r="AA170" s="11" t="s">
        <v>137</v>
      </c>
      <c r="AB170" s="11">
        <v>1</v>
      </c>
      <c r="AC170" s="11">
        <v>1</v>
      </c>
      <c r="AD170" s="11">
        <v>1</v>
      </c>
      <c r="AF170" s="11">
        <v>1</v>
      </c>
      <c r="AG170" s="11">
        <v>1</v>
      </c>
      <c r="AH170" s="11">
        <v>1</v>
      </c>
      <c r="AI170" s="11">
        <v>1</v>
      </c>
      <c r="AJ170" s="11">
        <v>1</v>
      </c>
      <c r="AK170" s="11">
        <v>1</v>
      </c>
      <c r="AL170" s="11" t="s">
        <v>137</v>
      </c>
      <c r="AM170" s="11" t="s">
        <v>137</v>
      </c>
    </row>
    <row r="171" spans="1:39" ht="16" x14ac:dyDescent="0.2">
      <c r="A171" s="11" t="s">
        <v>137</v>
      </c>
      <c r="B171" s="11" t="s">
        <v>137</v>
      </c>
      <c r="C171" s="11" t="s">
        <v>137</v>
      </c>
      <c r="E171" s="11" t="s">
        <v>137</v>
      </c>
      <c r="F171" s="11" t="s">
        <v>137</v>
      </c>
      <c r="G171" s="11" t="s">
        <v>137</v>
      </c>
      <c r="H171" s="11" t="s">
        <v>137</v>
      </c>
      <c r="I171" s="11" t="s">
        <v>137</v>
      </c>
      <c r="J171" s="11" t="s">
        <v>137</v>
      </c>
      <c r="K171" s="17" t="s">
        <v>137</v>
      </c>
      <c r="L171" s="17" t="s">
        <v>137</v>
      </c>
      <c r="M171" s="17" t="s">
        <v>137</v>
      </c>
      <c r="N171" s="17" t="s">
        <v>137</v>
      </c>
      <c r="O171" s="17" t="s">
        <v>137</v>
      </c>
      <c r="P171" s="17" t="s">
        <v>137</v>
      </c>
      <c r="Q171" s="17" t="s">
        <v>137</v>
      </c>
      <c r="R171" s="11" t="s">
        <v>137</v>
      </c>
      <c r="S171" s="12" t="s">
        <v>137</v>
      </c>
      <c r="T171" s="11" t="s">
        <v>137</v>
      </c>
      <c r="U171" s="11" t="s">
        <v>137</v>
      </c>
      <c r="V171" s="11" t="s">
        <v>137</v>
      </c>
      <c r="W171" s="11" t="s">
        <v>137</v>
      </c>
      <c r="X171" s="11" t="s">
        <v>137</v>
      </c>
      <c r="Y171" s="11" t="s">
        <v>137</v>
      </c>
      <c r="Z171" s="11" t="s">
        <v>137</v>
      </c>
      <c r="AA171" s="11" t="s">
        <v>137</v>
      </c>
      <c r="AB171" s="11">
        <v>1</v>
      </c>
      <c r="AC171" s="11">
        <v>1</v>
      </c>
      <c r="AD171" s="11">
        <v>1</v>
      </c>
      <c r="AF171" s="11">
        <v>1</v>
      </c>
      <c r="AG171" s="11">
        <v>1</v>
      </c>
      <c r="AH171" s="11">
        <v>1</v>
      </c>
      <c r="AI171" s="11">
        <v>1</v>
      </c>
      <c r="AJ171" s="11">
        <v>1</v>
      </c>
      <c r="AK171" s="11">
        <v>1</v>
      </c>
      <c r="AL171" s="11" t="s">
        <v>137</v>
      </c>
      <c r="AM171" s="11" t="s">
        <v>137</v>
      </c>
    </row>
    <row r="172" spans="1:39" ht="16" x14ac:dyDescent="0.2">
      <c r="A172" s="11" t="s">
        <v>137</v>
      </c>
      <c r="B172" s="11" t="s">
        <v>137</v>
      </c>
      <c r="C172" s="11" t="s">
        <v>137</v>
      </c>
      <c r="E172" s="11" t="s">
        <v>137</v>
      </c>
      <c r="F172" s="11" t="s">
        <v>137</v>
      </c>
      <c r="G172" s="11" t="s">
        <v>137</v>
      </c>
      <c r="H172" s="11">
        <v>1</v>
      </c>
      <c r="I172" s="11">
        <v>1</v>
      </c>
      <c r="J172" s="11">
        <v>1</v>
      </c>
      <c r="K172" s="17">
        <v>1</v>
      </c>
      <c r="L172" s="17">
        <v>1</v>
      </c>
      <c r="M172" s="17">
        <v>1</v>
      </c>
      <c r="N172" s="17">
        <v>1</v>
      </c>
      <c r="O172" s="17">
        <v>1</v>
      </c>
      <c r="P172" s="17">
        <v>1</v>
      </c>
      <c r="Q172" s="17">
        <v>1</v>
      </c>
      <c r="R172" s="11">
        <v>1</v>
      </c>
      <c r="S172" s="12">
        <v>1</v>
      </c>
      <c r="T172" s="11">
        <v>1</v>
      </c>
      <c r="U172" s="11">
        <v>1</v>
      </c>
      <c r="V172" s="11">
        <v>1</v>
      </c>
      <c r="W172" s="11">
        <v>1</v>
      </c>
      <c r="X172" s="11">
        <v>1</v>
      </c>
      <c r="Y172" s="11">
        <v>1</v>
      </c>
      <c r="Z172" s="11">
        <v>1</v>
      </c>
      <c r="AA172" s="11">
        <v>1</v>
      </c>
      <c r="AB172" s="11">
        <v>1</v>
      </c>
      <c r="AC172" s="11">
        <v>1</v>
      </c>
      <c r="AD172" s="11">
        <v>1</v>
      </c>
      <c r="AF172" s="11">
        <v>1</v>
      </c>
      <c r="AG172" s="11">
        <v>1</v>
      </c>
      <c r="AH172" s="11">
        <v>1</v>
      </c>
      <c r="AI172" s="11">
        <v>1</v>
      </c>
      <c r="AJ172" s="11">
        <v>1</v>
      </c>
      <c r="AK172" s="11">
        <v>1</v>
      </c>
      <c r="AL172" s="11" t="s">
        <v>137</v>
      </c>
      <c r="AM172" s="11" t="s">
        <v>137</v>
      </c>
    </row>
    <row r="173" spans="1:39" ht="16" x14ac:dyDescent="0.2">
      <c r="A173" s="11" t="s">
        <v>137</v>
      </c>
      <c r="B173" s="11" t="s">
        <v>137</v>
      </c>
      <c r="C173" s="11" t="s">
        <v>137</v>
      </c>
      <c r="E173" s="11" t="s">
        <v>137</v>
      </c>
      <c r="F173" s="11" t="s">
        <v>137</v>
      </c>
      <c r="G173" s="11" t="s">
        <v>137</v>
      </c>
      <c r="H173" s="11" t="s">
        <v>137</v>
      </c>
      <c r="I173" s="11" t="s">
        <v>137</v>
      </c>
      <c r="J173" s="11" t="s">
        <v>137</v>
      </c>
      <c r="K173" s="17" t="s">
        <v>137</v>
      </c>
      <c r="L173" s="17" t="s">
        <v>137</v>
      </c>
      <c r="M173" s="17" t="s">
        <v>137</v>
      </c>
      <c r="N173" s="17" t="s">
        <v>137</v>
      </c>
      <c r="O173" s="17" t="s">
        <v>137</v>
      </c>
      <c r="P173" s="17" t="s">
        <v>137</v>
      </c>
      <c r="Q173" s="17" t="s">
        <v>137</v>
      </c>
      <c r="R173" s="11" t="s">
        <v>137</v>
      </c>
      <c r="S173" s="12" t="s">
        <v>137</v>
      </c>
      <c r="T173" s="11" t="s">
        <v>137</v>
      </c>
      <c r="U173" s="11" t="s">
        <v>137</v>
      </c>
      <c r="V173" s="11" t="s">
        <v>137</v>
      </c>
      <c r="W173" s="11" t="s">
        <v>137</v>
      </c>
      <c r="X173" s="11" t="s">
        <v>137</v>
      </c>
      <c r="Y173" s="11" t="s">
        <v>137</v>
      </c>
      <c r="Z173" s="11" t="s">
        <v>137</v>
      </c>
      <c r="AA173" s="11" t="s">
        <v>137</v>
      </c>
      <c r="AB173" s="11">
        <v>1</v>
      </c>
      <c r="AC173" s="11">
        <v>1</v>
      </c>
      <c r="AD173" s="11">
        <v>1</v>
      </c>
      <c r="AF173" s="11">
        <v>1</v>
      </c>
      <c r="AG173" s="11">
        <v>1</v>
      </c>
      <c r="AH173" s="11">
        <v>1</v>
      </c>
      <c r="AI173" s="11">
        <v>1</v>
      </c>
      <c r="AJ173" s="11">
        <v>1</v>
      </c>
      <c r="AK173" s="11">
        <v>1</v>
      </c>
      <c r="AL173" s="11" t="s">
        <v>137</v>
      </c>
      <c r="AM173" s="11" t="s">
        <v>137</v>
      </c>
    </row>
    <row r="174" spans="1:39" ht="16" x14ac:dyDescent="0.2">
      <c r="A174" s="11" t="s">
        <v>137</v>
      </c>
      <c r="B174" s="11" t="s">
        <v>137</v>
      </c>
      <c r="C174" s="11" t="s">
        <v>137</v>
      </c>
      <c r="E174" s="11" t="s">
        <v>137</v>
      </c>
      <c r="F174" s="11" t="s">
        <v>137</v>
      </c>
      <c r="G174" s="11" t="s">
        <v>137</v>
      </c>
      <c r="H174" s="11" t="s">
        <v>137</v>
      </c>
      <c r="I174" s="11" t="s">
        <v>137</v>
      </c>
      <c r="J174" s="11" t="s">
        <v>137</v>
      </c>
      <c r="K174" s="17" t="s">
        <v>137</v>
      </c>
      <c r="L174" s="17" t="s">
        <v>137</v>
      </c>
      <c r="M174" s="17" t="s">
        <v>137</v>
      </c>
      <c r="N174" s="17" t="s">
        <v>137</v>
      </c>
      <c r="O174" s="17" t="s">
        <v>137</v>
      </c>
      <c r="P174" s="17" t="s">
        <v>137</v>
      </c>
      <c r="Q174" s="17" t="s">
        <v>137</v>
      </c>
      <c r="R174" s="11" t="s">
        <v>137</v>
      </c>
      <c r="S174" s="12" t="s">
        <v>137</v>
      </c>
      <c r="T174" s="11" t="s">
        <v>137</v>
      </c>
      <c r="U174" s="11" t="s">
        <v>137</v>
      </c>
      <c r="V174" s="11" t="s">
        <v>137</v>
      </c>
      <c r="W174" s="11" t="s">
        <v>137</v>
      </c>
      <c r="X174" s="11" t="s">
        <v>137</v>
      </c>
      <c r="Y174" s="11" t="s">
        <v>137</v>
      </c>
      <c r="Z174" s="11" t="s">
        <v>137</v>
      </c>
      <c r="AA174" s="11" t="s">
        <v>137</v>
      </c>
      <c r="AB174" s="11">
        <v>1</v>
      </c>
      <c r="AC174" s="11">
        <v>1</v>
      </c>
      <c r="AD174" s="11">
        <v>1</v>
      </c>
      <c r="AF174" s="11">
        <v>1</v>
      </c>
      <c r="AG174" s="11">
        <v>1</v>
      </c>
      <c r="AH174" s="11">
        <v>1</v>
      </c>
      <c r="AI174" s="11">
        <v>1</v>
      </c>
      <c r="AJ174" s="11">
        <v>1</v>
      </c>
      <c r="AK174" s="11">
        <v>1</v>
      </c>
      <c r="AL174" s="11" t="s">
        <v>137</v>
      </c>
      <c r="AM174" s="11" t="s">
        <v>137</v>
      </c>
    </row>
    <row r="175" spans="1:39" ht="16" x14ac:dyDescent="0.2">
      <c r="A175" s="11" t="s">
        <v>137</v>
      </c>
      <c r="B175" s="11" t="s">
        <v>137</v>
      </c>
      <c r="C175" s="11" t="s">
        <v>137</v>
      </c>
      <c r="E175" s="11" t="s">
        <v>137</v>
      </c>
      <c r="F175" s="11" t="s">
        <v>137</v>
      </c>
      <c r="G175" s="11" t="s">
        <v>137</v>
      </c>
      <c r="H175" s="11" t="s">
        <v>137</v>
      </c>
      <c r="I175" s="11" t="s">
        <v>137</v>
      </c>
      <c r="J175" s="11" t="s">
        <v>137</v>
      </c>
      <c r="K175" s="17" t="s">
        <v>137</v>
      </c>
      <c r="L175" s="17" t="s">
        <v>137</v>
      </c>
      <c r="M175" s="17" t="s">
        <v>137</v>
      </c>
      <c r="N175" s="17" t="s">
        <v>137</v>
      </c>
      <c r="O175" s="17" t="s">
        <v>137</v>
      </c>
      <c r="P175" s="17" t="s">
        <v>137</v>
      </c>
      <c r="Q175" s="17" t="s">
        <v>137</v>
      </c>
      <c r="R175" s="11" t="s">
        <v>137</v>
      </c>
      <c r="S175" s="12" t="s">
        <v>137</v>
      </c>
      <c r="T175" s="11" t="s">
        <v>137</v>
      </c>
      <c r="U175" s="11" t="s">
        <v>137</v>
      </c>
      <c r="V175" s="11" t="s">
        <v>137</v>
      </c>
      <c r="W175" s="11" t="s">
        <v>137</v>
      </c>
      <c r="X175" s="11" t="s">
        <v>137</v>
      </c>
      <c r="Y175" s="11" t="s">
        <v>137</v>
      </c>
      <c r="Z175" s="11" t="s">
        <v>137</v>
      </c>
      <c r="AA175" s="11" t="s">
        <v>137</v>
      </c>
      <c r="AB175" s="11">
        <v>1</v>
      </c>
      <c r="AC175" s="11">
        <v>1</v>
      </c>
      <c r="AD175" s="11">
        <v>1</v>
      </c>
      <c r="AF175" s="11">
        <v>1</v>
      </c>
      <c r="AG175" s="11">
        <v>1</v>
      </c>
      <c r="AH175" s="11">
        <v>1</v>
      </c>
      <c r="AI175" s="11">
        <v>1</v>
      </c>
      <c r="AJ175" s="11">
        <v>1</v>
      </c>
      <c r="AK175" s="11">
        <v>1</v>
      </c>
      <c r="AL175" s="11" t="s">
        <v>137</v>
      </c>
      <c r="AM175" s="11" t="s">
        <v>137</v>
      </c>
    </row>
    <row r="176" spans="1:39" ht="16" x14ac:dyDescent="0.2">
      <c r="A176" s="11" t="s">
        <v>137</v>
      </c>
      <c r="B176" s="11" t="s">
        <v>137</v>
      </c>
      <c r="C176" s="11" t="s">
        <v>137</v>
      </c>
      <c r="E176" s="11" t="s">
        <v>137</v>
      </c>
      <c r="F176" s="11" t="s">
        <v>137</v>
      </c>
      <c r="G176" s="11" t="s">
        <v>137</v>
      </c>
      <c r="H176" s="11" t="s">
        <v>137</v>
      </c>
      <c r="I176" s="11" t="s">
        <v>137</v>
      </c>
      <c r="J176" s="11" t="s">
        <v>137</v>
      </c>
      <c r="K176" s="17" t="s">
        <v>137</v>
      </c>
      <c r="L176" s="17" t="s">
        <v>137</v>
      </c>
      <c r="M176" s="17" t="s">
        <v>137</v>
      </c>
      <c r="N176" s="17" t="s">
        <v>137</v>
      </c>
      <c r="O176" s="17" t="s">
        <v>137</v>
      </c>
      <c r="P176" s="17" t="s">
        <v>137</v>
      </c>
      <c r="Q176" s="17" t="s">
        <v>137</v>
      </c>
      <c r="R176" s="11" t="s">
        <v>137</v>
      </c>
      <c r="S176" s="12" t="s">
        <v>137</v>
      </c>
      <c r="T176" s="11" t="s">
        <v>137</v>
      </c>
      <c r="U176" s="11" t="s">
        <v>137</v>
      </c>
      <c r="V176" s="11" t="s">
        <v>137</v>
      </c>
      <c r="W176" s="11" t="s">
        <v>137</v>
      </c>
      <c r="X176" s="11" t="s">
        <v>137</v>
      </c>
      <c r="Y176" s="11" t="s">
        <v>137</v>
      </c>
      <c r="Z176" s="11" t="s">
        <v>137</v>
      </c>
      <c r="AA176" s="11" t="s">
        <v>137</v>
      </c>
      <c r="AB176" s="11">
        <v>1</v>
      </c>
      <c r="AC176" s="11">
        <v>1</v>
      </c>
      <c r="AD176" s="11">
        <v>1</v>
      </c>
      <c r="AF176" s="11">
        <v>1</v>
      </c>
      <c r="AG176" s="11">
        <v>1</v>
      </c>
      <c r="AH176" s="11">
        <v>1</v>
      </c>
      <c r="AI176" s="11">
        <v>1</v>
      </c>
      <c r="AJ176" s="11">
        <v>1</v>
      </c>
      <c r="AK176" s="11">
        <v>1</v>
      </c>
      <c r="AL176" s="11" t="s">
        <v>137</v>
      </c>
      <c r="AM176" s="11" t="s">
        <v>137</v>
      </c>
    </row>
    <row r="177" spans="1:44" ht="16" x14ac:dyDescent="0.2">
      <c r="A177" s="11" t="s">
        <v>137</v>
      </c>
      <c r="B177" s="11" t="s">
        <v>137</v>
      </c>
      <c r="C177" s="11" t="s">
        <v>137</v>
      </c>
      <c r="E177" s="11" t="s">
        <v>137</v>
      </c>
      <c r="F177" s="11" t="s">
        <v>137</v>
      </c>
      <c r="G177" s="11" t="s">
        <v>137</v>
      </c>
      <c r="H177" s="11">
        <v>1</v>
      </c>
      <c r="I177" s="11">
        <v>1</v>
      </c>
      <c r="J177" s="11">
        <v>1</v>
      </c>
      <c r="K177" s="17">
        <v>1</v>
      </c>
      <c r="L177" s="17">
        <v>1</v>
      </c>
      <c r="M177" s="17">
        <v>1</v>
      </c>
      <c r="N177" s="17">
        <v>1</v>
      </c>
      <c r="O177" s="17">
        <v>1</v>
      </c>
      <c r="P177" s="17">
        <v>1</v>
      </c>
      <c r="Q177" s="17">
        <v>1</v>
      </c>
      <c r="R177" s="11">
        <v>1</v>
      </c>
      <c r="S177" s="12">
        <v>1</v>
      </c>
      <c r="T177" s="11">
        <v>1</v>
      </c>
      <c r="U177" s="11">
        <v>1</v>
      </c>
      <c r="V177" s="11">
        <v>1</v>
      </c>
      <c r="W177" s="11">
        <v>1</v>
      </c>
      <c r="X177" s="11">
        <v>1</v>
      </c>
      <c r="Y177" s="11">
        <v>1</v>
      </c>
      <c r="Z177" s="11">
        <v>1</v>
      </c>
      <c r="AA177" s="11">
        <v>1</v>
      </c>
      <c r="AB177" s="11">
        <v>1</v>
      </c>
      <c r="AC177" s="11">
        <v>1</v>
      </c>
      <c r="AD177" s="11">
        <v>1</v>
      </c>
      <c r="AF177" s="11">
        <v>1</v>
      </c>
      <c r="AG177" s="11">
        <v>1</v>
      </c>
      <c r="AH177" s="11">
        <v>1</v>
      </c>
      <c r="AI177" s="11">
        <v>1</v>
      </c>
      <c r="AJ177" s="11">
        <v>1</v>
      </c>
      <c r="AK177" s="11">
        <v>1</v>
      </c>
      <c r="AL177" s="11" t="s">
        <v>137</v>
      </c>
      <c r="AM177" s="11" t="s">
        <v>137</v>
      </c>
    </row>
    <row r="178" spans="1:44" ht="16" x14ac:dyDescent="0.2">
      <c r="A178" s="11" t="s">
        <v>137</v>
      </c>
      <c r="B178" s="11" t="s">
        <v>137</v>
      </c>
      <c r="C178" s="11" t="s">
        <v>137</v>
      </c>
      <c r="E178" s="11" t="s">
        <v>137</v>
      </c>
      <c r="F178" s="11" t="s">
        <v>137</v>
      </c>
      <c r="G178" s="11" t="s">
        <v>137</v>
      </c>
      <c r="H178" s="11" t="s">
        <v>137</v>
      </c>
      <c r="I178" s="11" t="s">
        <v>137</v>
      </c>
      <c r="J178" s="11" t="s">
        <v>137</v>
      </c>
      <c r="K178" s="17" t="s">
        <v>137</v>
      </c>
      <c r="L178" s="17" t="s">
        <v>137</v>
      </c>
      <c r="M178" s="17" t="s">
        <v>137</v>
      </c>
      <c r="N178" s="17" t="s">
        <v>137</v>
      </c>
      <c r="O178" s="17" t="s">
        <v>137</v>
      </c>
      <c r="P178" s="17" t="s">
        <v>137</v>
      </c>
      <c r="Q178" s="17" t="s">
        <v>137</v>
      </c>
      <c r="R178" s="11" t="s">
        <v>137</v>
      </c>
      <c r="S178" s="12" t="s">
        <v>137</v>
      </c>
      <c r="T178" s="11" t="s">
        <v>137</v>
      </c>
      <c r="U178" s="11" t="s">
        <v>137</v>
      </c>
      <c r="V178" s="11" t="s">
        <v>137</v>
      </c>
      <c r="W178" s="11" t="s">
        <v>137</v>
      </c>
      <c r="X178" s="11" t="s">
        <v>137</v>
      </c>
      <c r="Y178" s="11" t="s">
        <v>137</v>
      </c>
      <c r="Z178" s="11" t="s">
        <v>137</v>
      </c>
      <c r="AA178" s="11" t="s">
        <v>137</v>
      </c>
      <c r="AB178" s="11">
        <v>1</v>
      </c>
      <c r="AC178" s="11">
        <v>1</v>
      </c>
      <c r="AD178" s="11">
        <v>1</v>
      </c>
      <c r="AF178" s="11">
        <v>1</v>
      </c>
      <c r="AG178" s="11">
        <v>1</v>
      </c>
      <c r="AH178" s="11">
        <v>1</v>
      </c>
      <c r="AI178" s="11">
        <v>1</v>
      </c>
      <c r="AJ178" s="11">
        <v>1</v>
      </c>
      <c r="AK178" s="11">
        <v>1</v>
      </c>
      <c r="AL178" s="11" t="s">
        <v>137</v>
      </c>
      <c r="AM178" s="11" t="s">
        <v>137</v>
      </c>
    </row>
    <row r="179" spans="1:44" ht="16" x14ac:dyDescent="0.2">
      <c r="A179" s="11" t="s">
        <v>137</v>
      </c>
      <c r="B179" s="11" t="s">
        <v>137</v>
      </c>
      <c r="C179" s="11" t="s">
        <v>137</v>
      </c>
      <c r="E179" s="11" t="s">
        <v>137</v>
      </c>
      <c r="F179" s="11" t="s">
        <v>137</v>
      </c>
      <c r="G179" s="11" t="s">
        <v>137</v>
      </c>
      <c r="H179" s="11" t="s">
        <v>137</v>
      </c>
      <c r="I179" s="11" t="s">
        <v>137</v>
      </c>
      <c r="J179" s="11" t="s">
        <v>137</v>
      </c>
      <c r="K179" s="17" t="s">
        <v>137</v>
      </c>
      <c r="L179" s="17" t="s">
        <v>137</v>
      </c>
      <c r="M179" s="17" t="s">
        <v>137</v>
      </c>
      <c r="N179" s="17" t="s">
        <v>137</v>
      </c>
      <c r="O179" s="17" t="s">
        <v>137</v>
      </c>
      <c r="P179" s="17" t="s">
        <v>137</v>
      </c>
      <c r="Q179" s="17" t="s">
        <v>137</v>
      </c>
      <c r="R179" s="11" t="s">
        <v>137</v>
      </c>
      <c r="S179" s="12" t="s">
        <v>137</v>
      </c>
      <c r="T179" s="11" t="s">
        <v>137</v>
      </c>
      <c r="U179" s="11" t="s">
        <v>137</v>
      </c>
      <c r="V179" s="11" t="s">
        <v>137</v>
      </c>
      <c r="W179" s="11" t="s">
        <v>137</v>
      </c>
      <c r="X179" s="11" t="s">
        <v>137</v>
      </c>
      <c r="Y179" s="11" t="s">
        <v>137</v>
      </c>
      <c r="Z179" s="11" t="s">
        <v>137</v>
      </c>
      <c r="AA179" s="11" t="s">
        <v>137</v>
      </c>
      <c r="AB179" s="11">
        <v>1</v>
      </c>
      <c r="AC179" s="11">
        <v>1</v>
      </c>
      <c r="AD179" s="11">
        <v>1</v>
      </c>
      <c r="AF179" s="11">
        <v>1</v>
      </c>
      <c r="AG179" s="11">
        <v>1</v>
      </c>
      <c r="AH179" s="11">
        <v>1</v>
      </c>
      <c r="AI179" s="11">
        <v>1</v>
      </c>
      <c r="AJ179" s="11">
        <v>1</v>
      </c>
      <c r="AK179" s="11">
        <v>1</v>
      </c>
      <c r="AL179" s="11" t="s">
        <v>137</v>
      </c>
      <c r="AM179" s="11" t="s">
        <v>137</v>
      </c>
    </row>
    <row r="180" spans="1:44" ht="16" x14ac:dyDescent="0.2">
      <c r="A180" s="11" t="s">
        <v>137</v>
      </c>
      <c r="B180" s="11" t="s">
        <v>137</v>
      </c>
      <c r="C180" s="11" t="s">
        <v>137</v>
      </c>
      <c r="E180" s="11" t="s">
        <v>137</v>
      </c>
      <c r="F180" s="11" t="s">
        <v>137</v>
      </c>
      <c r="G180" s="11" t="s">
        <v>137</v>
      </c>
      <c r="H180" s="11" t="s">
        <v>137</v>
      </c>
      <c r="I180" s="11" t="s">
        <v>137</v>
      </c>
      <c r="J180" s="11" t="s">
        <v>137</v>
      </c>
      <c r="K180" s="17" t="s">
        <v>137</v>
      </c>
      <c r="L180" s="17" t="s">
        <v>137</v>
      </c>
      <c r="M180" s="17" t="s">
        <v>137</v>
      </c>
      <c r="N180" s="17" t="s">
        <v>137</v>
      </c>
      <c r="O180" s="17" t="s">
        <v>137</v>
      </c>
      <c r="P180" s="17" t="s">
        <v>137</v>
      </c>
      <c r="Q180" s="17" t="s">
        <v>137</v>
      </c>
      <c r="R180" s="11" t="s">
        <v>137</v>
      </c>
      <c r="S180" s="12" t="s">
        <v>137</v>
      </c>
      <c r="T180" s="11" t="s">
        <v>137</v>
      </c>
      <c r="U180" s="11" t="s">
        <v>137</v>
      </c>
      <c r="V180" s="11" t="s">
        <v>137</v>
      </c>
      <c r="W180" s="11" t="s">
        <v>137</v>
      </c>
      <c r="X180" s="11" t="s">
        <v>137</v>
      </c>
      <c r="Y180" s="11" t="s">
        <v>137</v>
      </c>
      <c r="Z180" s="11" t="s">
        <v>137</v>
      </c>
      <c r="AA180" s="11" t="s">
        <v>137</v>
      </c>
      <c r="AB180" s="11">
        <v>1</v>
      </c>
      <c r="AC180" s="11">
        <v>1</v>
      </c>
      <c r="AD180" s="11">
        <v>1</v>
      </c>
      <c r="AF180" s="11">
        <v>1</v>
      </c>
      <c r="AG180" s="11">
        <v>1</v>
      </c>
      <c r="AH180" s="11">
        <v>1</v>
      </c>
      <c r="AI180" s="11">
        <v>1</v>
      </c>
      <c r="AJ180" s="11">
        <v>1</v>
      </c>
      <c r="AK180" s="11">
        <v>1</v>
      </c>
      <c r="AL180" s="11" t="s">
        <v>137</v>
      </c>
      <c r="AM180" s="11" t="s">
        <v>137</v>
      </c>
    </row>
    <row r="181" spans="1:44" ht="16" x14ac:dyDescent="0.2">
      <c r="A181" s="11" t="s">
        <v>137</v>
      </c>
      <c r="B181" s="11" t="s">
        <v>137</v>
      </c>
      <c r="C181" s="11" t="s">
        <v>137</v>
      </c>
      <c r="E181" s="11" t="s">
        <v>137</v>
      </c>
      <c r="F181" s="11" t="s">
        <v>137</v>
      </c>
      <c r="G181" s="11" t="s">
        <v>137</v>
      </c>
      <c r="H181" s="11" t="s">
        <v>137</v>
      </c>
      <c r="I181" s="11" t="s">
        <v>137</v>
      </c>
      <c r="J181" s="11" t="s">
        <v>137</v>
      </c>
      <c r="K181" s="17" t="s">
        <v>137</v>
      </c>
      <c r="L181" s="17" t="s">
        <v>137</v>
      </c>
      <c r="M181" s="17" t="s">
        <v>137</v>
      </c>
      <c r="N181" s="17" t="s">
        <v>137</v>
      </c>
      <c r="O181" s="17" t="s">
        <v>137</v>
      </c>
      <c r="P181" s="17" t="s">
        <v>137</v>
      </c>
      <c r="Q181" s="17" t="s">
        <v>137</v>
      </c>
      <c r="R181" s="11" t="s">
        <v>137</v>
      </c>
      <c r="S181" s="12" t="s">
        <v>137</v>
      </c>
      <c r="T181" s="11" t="s">
        <v>137</v>
      </c>
      <c r="U181" s="11" t="s">
        <v>137</v>
      </c>
      <c r="V181" s="11" t="s">
        <v>137</v>
      </c>
      <c r="W181" s="11" t="s">
        <v>137</v>
      </c>
      <c r="X181" s="11" t="s">
        <v>137</v>
      </c>
      <c r="Y181" s="11" t="s">
        <v>137</v>
      </c>
      <c r="Z181" s="11" t="s">
        <v>137</v>
      </c>
      <c r="AA181" s="11" t="s">
        <v>137</v>
      </c>
      <c r="AB181" s="11">
        <v>1</v>
      </c>
      <c r="AC181" s="11">
        <v>1</v>
      </c>
      <c r="AD181" s="11">
        <v>1</v>
      </c>
      <c r="AF181" s="11">
        <v>1</v>
      </c>
      <c r="AG181" s="11">
        <v>1</v>
      </c>
      <c r="AH181" s="11">
        <v>1</v>
      </c>
      <c r="AI181" s="11">
        <v>1</v>
      </c>
      <c r="AJ181" s="11">
        <v>1</v>
      </c>
      <c r="AK181" s="11">
        <v>1</v>
      </c>
      <c r="AL181" s="11" t="s">
        <v>137</v>
      </c>
      <c r="AM181" s="11" t="s">
        <v>137</v>
      </c>
    </row>
    <row r="182" spans="1:44" ht="16" x14ac:dyDescent="0.2">
      <c r="A182" s="11" t="s">
        <v>137</v>
      </c>
      <c r="B182" s="11" t="s">
        <v>137</v>
      </c>
      <c r="C182" s="11" t="s">
        <v>137</v>
      </c>
      <c r="E182" s="11" t="s">
        <v>137</v>
      </c>
      <c r="F182" s="11" t="s">
        <v>137</v>
      </c>
      <c r="G182" s="11" t="s">
        <v>137</v>
      </c>
      <c r="H182" s="11">
        <v>1</v>
      </c>
      <c r="I182" s="11">
        <v>1</v>
      </c>
      <c r="J182" s="11">
        <v>1</v>
      </c>
      <c r="K182" s="17">
        <v>1</v>
      </c>
      <c r="L182" s="17">
        <v>1</v>
      </c>
      <c r="M182" s="17">
        <v>1</v>
      </c>
      <c r="N182" s="17">
        <v>1</v>
      </c>
      <c r="O182" s="17">
        <v>1</v>
      </c>
      <c r="P182" s="17">
        <v>1</v>
      </c>
      <c r="Q182" s="17">
        <v>1</v>
      </c>
      <c r="R182" s="11">
        <v>1</v>
      </c>
      <c r="S182" s="12">
        <v>1</v>
      </c>
      <c r="T182" s="11">
        <v>1</v>
      </c>
      <c r="U182" s="11">
        <v>1</v>
      </c>
      <c r="V182" s="11">
        <v>1</v>
      </c>
      <c r="W182" s="11">
        <v>1</v>
      </c>
      <c r="X182" s="11">
        <v>1</v>
      </c>
      <c r="Y182" s="11">
        <v>1</v>
      </c>
      <c r="Z182" s="11">
        <v>1</v>
      </c>
      <c r="AA182" s="11">
        <v>1</v>
      </c>
      <c r="AB182" s="11">
        <v>1</v>
      </c>
      <c r="AC182" s="11">
        <v>1</v>
      </c>
      <c r="AD182" s="11">
        <v>1</v>
      </c>
      <c r="AF182" s="11">
        <v>1</v>
      </c>
      <c r="AG182" s="11">
        <v>1</v>
      </c>
      <c r="AH182" s="11">
        <v>1</v>
      </c>
      <c r="AI182" s="11">
        <v>1</v>
      </c>
      <c r="AJ182" s="11">
        <v>1</v>
      </c>
      <c r="AK182" s="11">
        <v>1</v>
      </c>
      <c r="AL182" s="11" t="s">
        <v>137</v>
      </c>
      <c r="AM182" s="11" t="s">
        <v>137</v>
      </c>
    </row>
    <row r="183" spans="1:44" ht="16" x14ac:dyDescent="0.2">
      <c r="A183" s="11" t="s">
        <v>137</v>
      </c>
      <c r="B183" s="11" t="s">
        <v>137</v>
      </c>
      <c r="C183" s="11" t="s">
        <v>137</v>
      </c>
      <c r="E183" s="11" t="s">
        <v>137</v>
      </c>
      <c r="F183" s="11" t="s">
        <v>137</v>
      </c>
      <c r="G183" s="11" t="s">
        <v>137</v>
      </c>
      <c r="H183" s="11" t="s">
        <v>137</v>
      </c>
      <c r="I183" s="11" t="s">
        <v>137</v>
      </c>
      <c r="J183" s="11" t="s">
        <v>137</v>
      </c>
      <c r="K183" s="17" t="s">
        <v>137</v>
      </c>
      <c r="L183" s="17" t="s">
        <v>137</v>
      </c>
      <c r="M183" s="17" t="s">
        <v>137</v>
      </c>
      <c r="N183" s="17" t="s">
        <v>137</v>
      </c>
      <c r="O183" s="17" t="s">
        <v>137</v>
      </c>
      <c r="P183" s="17" t="s">
        <v>137</v>
      </c>
      <c r="Q183" s="17" t="s">
        <v>137</v>
      </c>
      <c r="R183" s="11" t="s">
        <v>137</v>
      </c>
      <c r="S183" s="12" t="s">
        <v>137</v>
      </c>
      <c r="T183" s="11" t="s">
        <v>137</v>
      </c>
      <c r="U183" s="11" t="s">
        <v>137</v>
      </c>
      <c r="V183" s="11" t="s">
        <v>137</v>
      </c>
      <c r="W183" s="11" t="s">
        <v>137</v>
      </c>
      <c r="X183" s="11" t="s">
        <v>137</v>
      </c>
      <c r="Y183" s="11" t="s">
        <v>137</v>
      </c>
      <c r="Z183" s="11" t="s">
        <v>137</v>
      </c>
      <c r="AA183" s="11" t="s">
        <v>137</v>
      </c>
      <c r="AB183" s="11">
        <v>1</v>
      </c>
      <c r="AC183" s="11">
        <v>1</v>
      </c>
      <c r="AD183" s="11">
        <v>1</v>
      </c>
      <c r="AF183" s="11">
        <v>1</v>
      </c>
      <c r="AG183" s="11">
        <v>1</v>
      </c>
      <c r="AH183" s="11">
        <v>1</v>
      </c>
      <c r="AI183" s="11">
        <v>1</v>
      </c>
      <c r="AJ183" s="11">
        <v>1</v>
      </c>
      <c r="AK183" s="11">
        <v>1</v>
      </c>
      <c r="AL183" s="11" t="s">
        <v>137</v>
      </c>
      <c r="AM183" s="11" t="s">
        <v>137</v>
      </c>
    </row>
    <row r="184" spans="1:44" ht="16" x14ac:dyDescent="0.2">
      <c r="A184" s="11" t="s">
        <v>137</v>
      </c>
      <c r="B184" s="11" t="s">
        <v>137</v>
      </c>
      <c r="C184" s="11" t="s">
        <v>137</v>
      </c>
      <c r="E184" s="11" t="s">
        <v>137</v>
      </c>
      <c r="F184" s="11" t="s">
        <v>137</v>
      </c>
      <c r="G184" s="11" t="s">
        <v>137</v>
      </c>
      <c r="H184" s="11" t="s">
        <v>137</v>
      </c>
      <c r="I184" s="11" t="s">
        <v>137</v>
      </c>
      <c r="J184" s="11" t="s">
        <v>137</v>
      </c>
      <c r="K184" s="17" t="s">
        <v>137</v>
      </c>
      <c r="L184" s="17" t="s">
        <v>137</v>
      </c>
      <c r="M184" s="17" t="s">
        <v>137</v>
      </c>
      <c r="N184" s="17" t="s">
        <v>137</v>
      </c>
      <c r="O184" s="17" t="s">
        <v>137</v>
      </c>
      <c r="P184" s="17" t="s">
        <v>137</v>
      </c>
      <c r="Q184" s="17" t="s">
        <v>137</v>
      </c>
      <c r="R184" s="11" t="s">
        <v>137</v>
      </c>
      <c r="S184" s="12" t="s">
        <v>137</v>
      </c>
      <c r="T184" s="11" t="s">
        <v>137</v>
      </c>
      <c r="U184" s="11" t="s">
        <v>137</v>
      </c>
      <c r="V184" s="11" t="s">
        <v>137</v>
      </c>
      <c r="W184" s="11" t="s">
        <v>137</v>
      </c>
      <c r="X184" s="11" t="s">
        <v>137</v>
      </c>
      <c r="Y184" s="11" t="s">
        <v>137</v>
      </c>
      <c r="Z184" s="11" t="s">
        <v>137</v>
      </c>
      <c r="AA184" s="11" t="s">
        <v>137</v>
      </c>
      <c r="AB184" s="11">
        <v>1</v>
      </c>
      <c r="AC184" s="11">
        <v>1</v>
      </c>
      <c r="AD184" s="11">
        <v>1</v>
      </c>
      <c r="AF184" s="11">
        <v>1</v>
      </c>
      <c r="AG184" s="11">
        <v>1</v>
      </c>
      <c r="AH184" s="11">
        <v>1</v>
      </c>
      <c r="AI184" s="11">
        <v>1</v>
      </c>
      <c r="AJ184" s="11">
        <v>1</v>
      </c>
      <c r="AK184" s="11">
        <v>1</v>
      </c>
      <c r="AL184" s="11" t="s">
        <v>137</v>
      </c>
      <c r="AM184" s="11" t="s">
        <v>137</v>
      </c>
    </row>
    <row r="185" spans="1:44" ht="16" x14ac:dyDescent="0.2">
      <c r="A185" s="11" t="s">
        <v>137</v>
      </c>
      <c r="B185" s="11" t="s">
        <v>137</v>
      </c>
      <c r="C185" s="11" t="s">
        <v>137</v>
      </c>
      <c r="E185" s="11" t="s">
        <v>137</v>
      </c>
      <c r="F185" s="11" t="s">
        <v>137</v>
      </c>
      <c r="G185" s="11" t="s">
        <v>137</v>
      </c>
      <c r="H185" s="11" t="s">
        <v>137</v>
      </c>
      <c r="I185" s="11" t="s">
        <v>137</v>
      </c>
      <c r="J185" s="11" t="s">
        <v>137</v>
      </c>
      <c r="K185" s="17" t="s">
        <v>137</v>
      </c>
      <c r="L185" s="17" t="s">
        <v>137</v>
      </c>
      <c r="M185" s="17" t="s">
        <v>137</v>
      </c>
      <c r="N185" s="17" t="s">
        <v>137</v>
      </c>
      <c r="O185" s="17" t="s">
        <v>137</v>
      </c>
      <c r="P185" s="17" t="s">
        <v>137</v>
      </c>
      <c r="Q185" s="17" t="s">
        <v>137</v>
      </c>
      <c r="R185" s="11" t="s">
        <v>137</v>
      </c>
      <c r="S185" s="12" t="s">
        <v>137</v>
      </c>
      <c r="T185" s="11" t="s">
        <v>137</v>
      </c>
      <c r="U185" s="11" t="s">
        <v>137</v>
      </c>
      <c r="V185" s="11" t="s">
        <v>137</v>
      </c>
      <c r="W185" s="11" t="s">
        <v>137</v>
      </c>
      <c r="X185" s="11" t="s">
        <v>137</v>
      </c>
      <c r="Y185" s="11" t="s">
        <v>137</v>
      </c>
      <c r="Z185" s="11" t="s">
        <v>137</v>
      </c>
      <c r="AA185" s="11" t="s">
        <v>137</v>
      </c>
      <c r="AB185" s="11">
        <v>1</v>
      </c>
      <c r="AC185" s="11">
        <v>1</v>
      </c>
      <c r="AD185" s="11">
        <v>1</v>
      </c>
      <c r="AF185" s="11">
        <v>1</v>
      </c>
      <c r="AG185" s="11">
        <v>1</v>
      </c>
      <c r="AH185" s="11">
        <v>1</v>
      </c>
      <c r="AI185" s="11">
        <v>1</v>
      </c>
      <c r="AJ185" s="11">
        <v>1</v>
      </c>
      <c r="AK185" s="11">
        <v>1</v>
      </c>
      <c r="AL185" s="11" t="s">
        <v>137</v>
      </c>
      <c r="AM185" s="11" t="s">
        <v>137</v>
      </c>
    </row>
    <row r="186" spans="1:44" ht="16" x14ac:dyDescent="0.2">
      <c r="A186" s="11" t="s">
        <v>137</v>
      </c>
      <c r="B186" s="11" t="s">
        <v>137</v>
      </c>
      <c r="C186" s="11" t="s">
        <v>137</v>
      </c>
      <c r="E186" s="11" t="s">
        <v>137</v>
      </c>
      <c r="F186" s="11" t="s">
        <v>137</v>
      </c>
      <c r="G186" s="11" t="s">
        <v>137</v>
      </c>
      <c r="H186" s="11" t="s">
        <v>137</v>
      </c>
      <c r="I186" s="11" t="s">
        <v>137</v>
      </c>
      <c r="J186" s="11" t="s">
        <v>137</v>
      </c>
      <c r="K186" s="17" t="s">
        <v>137</v>
      </c>
      <c r="L186" s="17" t="s">
        <v>137</v>
      </c>
      <c r="M186" s="17" t="s">
        <v>137</v>
      </c>
      <c r="N186" s="17" t="s">
        <v>137</v>
      </c>
      <c r="O186" s="17" t="s">
        <v>137</v>
      </c>
      <c r="P186" s="17" t="s">
        <v>137</v>
      </c>
      <c r="Q186" s="17" t="s">
        <v>137</v>
      </c>
      <c r="R186" s="11" t="s">
        <v>137</v>
      </c>
      <c r="S186" s="12" t="s">
        <v>137</v>
      </c>
      <c r="T186" s="11" t="s">
        <v>137</v>
      </c>
      <c r="U186" s="11" t="s">
        <v>137</v>
      </c>
      <c r="V186" s="11" t="s">
        <v>137</v>
      </c>
      <c r="W186" s="11" t="s">
        <v>137</v>
      </c>
      <c r="X186" s="11" t="s">
        <v>137</v>
      </c>
      <c r="Y186" s="11" t="s">
        <v>137</v>
      </c>
      <c r="Z186" s="11" t="s">
        <v>137</v>
      </c>
      <c r="AA186" s="11" t="s">
        <v>137</v>
      </c>
      <c r="AB186" s="11">
        <v>1</v>
      </c>
      <c r="AC186" s="11">
        <v>1</v>
      </c>
      <c r="AD186" s="11">
        <v>1</v>
      </c>
      <c r="AF186" s="11">
        <v>1</v>
      </c>
      <c r="AG186" s="11">
        <v>1</v>
      </c>
      <c r="AH186" s="11">
        <v>1</v>
      </c>
      <c r="AI186" s="11">
        <v>1</v>
      </c>
      <c r="AJ186" s="11">
        <v>1</v>
      </c>
      <c r="AK186" s="11">
        <v>1</v>
      </c>
      <c r="AL186" s="11" t="s">
        <v>137</v>
      </c>
      <c r="AM186" s="11" t="s">
        <v>137</v>
      </c>
    </row>
    <row r="187" spans="1:44" ht="16" x14ac:dyDescent="0.2">
      <c r="A187" s="11">
        <v>1</v>
      </c>
      <c r="B187" s="11">
        <v>1</v>
      </c>
      <c r="C187" s="11">
        <v>1</v>
      </c>
      <c r="E187" s="11">
        <v>1</v>
      </c>
      <c r="F187" s="11">
        <v>1</v>
      </c>
      <c r="G187" s="11">
        <v>1</v>
      </c>
      <c r="H187" s="11">
        <v>1</v>
      </c>
      <c r="I187" s="11">
        <v>1</v>
      </c>
      <c r="J187" s="11">
        <v>0</v>
      </c>
      <c r="K187" s="17">
        <v>0</v>
      </c>
      <c r="L187" s="17">
        <v>1</v>
      </c>
      <c r="M187" s="17">
        <v>1</v>
      </c>
      <c r="N187" s="17">
        <v>1</v>
      </c>
      <c r="O187" s="17">
        <v>1</v>
      </c>
      <c r="P187" s="17">
        <v>1</v>
      </c>
      <c r="Q187" s="17">
        <v>1</v>
      </c>
      <c r="R187" s="11">
        <v>1</v>
      </c>
      <c r="S187" s="12">
        <v>1</v>
      </c>
      <c r="T187" s="11">
        <v>1</v>
      </c>
      <c r="U187" s="11">
        <v>1</v>
      </c>
      <c r="V187" s="11">
        <v>1</v>
      </c>
      <c r="W187" s="11">
        <v>1</v>
      </c>
      <c r="X187" s="11">
        <v>1</v>
      </c>
      <c r="Y187" s="11">
        <v>1</v>
      </c>
      <c r="Z187" s="11">
        <v>1</v>
      </c>
      <c r="AA187" s="11">
        <v>1</v>
      </c>
      <c r="AB187" s="11">
        <v>1</v>
      </c>
      <c r="AC187" s="11">
        <v>1</v>
      </c>
      <c r="AD187" s="11">
        <v>1</v>
      </c>
      <c r="AF187" s="11">
        <v>1</v>
      </c>
      <c r="AG187" s="11">
        <v>1</v>
      </c>
      <c r="AH187" s="11">
        <v>1</v>
      </c>
      <c r="AI187" s="11">
        <v>1</v>
      </c>
      <c r="AJ187" s="11">
        <v>1</v>
      </c>
      <c r="AK187" s="11">
        <v>1</v>
      </c>
      <c r="AL187" s="11" t="s">
        <v>137</v>
      </c>
      <c r="AM187" s="11" t="s">
        <v>137</v>
      </c>
    </row>
    <row r="188" spans="1:44" ht="17" thickBot="1" x14ac:dyDescent="0.25">
      <c r="A188" s="107" t="s">
        <v>137</v>
      </c>
      <c r="B188" s="107" t="s">
        <v>137</v>
      </c>
      <c r="C188" s="107" t="s">
        <v>137</v>
      </c>
      <c r="D188" s="107"/>
      <c r="E188" s="107" t="s">
        <v>137</v>
      </c>
      <c r="F188" s="107" t="s">
        <v>137</v>
      </c>
      <c r="G188" s="107" t="s">
        <v>137</v>
      </c>
      <c r="H188" s="107">
        <v>1</v>
      </c>
      <c r="I188" s="107">
        <v>1</v>
      </c>
      <c r="J188" s="107">
        <v>0</v>
      </c>
      <c r="K188" s="177">
        <v>0</v>
      </c>
      <c r="L188" s="177">
        <v>1</v>
      </c>
      <c r="M188" s="177">
        <v>1</v>
      </c>
      <c r="N188" s="177">
        <v>1</v>
      </c>
      <c r="O188" s="177">
        <v>1</v>
      </c>
      <c r="P188" s="177">
        <v>1</v>
      </c>
      <c r="Q188" s="177">
        <v>1</v>
      </c>
      <c r="R188" s="107">
        <v>1</v>
      </c>
      <c r="S188" s="178">
        <v>1</v>
      </c>
      <c r="T188" s="107">
        <v>1</v>
      </c>
      <c r="U188" s="107">
        <v>1</v>
      </c>
      <c r="V188" s="107">
        <v>1</v>
      </c>
      <c r="W188" s="107">
        <v>1</v>
      </c>
      <c r="X188" s="107">
        <v>1</v>
      </c>
      <c r="Y188" s="107">
        <v>1</v>
      </c>
      <c r="Z188" s="107">
        <v>1</v>
      </c>
      <c r="AA188" s="107">
        <v>1</v>
      </c>
      <c r="AB188" s="107">
        <v>1</v>
      </c>
      <c r="AC188" s="107">
        <v>1</v>
      </c>
      <c r="AD188" s="107">
        <v>1</v>
      </c>
      <c r="AE188" s="107"/>
      <c r="AF188" s="107">
        <v>1</v>
      </c>
      <c r="AG188" s="107">
        <v>1</v>
      </c>
      <c r="AH188" s="107">
        <v>1</v>
      </c>
      <c r="AI188" s="107">
        <v>1</v>
      </c>
      <c r="AJ188" s="107">
        <v>1</v>
      </c>
      <c r="AK188" s="107">
        <v>1</v>
      </c>
      <c r="AL188" s="107" t="s">
        <v>137</v>
      </c>
      <c r="AM188" s="107" t="s">
        <v>137</v>
      </c>
    </row>
    <row r="189" spans="1:44" ht="17" thickTop="1" x14ac:dyDescent="0.2">
      <c r="A189" s="11">
        <v>1</v>
      </c>
      <c r="B189" s="11">
        <v>1</v>
      </c>
      <c r="C189" s="11">
        <v>1</v>
      </c>
      <c r="E189" s="11">
        <v>1</v>
      </c>
      <c r="F189" s="11">
        <v>1</v>
      </c>
      <c r="G189" s="11">
        <v>1</v>
      </c>
      <c r="H189" s="11">
        <v>1</v>
      </c>
      <c r="I189" s="11">
        <v>1</v>
      </c>
      <c r="J189" s="11">
        <v>1</v>
      </c>
      <c r="K189" s="17">
        <v>1</v>
      </c>
      <c r="L189" s="17">
        <v>1</v>
      </c>
      <c r="M189" s="17">
        <v>1</v>
      </c>
      <c r="N189" s="17">
        <v>1</v>
      </c>
      <c r="O189" s="17">
        <v>1</v>
      </c>
      <c r="P189" s="17">
        <v>1</v>
      </c>
      <c r="Q189" s="17">
        <v>1</v>
      </c>
      <c r="R189" s="11">
        <v>1</v>
      </c>
      <c r="S189" s="12">
        <v>1</v>
      </c>
      <c r="T189" s="11">
        <v>1</v>
      </c>
      <c r="U189" s="11">
        <v>1</v>
      </c>
      <c r="V189" s="11">
        <v>1</v>
      </c>
      <c r="W189" s="11">
        <v>1</v>
      </c>
      <c r="X189" s="11">
        <v>1</v>
      </c>
      <c r="Y189" s="11">
        <v>1</v>
      </c>
      <c r="Z189" s="11">
        <v>1</v>
      </c>
      <c r="AA189" s="11">
        <v>1</v>
      </c>
      <c r="AB189" s="11">
        <v>1</v>
      </c>
      <c r="AC189" s="11">
        <v>1</v>
      </c>
      <c r="AD189" s="11">
        <v>1</v>
      </c>
      <c r="AF189" s="11">
        <v>1</v>
      </c>
      <c r="AG189" s="11">
        <v>1</v>
      </c>
      <c r="AH189" s="11">
        <v>1</v>
      </c>
      <c r="AI189" s="11">
        <v>1</v>
      </c>
      <c r="AJ189" s="11">
        <v>1</v>
      </c>
      <c r="AK189" s="11">
        <v>1</v>
      </c>
      <c r="AN189" s="2" t="s">
        <v>142</v>
      </c>
      <c r="AO189" s="20" t="s">
        <v>744</v>
      </c>
      <c r="AP189" s="54">
        <f>SUM(A189:AK205)</f>
        <v>425</v>
      </c>
      <c r="AQ189" s="20">
        <f>COUNT(A189:AK205)</f>
        <v>442</v>
      </c>
      <c r="AR189" s="55">
        <f>AP189/AQ189</f>
        <v>0.96153846153846156</v>
      </c>
    </row>
    <row r="190" spans="1:44" ht="16" x14ac:dyDescent="0.2">
      <c r="A190" s="11" t="s">
        <v>137</v>
      </c>
      <c r="B190" s="11" t="s">
        <v>137</v>
      </c>
      <c r="C190" s="11" t="s">
        <v>137</v>
      </c>
      <c r="E190" s="11" t="s">
        <v>137</v>
      </c>
      <c r="F190" s="11" t="s">
        <v>137</v>
      </c>
      <c r="G190" s="11" t="s">
        <v>137</v>
      </c>
      <c r="H190" s="11">
        <v>1</v>
      </c>
      <c r="I190" s="11">
        <v>1</v>
      </c>
      <c r="J190" s="11">
        <v>1</v>
      </c>
      <c r="K190" s="17">
        <v>1</v>
      </c>
      <c r="L190" s="17">
        <v>1</v>
      </c>
      <c r="M190" s="17">
        <v>1</v>
      </c>
      <c r="N190" s="17">
        <v>1</v>
      </c>
      <c r="O190" s="17">
        <v>1</v>
      </c>
      <c r="P190" s="17">
        <v>1</v>
      </c>
      <c r="Q190" s="17">
        <v>1</v>
      </c>
      <c r="R190" s="11">
        <v>1</v>
      </c>
      <c r="S190" s="12">
        <v>1</v>
      </c>
      <c r="T190" s="11">
        <v>1</v>
      </c>
      <c r="U190" s="11">
        <v>1</v>
      </c>
      <c r="V190" s="11">
        <v>1</v>
      </c>
      <c r="W190" s="11">
        <v>1</v>
      </c>
      <c r="X190" s="11">
        <v>1</v>
      </c>
      <c r="Y190" s="11">
        <v>1</v>
      </c>
      <c r="Z190" s="11">
        <v>1</v>
      </c>
      <c r="AA190" s="11">
        <v>1</v>
      </c>
      <c r="AB190" s="11">
        <v>1</v>
      </c>
      <c r="AC190" s="11">
        <v>1</v>
      </c>
      <c r="AD190" s="11">
        <v>1</v>
      </c>
      <c r="AF190" s="11">
        <v>1</v>
      </c>
      <c r="AG190" s="11">
        <v>1</v>
      </c>
      <c r="AH190" s="11">
        <v>1</v>
      </c>
      <c r="AI190" s="11">
        <v>1</v>
      </c>
      <c r="AJ190" s="11">
        <v>1</v>
      </c>
      <c r="AK190" s="11">
        <v>1</v>
      </c>
      <c r="AN190" s="2"/>
      <c r="AO190" s="20"/>
      <c r="AP190" s="54"/>
      <c r="AQ190" s="54"/>
      <c r="AR190" s="55"/>
    </row>
    <row r="191" spans="1:44" ht="16" x14ac:dyDescent="0.2">
      <c r="A191" s="11" t="s">
        <v>137</v>
      </c>
      <c r="B191" s="11" t="s">
        <v>137</v>
      </c>
      <c r="C191" s="11" t="s">
        <v>137</v>
      </c>
      <c r="E191" s="11" t="s">
        <v>137</v>
      </c>
      <c r="F191" s="11" t="s">
        <v>137</v>
      </c>
      <c r="G191" s="11" t="s">
        <v>137</v>
      </c>
      <c r="H191" s="11">
        <v>1</v>
      </c>
      <c r="I191" s="11">
        <v>1</v>
      </c>
      <c r="J191" s="11">
        <v>1</v>
      </c>
      <c r="K191" s="17">
        <v>1</v>
      </c>
      <c r="L191" s="17">
        <v>1</v>
      </c>
      <c r="M191" s="17">
        <v>1</v>
      </c>
      <c r="N191" s="17">
        <v>1</v>
      </c>
      <c r="O191" s="17">
        <v>1</v>
      </c>
      <c r="P191" s="17">
        <v>1</v>
      </c>
      <c r="Q191" s="17">
        <v>1</v>
      </c>
      <c r="R191" s="11">
        <v>1</v>
      </c>
      <c r="S191" s="12">
        <v>1</v>
      </c>
      <c r="T191" s="11">
        <v>1</v>
      </c>
      <c r="U191" s="11">
        <v>1</v>
      </c>
      <c r="V191" s="11">
        <v>1</v>
      </c>
      <c r="W191" s="11">
        <v>1</v>
      </c>
      <c r="X191" s="11">
        <v>1</v>
      </c>
      <c r="Y191" s="11">
        <v>1</v>
      </c>
      <c r="Z191" s="11">
        <v>1</v>
      </c>
      <c r="AA191" s="11">
        <v>1</v>
      </c>
      <c r="AB191" s="11">
        <v>1</v>
      </c>
      <c r="AC191" s="11">
        <v>1</v>
      </c>
      <c r="AD191" s="11">
        <v>1</v>
      </c>
      <c r="AF191" s="11">
        <v>1</v>
      </c>
      <c r="AG191" s="11">
        <v>1</v>
      </c>
      <c r="AH191" s="11">
        <v>1</v>
      </c>
      <c r="AI191" s="11">
        <v>1</v>
      </c>
      <c r="AJ191" s="11">
        <v>1</v>
      </c>
      <c r="AK191" s="11">
        <v>1</v>
      </c>
      <c r="AN191" s="2"/>
      <c r="AO191" s="20"/>
      <c r="AP191" s="20"/>
      <c r="AQ191" s="20"/>
      <c r="AR191" s="20"/>
    </row>
    <row r="192" spans="1:44" ht="16" x14ac:dyDescent="0.2">
      <c r="A192" s="11" t="s">
        <v>137</v>
      </c>
      <c r="B192" s="11" t="s">
        <v>137</v>
      </c>
      <c r="C192" s="11" t="s">
        <v>137</v>
      </c>
      <c r="E192" s="11" t="s">
        <v>137</v>
      </c>
      <c r="F192" s="11" t="s">
        <v>137</v>
      </c>
      <c r="G192" s="11" t="s">
        <v>137</v>
      </c>
      <c r="H192" s="11">
        <v>1</v>
      </c>
      <c r="I192" s="11">
        <v>1</v>
      </c>
      <c r="J192" s="11">
        <v>1</v>
      </c>
      <c r="K192" s="17">
        <v>1</v>
      </c>
      <c r="L192" s="17">
        <v>1</v>
      </c>
      <c r="M192" s="17">
        <v>1</v>
      </c>
      <c r="N192" s="17">
        <v>1</v>
      </c>
      <c r="O192" s="17">
        <v>1</v>
      </c>
      <c r="P192" s="17">
        <v>1</v>
      </c>
      <c r="Q192" s="17">
        <v>1</v>
      </c>
      <c r="R192" s="11">
        <v>1</v>
      </c>
      <c r="S192" s="12">
        <v>1</v>
      </c>
      <c r="T192" s="11">
        <v>1</v>
      </c>
      <c r="U192" s="11">
        <v>1</v>
      </c>
      <c r="V192" s="11">
        <v>1</v>
      </c>
      <c r="W192" s="11">
        <v>1</v>
      </c>
      <c r="X192" s="11">
        <v>1</v>
      </c>
      <c r="Y192" s="11">
        <v>1</v>
      </c>
      <c r="Z192" s="11">
        <v>1</v>
      </c>
      <c r="AA192" s="11">
        <v>1</v>
      </c>
      <c r="AB192" s="11">
        <v>1</v>
      </c>
      <c r="AC192" s="11">
        <v>1</v>
      </c>
      <c r="AD192" s="11">
        <v>1</v>
      </c>
      <c r="AF192" s="11">
        <v>1</v>
      </c>
      <c r="AG192" s="11">
        <v>1</v>
      </c>
      <c r="AH192" s="11">
        <v>1</v>
      </c>
      <c r="AI192" s="11">
        <v>1</v>
      </c>
      <c r="AJ192" s="11">
        <v>1</v>
      </c>
      <c r="AK192" s="11">
        <v>1</v>
      </c>
      <c r="AN192" s="2" t="s">
        <v>223</v>
      </c>
      <c r="AO192" s="20" t="s">
        <v>743</v>
      </c>
      <c r="AP192" s="54">
        <f>SUM(A3:AK205)</f>
        <v>4323</v>
      </c>
      <c r="AQ192" s="20">
        <f>COUNT(A3:AK205)</f>
        <v>4437</v>
      </c>
      <c r="AR192" s="55">
        <f>AP192/AQ192</f>
        <v>0.97430696416497631</v>
      </c>
    </row>
    <row r="193" spans="1:43" x14ac:dyDescent="0.2">
      <c r="A193" s="11">
        <v>1</v>
      </c>
      <c r="B193" s="11">
        <v>1</v>
      </c>
      <c r="C193" s="11">
        <v>1</v>
      </c>
      <c r="E193" s="11">
        <v>1</v>
      </c>
      <c r="F193" s="11">
        <v>1</v>
      </c>
      <c r="G193" s="11">
        <v>1</v>
      </c>
      <c r="H193" s="11">
        <v>1</v>
      </c>
      <c r="I193" s="11">
        <v>1</v>
      </c>
      <c r="J193" s="11">
        <v>1</v>
      </c>
      <c r="K193" s="17">
        <v>1</v>
      </c>
      <c r="L193" s="17">
        <v>1</v>
      </c>
      <c r="M193" s="17">
        <v>1</v>
      </c>
      <c r="N193" s="17">
        <v>1</v>
      </c>
      <c r="O193" s="17">
        <v>1</v>
      </c>
      <c r="P193" s="17">
        <v>1</v>
      </c>
      <c r="Q193" s="17">
        <v>1</v>
      </c>
      <c r="R193" s="11">
        <v>1</v>
      </c>
      <c r="S193" s="12">
        <v>1</v>
      </c>
      <c r="T193" s="11">
        <v>1</v>
      </c>
      <c r="U193" s="11">
        <v>1</v>
      </c>
      <c r="V193" s="11">
        <v>1</v>
      </c>
      <c r="W193" s="11">
        <v>1</v>
      </c>
      <c r="X193" s="11">
        <v>1</v>
      </c>
      <c r="Y193" s="11">
        <v>1</v>
      </c>
      <c r="Z193" s="11">
        <v>1</v>
      </c>
      <c r="AA193" s="11">
        <v>1</v>
      </c>
      <c r="AB193" s="11">
        <v>1</v>
      </c>
      <c r="AC193" s="11">
        <v>1</v>
      </c>
      <c r="AD193" s="11">
        <v>1</v>
      </c>
      <c r="AF193" s="11">
        <v>1</v>
      </c>
      <c r="AG193" s="11">
        <v>1</v>
      </c>
      <c r="AH193" s="11">
        <v>1</v>
      </c>
      <c r="AI193" s="11">
        <v>1</v>
      </c>
      <c r="AJ193" s="11">
        <v>1</v>
      </c>
      <c r="AK193" s="11">
        <v>1</v>
      </c>
    </row>
    <row r="194" spans="1:43" ht="16" x14ac:dyDescent="0.2">
      <c r="A194" s="11" t="s">
        <v>137</v>
      </c>
      <c r="B194" s="11" t="s">
        <v>137</v>
      </c>
      <c r="C194" s="11" t="s">
        <v>137</v>
      </c>
      <c r="E194" s="11" t="s">
        <v>137</v>
      </c>
      <c r="F194" s="11" t="s">
        <v>137</v>
      </c>
      <c r="G194" s="11" t="s">
        <v>137</v>
      </c>
      <c r="H194" s="11">
        <v>1</v>
      </c>
      <c r="I194" s="11">
        <v>1</v>
      </c>
      <c r="J194" s="11">
        <v>1</v>
      </c>
      <c r="K194" s="17">
        <v>1</v>
      </c>
      <c r="L194" s="17">
        <v>1</v>
      </c>
      <c r="M194" s="17">
        <v>1</v>
      </c>
      <c r="N194" s="17">
        <v>1</v>
      </c>
      <c r="O194" s="17">
        <v>1</v>
      </c>
      <c r="P194" s="17">
        <v>1</v>
      </c>
      <c r="Q194" s="17">
        <v>1</v>
      </c>
      <c r="R194" s="11">
        <v>1</v>
      </c>
      <c r="S194" s="12">
        <v>1</v>
      </c>
      <c r="T194" s="11">
        <v>1</v>
      </c>
      <c r="U194" s="11">
        <v>1</v>
      </c>
      <c r="V194" s="11">
        <v>1</v>
      </c>
      <c r="W194" s="11">
        <v>1</v>
      </c>
      <c r="X194" s="11">
        <v>1</v>
      </c>
      <c r="Y194" s="11">
        <v>1</v>
      </c>
      <c r="Z194" s="11">
        <v>1</v>
      </c>
      <c r="AA194" s="11">
        <v>1</v>
      </c>
      <c r="AB194" s="11">
        <v>1</v>
      </c>
      <c r="AC194" s="11">
        <v>1</v>
      </c>
      <c r="AD194" s="11">
        <v>1</v>
      </c>
      <c r="AF194" s="11">
        <v>1</v>
      </c>
      <c r="AG194" s="11">
        <v>1</v>
      </c>
      <c r="AH194" s="11">
        <v>1</v>
      </c>
      <c r="AI194" s="11">
        <v>1</v>
      </c>
      <c r="AJ194" s="11">
        <v>1</v>
      </c>
      <c r="AK194" s="11">
        <v>1</v>
      </c>
    </row>
    <row r="195" spans="1:43" ht="16" x14ac:dyDescent="0.2">
      <c r="A195" s="11" t="s">
        <v>137</v>
      </c>
      <c r="B195" s="11" t="s">
        <v>137</v>
      </c>
      <c r="C195" s="11" t="s">
        <v>137</v>
      </c>
      <c r="E195" s="11" t="s">
        <v>137</v>
      </c>
      <c r="F195" s="11" t="s">
        <v>137</v>
      </c>
      <c r="G195" s="11" t="s">
        <v>137</v>
      </c>
      <c r="H195" s="11">
        <v>1</v>
      </c>
      <c r="I195" s="11">
        <v>1</v>
      </c>
      <c r="J195" s="11">
        <v>1</v>
      </c>
      <c r="K195" s="17">
        <v>1</v>
      </c>
      <c r="L195" s="17">
        <v>1</v>
      </c>
      <c r="M195" s="17">
        <v>1</v>
      </c>
      <c r="N195" s="17">
        <v>1</v>
      </c>
      <c r="O195" s="17">
        <v>1</v>
      </c>
      <c r="P195" s="17">
        <v>1</v>
      </c>
      <c r="Q195" s="17">
        <v>1</v>
      </c>
      <c r="R195" s="11">
        <v>1</v>
      </c>
      <c r="S195" s="12">
        <v>1</v>
      </c>
      <c r="T195" s="11">
        <v>1</v>
      </c>
      <c r="U195" s="11">
        <v>1</v>
      </c>
      <c r="V195" s="11">
        <v>1</v>
      </c>
      <c r="W195" s="11">
        <v>1</v>
      </c>
      <c r="X195" s="11">
        <v>1</v>
      </c>
      <c r="Y195" s="11">
        <v>1</v>
      </c>
      <c r="Z195" s="11">
        <v>1</v>
      </c>
      <c r="AA195" s="11">
        <v>1</v>
      </c>
      <c r="AB195" s="11">
        <v>1</v>
      </c>
      <c r="AC195" s="11">
        <v>1</v>
      </c>
      <c r="AD195" s="11">
        <v>1</v>
      </c>
      <c r="AF195" s="11">
        <v>1</v>
      </c>
      <c r="AG195" s="11">
        <v>1</v>
      </c>
      <c r="AH195" s="11">
        <v>1</v>
      </c>
      <c r="AI195" s="11">
        <v>1</v>
      </c>
      <c r="AJ195" s="11">
        <v>1</v>
      </c>
      <c r="AK195" s="11">
        <v>1</v>
      </c>
    </row>
    <row r="196" spans="1:43" x14ac:dyDescent="0.2">
      <c r="A196" s="11">
        <v>1</v>
      </c>
      <c r="B196" s="11">
        <v>1</v>
      </c>
      <c r="C196" s="11">
        <v>1</v>
      </c>
      <c r="E196" s="11">
        <v>1</v>
      </c>
      <c r="F196" s="11">
        <v>1</v>
      </c>
      <c r="G196" s="11">
        <v>1</v>
      </c>
      <c r="H196" s="11">
        <v>1</v>
      </c>
      <c r="I196" s="11">
        <v>1</v>
      </c>
      <c r="J196" s="11">
        <v>1</v>
      </c>
      <c r="K196" s="17">
        <v>1</v>
      </c>
      <c r="L196" s="17">
        <v>1</v>
      </c>
      <c r="M196" s="17">
        <v>1</v>
      </c>
      <c r="N196" s="17">
        <v>1</v>
      </c>
      <c r="O196" s="17">
        <v>1</v>
      </c>
      <c r="P196" s="17">
        <v>1</v>
      </c>
      <c r="Q196" s="17">
        <v>1</v>
      </c>
      <c r="R196" s="11">
        <v>1</v>
      </c>
      <c r="S196" s="12">
        <v>1</v>
      </c>
      <c r="T196" s="11">
        <v>1</v>
      </c>
      <c r="U196" s="11">
        <v>1</v>
      </c>
      <c r="V196" s="11">
        <v>1</v>
      </c>
      <c r="W196" s="11">
        <v>1</v>
      </c>
      <c r="X196" s="11">
        <v>1</v>
      </c>
      <c r="Y196" s="11">
        <v>0</v>
      </c>
      <c r="Z196" s="11">
        <v>0</v>
      </c>
      <c r="AA196" s="11">
        <v>1</v>
      </c>
      <c r="AB196" s="11">
        <v>1</v>
      </c>
      <c r="AC196" s="11">
        <v>0</v>
      </c>
      <c r="AD196" s="11">
        <v>1</v>
      </c>
      <c r="AF196" s="11">
        <v>1</v>
      </c>
      <c r="AG196" s="11">
        <v>1</v>
      </c>
      <c r="AH196" s="11">
        <v>1</v>
      </c>
      <c r="AI196" s="11">
        <v>1</v>
      </c>
      <c r="AJ196" s="11">
        <v>1</v>
      </c>
      <c r="AK196" s="11">
        <v>1</v>
      </c>
    </row>
    <row r="197" spans="1:43" ht="16" x14ac:dyDescent="0.2">
      <c r="A197" s="11" t="s">
        <v>137</v>
      </c>
      <c r="B197" s="11" t="s">
        <v>137</v>
      </c>
      <c r="C197" s="11" t="s">
        <v>137</v>
      </c>
      <c r="E197" s="11" t="s">
        <v>137</v>
      </c>
      <c r="F197" s="11" t="s">
        <v>137</v>
      </c>
      <c r="G197" s="11" t="s">
        <v>137</v>
      </c>
      <c r="H197" s="11">
        <v>1</v>
      </c>
      <c r="I197" s="11">
        <v>1</v>
      </c>
      <c r="J197" s="11">
        <v>1</v>
      </c>
      <c r="K197" s="17">
        <v>1</v>
      </c>
      <c r="L197" s="17">
        <v>1</v>
      </c>
      <c r="M197" s="17">
        <v>1</v>
      </c>
      <c r="N197" s="17">
        <v>1</v>
      </c>
      <c r="O197" s="17">
        <v>1</v>
      </c>
      <c r="P197" s="17">
        <v>1</v>
      </c>
      <c r="Q197" s="17">
        <v>1</v>
      </c>
      <c r="R197" s="11">
        <v>1</v>
      </c>
      <c r="S197" s="12">
        <v>1</v>
      </c>
      <c r="T197" s="11">
        <v>1</v>
      </c>
      <c r="U197" s="11">
        <v>1</v>
      </c>
      <c r="V197" s="11">
        <v>1</v>
      </c>
      <c r="W197" s="11">
        <v>1</v>
      </c>
      <c r="X197" s="11">
        <v>1</v>
      </c>
      <c r="Y197" s="11">
        <v>0</v>
      </c>
      <c r="Z197" s="11">
        <v>0</v>
      </c>
      <c r="AA197" s="11">
        <v>1</v>
      </c>
      <c r="AB197" s="11">
        <v>1</v>
      </c>
      <c r="AC197" s="11">
        <v>0</v>
      </c>
      <c r="AD197" s="11">
        <v>1</v>
      </c>
      <c r="AF197" s="11">
        <v>1</v>
      </c>
      <c r="AG197" s="11">
        <v>1</v>
      </c>
      <c r="AH197" s="11">
        <v>1</v>
      </c>
      <c r="AI197" s="11">
        <v>1</v>
      </c>
      <c r="AJ197" s="11">
        <v>1</v>
      </c>
      <c r="AK197" s="11">
        <v>1</v>
      </c>
    </row>
    <row r="198" spans="1:43" x14ac:dyDescent="0.2">
      <c r="A198" s="11">
        <v>1</v>
      </c>
      <c r="B198" s="11">
        <v>1</v>
      </c>
      <c r="C198" s="11">
        <v>1</v>
      </c>
      <c r="E198" s="11">
        <v>1</v>
      </c>
      <c r="F198" s="11">
        <v>1</v>
      </c>
      <c r="G198" s="11">
        <v>1</v>
      </c>
      <c r="H198" s="11">
        <v>1</v>
      </c>
      <c r="I198" s="11">
        <v>1</v>
      </c>
      <c r="J198" s="11">
        <v>1</v>
      </c>
      <c r="K198" s="17">
        <v>1</v>
      </c>
      <c r="L198" s="17">
        <v>1</v>
      </c>
      <c r="M198" s="17">
        <v>1</v>
      </c>
      <c r="N198" s="17">
        <v>1</v>
      </c>
      <c r="O198" s="17">
        <v>1</v>
      </c>
      <c r="P198" s="17">
        <v>1</v>
      </c>
      <c r="Q198" s="17">
        <v>1</v>
      </c>
      <c r="R198" s="11">
        <v>1</v>
      </c>
      <c r="S198" s="12">
        <v>1</v>
      </c>
      <c r="T198" s="11">
        <v>1</v>
      </c>
      <c r="U198" s="11">
        <v>1</v>
      </c>
      <c r="V198" s="11">
        <v>0</v>
      </c>
      <c r="W198" s="11">
        <v>1</v>
      </c>
      <c r="X198" s="11">
        <v>1</v>
      </c>
      <c r="Y198" s="11">
        <v>1</v>
      </c>
      <c r="Z198" s="11">
        <v>1</v>
      </c>
      <c r="AA198" s="11">
        <v>1</v>
      </c>
      <c r="AB198" s="11">
        <v>1</v>
      </c>
      <c r="AC198" s="11">
        <v>1</v>
      </c>
      <c r="AD198" s="11">
        <v>1</v>
      </c>
      <c r="AF198" s="11">
        <v>1</v>
      </c>
      <c r="AG198" s="11">
        <v>1</v>
      </c>
      <c r="AH198" s="11">
        <v>1</v>
      </c>
      <c r="AI198" s="11">
        <v>1</v>
      </c>
      <c r="AJ198" s="11">
        <v>1</v>
      </c>
      <c r="AK198" s="11">
        <v>0</v>
      </c>
    </row>
    <row r="199" spans="1:43" ht="16" x14ac:dyDescent="0.2">
      <c r="A199" s="11" t="s">
        <v>137</v>
      </c>
      <c r="B199" s="11" t="s">
        <v>137</v>
      </c>
      <c r="C199" s="11" t="s">
        <v>137</v>
      </c>
      <c r="E199" s="11" t="s">
        <v>137</v>
      </c>
      <c r="F199" s="11" t="s">
        <v>137</v>
      </c>
      <c r="G199" s="11" t="s">
        <v>137</v>
      </c>
      <c r="H199" s="11">
        <v>1</v>
      </c>
      <c r="I199" s="11">
        <v>1</v>
      </c>
      <c r="J199" s="11">
        <v>1</v>
      </c>
      <c r="K199" s="17">
        <v>1</v>
      </c>
      <c r="L199" s="17">
        <v>1</v>
      </c>
      <c r="M199" s="17">
        <v>1</v>
      </c>
      <c r="N199" s="17">
        <v>1</v>
      </c>
      <c r="O199" s="17">
        <v>1</v>
      </c>
      <c r="P199" s="17">
        <v>1</v>
      </c>
      <c r="Q199" s="17">
        <v>1</v>
      </c>
      <c r="R199" s="11">
        <v>0</v>
      </c>
      <c r="S199" s="12">
        <v>1</v>
      </c>
      <c r="T199" s="11">
        <v>0</v>
      </c>
      <c r="U199" s="11">
        <v>1</v>
      </c>
      <c r="V199" s="11">
        <v>0</v>
      </c>
      <c r="W199" s="11">
        <v>1</v>
      </c>
      <c r="X199" s="11">
        <v>1</v>
      </c>
      <c r="Y199" s="11">
        <v>1</v>
      </c>
      <c r="Z199" s="11">
        <v>1</v>
      </c>
      <c r="AA199" s="11">
        <v>1</v>
      </c>
      <c r="AB199" s="11">
        <v>1</v>
      </c>
      <c r="AC199" s="11">
        <v>1</v>
      </c>
      <c r="AD199" s="11">
        <v>1</v>
      </c>
      <c r="AF199" s="11">
        <v>1</v>
      </c>
      <c r="AG199" s="11">
        <v>1</v>
      </c>
      <c r="AH199" s="11">
        <v>1</v>
      </c>
      <c r="AI199" s="11">
        <v>1</v>
      </c>
      <c r="AJ199" s="11">
        <v>1</v>
      </c>
      <c r="AK199" s="11">
        <v>0</v>
      </c>
    </row>
    <row r="200" spans="1:43" x14ac:dyDescent="0.2">
      <c r="A200" s="11">
        <v>1</v>
      </c>
      <c r="B200" s="11">
        <v>1</v>
      </c>
      <c r="C200" s="11">
        <v>1</v>
      </c>
      <c r="E200" s="11">
        <v>1</v>
      </c>
      <c r="F200" s="11">
        <v>1</v>
      </c>
      <c r="G200" s="11">
        <v>1</v>
      </c>
      <c r="H200" s="11">
        <v>1</v>
      </c>
      <c r="I200" s="11">
        <v>1</v>
      </c>
      <c r="J200" s="11">
        <v>1</v>
      </c>
      <c r="K200" s="17">
        <v>1</v>
      </c>
      <c r="L200" s="17">
        <v>1</v>
      </c>
      <c r="M200" s="17">
        <v>1</v>
      </c>
      <c r="N200" s="17">
        <v>1</v>
      </c>
      <c r="O200" s="17">
        <v>1</v>
      </c>
      <c r="P200" s="17">
        <v>1</v>
      </c>
      <c r="Q200" s="17">
        <v>1</v>
      </c>
      <c r="R200" s="11">
        <v>1</v>
      </c>
      <c r="S200" s="12">
        <v>1</v>
      </c>
      <c r="T200" s="11">
        <v>0</v>
      </c>
      <c r="U200" s="11">
        <v>0</v>
      </c>
      <c r="V200" s="11">
        <v>1</v>
      </c>
      <c r="W200" s="11">
        <v>1</v>
      </c>
      <c r="X200" s="11">
        <v>1</v>
      </c>
      <c r="Y200" s="11">
        <v>1</v>
      </c>
      <c r="Z200" s="11">
        <v>1</v>
      </c>
      <c r="AA200" s="11">
        <v>1</v>
      </c>
      <c r="AB200" s="11">
        <v>1</v>
      </c>
      <c r="AC200" s="11">
        <v>1</v>
      </c>
      <c r="AD200" s="11">
        <v>1</v>
      </c>
      <c r="AF200" s="11">
        <v>1</v>
      </c>
      <c r="AG200" s="11">
        <v>1</v>
      </c>
      <c r="AH200" s="11">
        <v>1</v>
      </c>
      <c r="AI200" s="11">
        <v>1</v>
      </c>
      <c r="AJ200" s="11">
        <v>1</v>
      </c>
      <c r="AK200" s="11">
        <v>1</v>
      </c>
    </row>
    <row r="201" spans="1:43" ht="16" x14ac:dyDescent="0.2">
      <c r="A201" s="11" t="s">
        <v>137</v>
      </c>
      <c r="B201" s="11" t="s">
        <v>137</v>
      </c>
      <c r="C201" s="11" t="s">
        <v>137</v>
      </c>
      <c r="E201" s="11" t="s">
        <v>137</v>
      </c>
      <c r="F201" s="11" t="s">
        <v>137</v>
      </c>
      <c r="G201" s="11" t="s">
        <v>137</v>
      </c>
      <c r="H201" s="11" t="s">
        <v>137</v>
      </c>
      <c r="I201" s="11" t="s">
        <v>137</v>
      </c>
      <c r="J201" s="11" t="s">
        <v>137</v>
      </c>
      <c r="K201" s="17" t="s">
        <v>137</v>
      </c>
      <c r="L201" s="17" t="s">
        <v>137</v>
      </c>
      <c r="M201" s="17" t="s">
        <v>137</v>
      </c>
      <c r="N201" s="17" t="s">
        <v>137</v>
      </c>
      <c r="O201" s="17" t="s">
        <v>137</v>
      </c>
      <c r="P201" s="17" t="s">
        <v>137</v>
      </c>
      <c r="Q201" s="17" t="s">
        <v>137</v>
      </c>
      <c r="R201" s="11" t="s">
        <v>137</v>
      </c>
      <c r="S201" s="12" t="s">
        <v>137</v>
      </c>
      <c r="T201" s="11" t="s">
        <v>137</v>
      </c>
      <c r="U201" s="11" t="s">
        <v>137</v>
      </c>
      <c r="V201" s="11" t="s">
        <v>137</v>
      </c>
      <c r="W201" s="11" t="s">
        <v>137</v>
      </c>
      <c r="X201" s="11" t="s">
        <v>137</v>
      </c>
      <c r="Y201" s="11" t="s">
        <v>137</v>
      </c>
      <c r="Z201" s="11" t="s">
        <v>137</v>
      </c>
      <c r="AA201" s="11" t="s">
        <v>137</v>
      </c>
      <c r="AB201" s="11">
        <v>1</v>
      </c>
      <c r="AC201" s="11">
        <v>1</v>
      </c>
      <c r="AD201" s="11">
        <v>1</v>
      </c>
      <c r="AF201" s="11">
        <v>1</v>
      </c>
      <c r="AG201" s="11">
        <v>1</v>
      </c>
      <c r="AH201" s="11">
        <v>1</v>
      </c>
      <c r="AI201" s="11">
        <v>1</v>
      </c>
      <c r="AJ201" s="11">
        <v>1</v>
      </c>
      <c r="AK201" s="11">
        <v>1</v>
      </c>
    </row>
    <row r="202" spans="1:43" ht="16" x14ac:dyDescent="0.2">
      <c r="A202" s="11" t="s">
        <v>137</v>
      </c>
      <c r="B202" s="11" t="s">
        <v>137</v>
      </c>
      <c r="C202" s="11" t="s">
        <v>137</v>
      </c>
      <c r="E202" s="11" t="s">
        <v>137</v>
      </c>
      <c r="F202" s="11" t="s">
        <v>137</v>
      </c>
      <c r="G202" s="11" t="s">
        <v>137</v>
      </c>
      <c r="H202" s="11" t="s">
        <v>137</v>
      </c>
      <c r="I202" s="11" t="s">
        <v>137</v>
      </c>
      <c r="J202" s="11" t="s">
        <v>137</v>
      </c>
      <c r="K202" s="17" t="s">
        <v>137</v>
      </c>
      <c r="L202" s="17" t="s">
        <v>137</v>
      </c>
      <c r="M202" s="17" t="s">
        <v>137</v>
      </c>
      <c r="N202" s="17" t="s">
        <v>137</v>
      </c>
      <c r="O202" s="17" t="s">
        <v>137</v>
      </c>
      <c r="P202" s="17" t="s">
        <v>137</v>
      </c>
      <c r="Q202" s="17" t="s">
        <v>137</v>
      </c>
      <c r="R202" s="11" t="s">
        <v>137</v>
      </c>
      <c r="S202" s="12" t="s">
        <v>137</v>
      </c>
      <c r="T202" s="11" t="s">
        <v>137</v>
      </c>
      <c r="U202" s="11" t="s">
        <v>137</v>
      </c>
      <c r="V202" s="11" t="s">
        <v>137</v>
      </c>
      <c r="W202" s="11" t="s">
        <v>137</v>
      </c>
      <c r="X202" s="11" t="s">
        <v>137</v>
      </c>
      <c r="Y202" s="11" t="s">
        <v>137</v>
      </c>
      <c r="Z202" s="11" t="s">
        <v>137</v>
      </c>
      <c r="AA202" s="11" t="s">
        <v>137</v>
      </c>
      <c r="AB202" s="11">
        <v>1</v>
      </c>
      <c r="AC202" s="11">
        <v>1</v>
      </c>
      <c r="AD202" s="11">
        <v>1</v>
      </c>
      <c r="AF202" s="11">
        <v>1</v>
      </c>
      <c r="AG202" s="11">
        <v>1</v>
      </c>
      <c r="AH202" s="11">
        <v>1</v>
      </c>
      <c r="AI202" s="11">
        <v>1</v>
      </c>
      <c r="AJ202" s="11">
        <v>1</v>
      </c>
      <c r="AK202" s="11">
        <v>1</v>
      </c>
    </row>
    <row r="203" spans="1:43" ht="16" x14ac:dyDescent="0.2">
      <c r="A203" s="11" t="s">
        <v>137</v>
      </c>
      <c r="B203" s="11" t="s">
        <v>137</v>
      </c>
      <c r="C203" s="11" t="s">
        <v>137</v>
      </c>
      <c r="E203" s="11" t="s">
        <v>137</v>
      </c>
      <c r="F203" s="11" t="s">
        <v>137</v>
      </c>
      <c r="G203" s="11" t="s">
        <v>137</v>
      </c>
      <c r="H203" s="11">
        <v>1</v>
      </c>
      <c r="I203" s="11">
        <v>1</v>
      </c>
      <c r="J203" s="11">
        <v>1</v>
      </c>
      <c r="K203" s="17">
        <v>1</v>
      </c>
      <c r="L203" s="17">
        <v>1</v>
      </c>
      <c r="M203" s="17">
        <v>1</v>
      </c>
      <c r="N203" s="17">
        <v>1</v>
      </c>
      <c r="O203" s="17">
        <v>1</v>
      </c>
      <c r="P203" s="17">
        <v>1</v>
      </c>
      <c r="Q203" s="17">
        <v>1</v>
      </c>
      <c r="R203" s="11">
        <v>0</v>
      </c>
      <c r="S203" s="12">
        <v>1</v>
      </c>
      <c r="T203" s="11">
        <v>0</v>
      </c>
      <c r="U203" s="11" t="s">
        <v>137</v>
      </c>
      <c r="V203" s="11">
        <v>0</v>
      </c>
      <c r="W203" s="11">
        <v>1</v>
      </c>
      <c r="X203" s="11">
        <v>1</v>
      </c>
      <c r="Y203" s="11">
        <v>1</v>
      </c>
      <c r="Z203" s="11">
        <v>1</v>
      </c>
      <c r="AA203" s="11">
        <v>1</v>
      </c>
      <c r="AB203" s="11">
        <v>1</v>
      </c>
      <c r="AC203" s="11">
        <v>1</v>
      </c>
      <c r="AD203" s="11">
        <v>1</v>
      </c>
      <c r="AF203" s="11">
        <v>1</v>
      </c>
      <c r="AG203" s="11">
        <v>1</v>
      </c>
      <c r="AH203" s="11">
        <v>1</v>
      </c>
      <c r="AI203" s="11">
        <v>1</v>
      </c>
      <c r="AJ203" s="11">
        <v>1</v>
      </c>
      <c r="AK203" s="11">
        <v>1</v>
      </c>
    </row>
    <row r="204" spans="1:43" ht="16" x14ac:dyDescent="0.2">
      <c r="A204" s="11" t="s">
        <v>137</v>
      </c>
      <c r="B204" s="11" t="s">
        <v>137</v>
      </c>
      <c r="C204" s="11" t="s">
        <v>137</v>
      </c>
      <c r="E204" s="11" t="s">
        <v>137</v>
      </c>
      <c r="F204" s="11" t="s">
        <v>137</v>
      </c>
      <c r="G204" s="11" t="s">
        <v>137</v>
      </c>
      <c r="H204" s="11" t="s">
        <v>137</v>
      </c>
      <c r="I204" s="11" t="s">
        <v>137</v>
      </c>
      <c r="J204" s="11" t="s">
        <v>137</v>
      </c>
      <c r="K204" s="17" t="s">
        <v>137</v>
      </c>
      <c r="L204" s="17" t="s">
        <v>137</v>
      </c>
      <c r="M204" s="17" t="s">
        <v>137</v>
      </c>
      <c r="N204" s="17" t="s">
        <v>137</v>
      </c>
      <c r="O204" s="17" t="s">
        <v>137</v>
      </c>
      <c r="P204" s="17" t="s">
        <v>137</v>
      </c>
      <c r="Q204" s="17" t="s">
        <v>137</v>
      </c>
      <c r="R204" s="11" t="s">
        <v>137</v>
      </c>
      <c r="S204" s="12" t="s">
        <v>137</v>
      </c>
      <c r="T204" s="11" t="s">
        <v>137</v>
      </c>
      <c r="U204" s="11" t="s">
        <v>137</v>
      </c>
      <c r="V204" s="11" t="s">
        <v>137</v>
      </c>
      <c r="W204" s="11" t="s">
        <v>137</v>
      </c>
      <c r="X204" s="11" t="s">
        <v>137</v>
      </c>
      <c r="Y204" s="11" t="s">
        <v>137</v>
      </c>
      <c r="Z204" s="11" t="s">
        <v>137</v>
      </c>
      <c r="AA204" s="11" t="s">
        <v>137</v>
      </c>
      <c r="AB204" s="11">
        <v>1</v>
      </c>
      <c r="AC204" s="11">
        <v>1</v>
      </c>
      <c r="AD204" s="11">
        <v>1</v>
      </c>
      <c r="AF204" s="11">
        <v>1</v>
      </c>
      <c r="AG204" s="11">
        <v>1</v>
      </c>
      <c r="AH204" s="11">
        <v>1</v>
      </c>
      <c r="AI204" s="11">
        <v>1</v>
      </c>
      <c r="AJ204" s="11">
        <v>1</v>
      </c>
      <c r="AK204" s="11">
        <v>1</v>
      </c>
    </row>
    <row r="205" spans="1:43" s="107" customFormat="1" ht="17" thickBot="1" x14ac:dyDescent="0.25">
      <c r="A205" s="107" t="s">
        <v>137</v>
      </c>
      <c r="B205" s="107" t="s">
        <v>137</v>
      </c>
      <c r="C205" s="107" t="s">
        <v>137</v>
      </c>
      <c r="E205" s="107" t="s">
        <v>137</v>
      </c>
      <c r="F205" s="107" t="s">
        <v>137</v>
      </c>
      <c r="G205" s="107" t="s">
        <v>137</v>
      </c>
      <c r="H205" s="107" t="s">
        <v>137</v>
      </c>
      <c r="I205" s="107" t="s">
        <v>137</v>
      </c>
      <c r="J205" s="107" t="s">
        <v>137</v>
      </c>
      <c r="K205" s="177" t="s">
        <v>137</v>
      </c>
      <c r="L205" s="177" t="s">
        <v>137</v>
      </c>
      <c r="M205" s="177" t="s">
        <v>137</v>
      </c>
      <c r="N205" s="177" t="s">
        <v>137</v>
      </c>
      <c r="O205" s="177" t="s">
        <v>137</v>
      </c>
      <c r="P205" s="177" t="s">
        <v>137</v>
      </c>
      <c r="Q205" s="177" t="s">
        <v>137</v>
      </c>
      <c r="R205" s="107" t="s">
        <v>137</v>
      </c>
      <c r="S205" s="178" t="s">
        <v>137</v>
      </c>
      <c r="T205" s="107" t="s">
        <v>137</v>
      </c>
      <c r="U205" s="107" t="s">
        <v>137</v>
      </c>
      <c r="V205" s="107" t="s">
        <v>137</v>
      </c>
      <c r="W205" s="107" t="s">
        <v>137</v>
      </c>
      <c r="X205" s="107" t="s">
        <v>137</v>
      </c>
      <c r="Y205" s="107" t="s">
        <v>137</v>
      </c>
      <c r="Z205" s="107" t="s">
        <v>137</v>
      </c>
      <c r="AA205" s="107" t="s">
        <v>137</v>
      </c>
      <c r="AB205" s="107">
        <v>1</v>
      </c>
      <c r="AC205" s="107">
        <v>1</v>
      </c>
      <c r="AD205" s="107">
        <v>1</v>
      </c>
      <c r="AF205" s="107">
        <v>1</v>
      </c>
      <c r="AG205" s="107">
        <v>1</v>
      </c>
      <c r="AH205" s="107">
        <v>1</v>
      </c>
      <c r="AI205" s="107">
        <v>1</v>
      </c>
      <c r="AJ205" s="107">
        <v>1</v>
      </c>
      <c r="AK205" s="107">
        <v>1</v>
      </c>
      <c r="AN205" s="106"/>
      <c r="AP205" s="108"/>
      <c r="AQ205" s="108"/>
    </row>
    <row r="206" spans="1:43" ht="16" thickTop="1" x14ac:dyDescent="0.2"/>
  </sheetData>
  <dataConsolidate/>
  <mergeCells count="7">
    <mergeCell ref="AF1:AK1"/>
    <mergeCell ref="A1:G1"/>
    <mergeCell ref="H1:Q1"/>
    <mergeCell ref="R1:T1"/>
    <mergeCell ref="U1:AA1"/>
    <mergeCell ref="AB1:AC1"/>
    <mergeCell ref="AE1:AE2"/>
  </mergeCells>
  <conditionalFormatting sqref="A2:C2 E2:X2 Z34:XFD46 Z47:AM50 AS47:XFD50 Z51:XFD57">
    <cfRule type="containsText" dxfId="21" priority="12" operator="containsText" text="0">
      <formula>NOT(ISERROR(SEARCH("0",A2)))</formula>
    </cfRule>
  </conditionalFormatting>
  <conditionalFormatting sqref="A1:Y1 A3:Y57">
    <cfRule type="containsText" dxfId="20" priority="9" operator="containsText" text="0">
      <formula>NOT(ISERROR(SEARCH("0",A1)))</formula>
    </cfRule>
  </conditionalFormatting>
  <conditionalFormatting sqref="A58:AM1048576">
    <cfRule type="containsText" dxfId="19" priority="6" operator="containsText" text="0">
      <formula>NOT(ISERROR(SEARCH("0",A58)))</formula>
    </cfRule>
  </conditionalFormatting>
  <conditionalFormatting sqref="D2">
    <cfRule type="cellIs" dxfId="18" priority="4" operator="notEqual">
      <formula>#REF!</formula>
    </cfRule>
    <cfRule type="cellIs" dxfId="17" priority="5" operator="notEqual">
      <formula>#REF!+#REF!</formula>
    </cfRule>
  </conditionalFormatting>
  <conditionalFormatting sqref="Y2">
    <cfRule type="cellIs" dxfId="16" priority="7" operator="notEqual">
      <formula>#REF!</formula>
    </cfRule>
    <cfRule type="cellIs" dxfId="15" priority="8" operator="notEqual">
      <formula>#REF!+#REF!</formula>
    </cfRule>
  </conditionalFormatting>
  <conditionalFormatting sqref="Z1:AC2 AF1:AM2 AS1:XFD22 Z3:AM22 AS58:XFD1048576">
    <cfRule type="containsText" dxfId="14" priority="14" operator="containsText" text="0">
      <formula>NOT(ISERROR(SEARCH("0",Z1)))</formula>
    </cfRule>
  </conditionalFormatting>
  <conditionalFormatting sqref="Z2:AC2 A2:C2 E2:Q2 U2:X2">
    <cfRule type="cellIs" dxfId="13" priority="19" operator="notEqual">
      <formula>#REF!</formula>
    </cfRule>
    <cfRule type="cellIs" dxfId="12" priority="20" operator="notEqual">
      <formula>#REF!+#REF!</formula>
    </cfRule>
  </conditionalFormatting>
  <conditionalFormatting sqref="Z23:XFD23 Z24:AM31 AS24:XFD31 Z32:XFD32 Z33:AN33 AS33:XFD33">
    <cfRule type="containsText" dxfId="11" priority="13" operator="containsText" text="0">
      <formula>NOT(ISERROR(SEARCH("0",Z23)))</formula>
    </cfRule>
  </conditionalFormatting>
  <conditionalFormatting sqref="AE1 AD2">
    <cfRule type="cellIs" dxfId="10" priority="2" operator="notEqual">
      <formula>#REF!</formula>
    </cfRule>
    <cfRule type="cellIs" dxfId="9" priority="3" operator="notEqual">
      <formula>#REF!+#REF!</formula>
    </cfRule>
  </conditionalFormatting>
  <conditionalFormatting sqref="AI2:AM2">
    <cfRule type="cellIs" dxfId="8" priority="15" operator="notEqual">
      <formula>#REF!</formula>
    </cfRule>
    <cfRule type="cellIs" dxfId="7" priority="16" operator="notEqual">
      <formula>#REF!+#REF!</formula>
    </cfRule>
  </conditionalFormatting>
  <conditionalFormatting sqref="AN49:AR49 AN50">
    <cfRule type="containsText" dxfId="6" priority="11" operator="containsText" text="0">
      <formula>NOT(ISERROR(SEARCH("0",AN49)))</formula>
    </cfRule>
  </conditionalFormatting>
  <conditionalFormatting sqref="AN62:AR62 AN63">
    <cfRule type="containsText" dxfId="5" priority="10" operator="containsText" text="0">
      <formula>NOT(ISERROR(SEARCH("0",AN62)))</formula>
    </cfRule>
  </conditionalFormatting>
  <conditionalFormatting sqref="AN191:AR191 AN192">
    <cfRule type="containsText" dxfId="4" priority="1" operator="containsText" text="0">
      <formula>NOT(ISERROR(SEARCH("0",AN191)))</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DF83-E332-2145-AB3D-BAFCE32480D7}">
  <dimension ref="A1:AL79"/>
  <sheetViews>
    <sheetView zoomScale="125" zoomScaleNormal="125" workbookViewId="0">
      <pane xSplit="8" ySplit="2" topLeftCell="L3" activePane="bottomRight" state="frozen"/>
      <selection pane="topRight" activeCell="H1" sqref="H1"/>
      <selection pane="bottomLeft" activeCell="A3" sqref="A3"/>
      <selection pane="bottomRight" activeCell="O18" sqref="O18"/>
    </sheetView>
  </sheetViews>
  <sheetFormatPr baseColWidth="10" defaultColWidth="11.5" defaultRowHeight="15" x14ac:dyDescent="0.2"/>
  <cols>
    <col min="1" max="1" width="17.83203125" style="13" customWidth="1"/>
    <col min="2" max="2" width="6.1640625" style="13" customWidth="1"/>
    <col min="3" max="3" width="6" style="13" customWidth="1"/>
    <col min="4" max="4" width="5.5" style="13" customWidth="1"/>
    <col min="5" max="5" width="4.5" style="13" customWidth="1"/>
    <col min="6" max="6" width="7.33203125" style="13" customWidth="1"/>
    <col min="7" max="7" width="9.33203125" style="11" customWidth="1"/>
    <col min="8" max="8" width="12.6640625" style="11" customWidth="1"/>
    <col min="9" max="9" width="11.5" style="11"/>
    <col min="10" max="10" width="11.5" style="17"/>
    <col min="11" max="11" width="14.33203125" style="17" customWidth="1"/>
    <col min="12" max="16" width="9.83203125" style="17" customWidth="1"/>
    <col min="17" max="17" width="15.6640625" style="11" customWidth="1"/>
    <col min="18" max="18" width="10.33203125" style="12" customWidth="1"/>
    <col min="19" max="19" width="16.33203125" style="11" customWidth="1"/>
    <col min="20" max="20" width="11.5" style="11"/>
    <col min="21" max="21" width="13.83203125" style="11" customWidth="1"/>
    <col min="22" max="22" width="16.5" style="11" customWidth="1"/>
    <col min="23" max="23" width="13" style="11" customWidth="1"/>
    <col min="24" max="24" width="13.5" style="11" customWidth="1"/>
    <col min="25" max="25" width="11.5" style="11"/>
    <col min="26" max="26" width="20.1640625" style="11" customWidth="1"/>
    <col min="27" max="27" width="12.5" style="11" customWidth="1"/>
    <col min="28" max="28" width="18.33203125" style="11" customWidth="1"/>
    <col min="29" max="31" width="12.33203125" style="11" customWidth="1"/>
    <col min="32" max="34" width="11.5" style="11"/>
    <col min="35" max="35" width="13.83203125" style="11" customWidth="1"/>
    <col min="36" max="36" width="20" style="11" customWidth="1"/>
    <col min="37" max="37" width="32.5" style="1" customWidth="1"/>
    <col min="38" max="38" width="26.6640625" style="1" customWidth="1"/>
    <col min="39" max="16384" width="11.5" style="11"/>
  </cols>
  <sheetData>
    <row r="1" spans="1:38" ht="21" customHeight="1" x14ac:dyDescent="0.2">
      <c r="A1" s="411" t="s">
        <v>0</v>
      </c>
      <c r="B1" s="411"/>
      <c r="C1" s="411"/>
      <c r="D1" s="411"/>
      <c r="E1" s="411"/>
      <c r="F1" s="411"/>
      <c r="G1" s="412" t="s">
        <v>1</v>
      </c>
      <c r="H1" s="412"/>
      <c r="I1" s="412"/>
      <c r="J1" s="412"/>
      <c r="K1" s="412"/>
      <c r="L1" s="412"/>
      <c r="M1" s="412"/>
      <c r="N1" s="412"/>
      <c r="O1" s="412"/>
      <c r="P1" s="412"/>
      <c r="Q1" s="413" t="s">
        <v>2</v>
      </c>
      <c r="R1" s="413"/>
      <c r="S1" s="413"/>
      <c r="T1" s="414" t="s">
        <v>3</v>
      </c>
      <c r="U1" s="414"/>
      <c r="V1" s="414"/>
      <c r="W1" s="414"/>
      <c r="X1" s="414"/>
      <c r="Y1" s="414"/>
      <c r="Z1" s="410" t="s">
        <v>4</v>
      </c>
      <c r="AA1" s="410"/>
      <c r="AB1" s="57"/>
      <c r="AC1" s="410" t="s">
        <v>5</v>
      </c>
      <c r="AD1" s="410"/>
      <c r="AE1" s="410"/>
      <c r="AF1" s="410"/>
      <c r="AG1" s="410"/>
      <c r="AH1" s="410"/>
      <c r="AI1" s="14" t="s">
        <v>6</v>
      </c>
      <c r="AJ1" s="14" t="s">
        <v>7</v>
      </c>
      <c r="AK1" s="1" t="s">
        <v>8</v>
      </c>
      <c r="AL1" s="11" t="s">
        <v>9</v>
      </c>
    </row>
    <row r="2" spans="1:38" ht="38" customHeight="1" x14ac:dyDescent="0.2">
      <c r="A2" s="4" t="s">
        <v>10</v>
      </c>
      <c r="B2" s="4" t="s">
        <v>11</v>
      </c>
      <c r="C2" s="4" t="s">
        <v>12</v>
      </c>
      <c r="D2" s="5" t="s">
        <v>13</v>
      </c>
      <c r="E2" s="5" t="s">
        <v>14</v>
      </c>
      <c r="F2" s="5" t="s">
        <v>15</v>
      </c>
      <c r="G2" s="6" t="s">
        <v>16</v>
      </c>
      <c r="H2" s="6" t="s">
        <v>17</v>
      </c>
      <c r="I2" s="6" t="s">
        <v>18</v>
      </c>
      <c r="J2" s="16" t="s">
        <v>19</v>
      </c>
      <c r="K2" s="6" t="s">
        <v>20</v>
      </c>
      <c r="L2" s="3" t="s">
        <v>21</v>
      </c>
      <c r="M2" s="3" t="s">
        <v>22</v>
      </c>
      <c r="N2" s="3" t="s">
        <v>23</v>
      </c>
      <c r="O2" s="3" t="s">
        <v>24</v>
      </c>
      <c r="P2" s="3" t="s">
        <v>25</v>
      </c>
      <c r="Q2" s="36" t="s">
        <v>26</v>
      </c>
      <c r="R2" s="37" t="s">
        <v>27</v>
      </c>
      <c r="S2" s="35" t="s">
        <v>28</v>
      </c>
      <c r="T2" s="8" t="s">
        <v>29</v>
      </c>
      <c r="U2" s="8" t="s">
        <v>30</v>
      </c>
      <c r="V2" s="8" t="s">
        <v>31</v>
      </c>
      <c r="W2" s="9" t="s">
        <v>32</v>
      </c>
      <c r="X2" s="9" t="s">
        <v>33</v>
      </c>
      <c r="Y2" s="8" t="s">
        <v>34</v>
      </c>
      <c r="Z2" s="4" t="s">
        <v>35</v>
      </c>
      <c r="AA2" s="5" t="s">
        <v>36</v>
      </c>
      <c r="AB2" s="18" t="s">
        <v>37</v>
      </c>
      <c r="AC2" s="7" t="s">
        <v>38</v>
      </c>
      <c r="AD2" s="7" t="s">
        <v>39</v>
      </c>
      <c r="AE2" s="7" t="s">
        <v>40</v>
      </c>
      <c r="AF2" s="10" t="s">
        <v>41</v>
      </c>
      <c r="AG2" s="10" t="s">
        <v>42</v>
      </c>
      <c r="AH2" s="10" t="s">
        <v>43</v>
      </c>
      <c r="AI2" s="15" t="s">
        <v>44</v>
      </c>
      <c r="AJ2" s="15" t="s">
        <v>45</v>
      </c>
    </row>
    <row r="3" spans="1:38" s="13" customFormat="1" ht="17" customHeight="1" x14ac:dyDescent="0.2">
      <c r="A3" s="13" t="s">
        <v>227</v>
      </c>
      <c r="B3" s="13" t="s">
        <v>227</v>
      </c>
      <c r="C3" s="13" t="s">
        <v>227</v>
      </c>
      <c r="D3" s="43" t="s">
        <v>66</v>
      </c>
      <c r="E3" s="43" t="s">
        <v>230</v>
      </c>
      <c r="F3" s="43" t="s">
        <v>231</v>
      </c>
      <c r="G3" s="13" t="s">
        <v>227</v>
      </c>
      <c r="H3" s="13" t="s">
        <v>227</v>
      </c>
      <c r="I3" s="13" t="s">
        <v>227</v>
      </c>
      <c r="J3" s="13" t="s">
        <v>227</v>
      </c>
      <c r="K3" s="13" t="s">
        <v>227</v>
      </c>
      <c r="L3" s="13" t="s">
        <v>227</v>
      </c>
      <c r="M3" s="13" t="s">
        <v>227</v>
      </c>
      <c r="N3" s="13" t="s">
        <v>227</v>
      </c>
      <c r="O3" s="13" t="s">
        <v>227</v>
      </c>
      <c r="P3" s="13" t="s">
        <v>227</v>
      </c>
      <c r="Q3" s="43" t="s">
        <v>234</v>
      </c>
      <c r="R3" s="13" t="s">
        <v>227</v>
      </c>
      <c r="S3" s="43" t="s">
        <v>71</v>
      </c>
      <c r="T3" s="43" t="s">
        <v>153</v>
      </c>
      <c r="AK3" s="78"/>
      <c r="AL3" s="78"/>
    </row>
    <row r="4" spans="1:38" s="13" customFormat="1" ht="17" customHeight="1" x14ac:dyDescent="0.2">
      <c r="D4" s="43" t="s">
        <v>48</v>
      </c>
      <c r="E4" s="43" t="s">
        <v>228</v>
      </c>
      <c r="F4" s="43" t="s">
        <v>232</v>
      </c>
      <c r="J4" s="76"/>
      <c r="K4" s="76"/>
      <c r="L4" s="76"/>
      <c r="M4" s="76"/>
      <c r="N4" s="76"/>
      <c r="O4" s="76"/>
      <c r="P4" s="76"/>
      <c r="Q4" s="43" t="s">
        <v>92</v>
      </c>
      <c r="R4" s="77"/>
      <c r="S4" s="43" t="s">
        <v>55</v>
      </c>
      <c r="T4" s="43" t="s">
        <v>56</v>
      </c>
      <c r="AK4" s="78"/>
      <c r="AL4" s="78"/>
    </row>
    <row r="5" spans="1:38" s="13" customFormat="1" ht="17" customHeight="1" x14ac:dyDescent="0.2">
      <c r="D5" s="43"/>
      <c r="E5" s="43" t="s">
        <v>229</v>
      </c>
      <c r="F5" s="43"/>
      <c r="J5" s="76"/>
      <c r="K5" s="76"/>
      <c r="L5" s="76"/>
      <c r="M5" s="76"/>
      <c r="N5" s="76"/>
      <c r="O5" s="76"/>
      <c r="P5" s="76"/>
      <c r="Q5" s="43" t="s">
        <v>53</v>
      </c>
      <c r="R5" s="77"/>
      <c r="S5" s="43" t="s">
        <v>80</v>
      </c>
      <c r="T5" s="43"/>
      <c r="AK5" s="78"/>
      <c r="AL5" s="78"/>
    </row>
    <row r="6" spans="1:38" s="13" customFormat="1" ht="17" customHeight="1" x14ac:dyDescent="0.2">
      <c r="D6" s="43"/>
      <c r="E6" s="43"/>
      <c r="F6" s="43"/>
      <c r="J6" s="76"/>
      <c r="K6" s="76"/>
      <c r="L6" s="76"/>
      <c r="M6" s="76"/>
      <c r="N6" s="76"/>
      <c r="O6" s="76"/>
      <c r="P6" s="76"/>
      <c r="Q6" s="43"/>
      <c r="R6" s="77"/>
      <c r="S6" s="43" t="s">
        <v>235</v>
      </c>
      <c r="T6" s="43" t="s">
        <v>78</v>
      </c>
      <c r="AK6" s="78"/>
      <c r="AL6" s="78"/>
    </row>
    <row r="7" spans="1:38" s="13" customFormat="1" ht="16" x14ac:dyDescent="0.2">
      <c r="D7" s="43"/>
      <c r="E7" s="43"/>
      <c r="F7" s="43"/>
      <c r="J7" s="76"/>
      <c r="K7" s="76"/>
      <c r="L7" s="76"/>
      <c r="M7" s="76"/>
      <c r="N7" s="76"/>
      <c r="O7" s="76"/>
      <c r="P7" s="76"/>
      <c r="Q7" s="43" t="s">
        <v>78</v>
      </c>
      <c r="R7" s="77"/>
      <c r="S7" s="43"/>
      <c r="T7" s="43"/>
      <c r="AK7" s="78"/>
      <c r="AL7" s="78"/>
    </row>
    <row r="8" spans="1:38" s="13" customFormat="1" ht="16" x14ac:dyDescent="0.2">
      <c r="D8" s="43"/>
      <c r="E8" s="43"/>
      <c r="F8" s="43"/>
      <c r="J8" s="76"/>
      <c r="K8" s="76"/>
      <c r="L8" s="76"/>
      <c r="M8" s="76"/>
      <c r="N8" s="76"/>
      <c r="O8" s="76"/>
      <c r="P8" s="76"/>
      <c r="Q8" s="43" t="s">
        <v>233</v>
      </c>
      <c r="R8" s="77"/>
      <c r="S8" s="43"/>
      <c r="T8" s="43"/>
      <c r="AK8" s="78"/>
      <c r="AL8" s="78"/>
    </row>
    <row r="9" spans="1:38" s="13" customFormat="1" x14ac:dyDescent="0.2">
      <c r="D9" s="43"/>
      <c r="E9" s="43"/>
      <c r="F9" s="43"/>
      <c r="J9" s="76"/>
      <c r="K9" s="76"/>
      <c r="L9" s="76"/>
      <c r="M9" s="76"/>
      <c r="N9" s="76"/>
      <c r="O9" s="76"/>
      <c r="P9" s="76"/>
      <c r="Q9" s="43"/>
      <c r="R9" s="77"/>
      <c r="S9" s="43"/>
      <c r="T9" s="43"/>
      <c r="AK9" s="78"/>
      <c r="AL9" s="78"/>
    </row>
    <row r="10" spans="1:38" s="13" customFormat="1" x14ac:dyDescent="0.2">
      <c r="D10" s="43"/>
      <c r="E10" s="43"/>
      <c r="F10" s="43"/>
      <c r="J10" s="76"/>
      <c r="K10" s="76"/>
      <c r="L10" s="76"/>
      <c r="M10" s="76"/>
      <c r="N10" s="76"/>
      <c r="O10" s="76"/>
      <c r="P10" s="76"/>
      <c r="Q10" s="43"/>
      <c r="R10" s="77"/>
      <c r="S10" s="43"/>
      <c r="T10" s="43"/>
      <c r="AK10" s="78"/>
      <c r="AL10" s="78"/>
    </row>
    <row r="11" spans="1:38" x14ac:dyDescent="0.2">
      <c r="A11" s="11"/>
      <c r="B11" s="11"/>
      <c r="C11" s="11"/>
      <c r="D11" s="11"/>
      <c r="E11" s="11"/>
      <c r="F11" s="11"/>
    </row>
    <row r="12" spans="1:38" x14ac:dyDescent="0.2">
      <c r="A12" s="11"/>
      <c r="B12" s="11"/>
      <c r="C12" s="11"/>
      <c r="D12" s="11"/>
      <c r="E12" s="11"/>
      <c r="F12" s="11"/>
    </row>
    <row r="13" spans="1:38" x14ac:dyDescent="0.2">
      <c r="A13" s="11"/>
      <c r="B13" s="11"/>
      <c r="C13" s="11"/>
      <c r="D13" s="11"/>
      <c r="E13" s="11"/>
      <c r="F13" s="11"/>
    </row>
    <row r="14" spans="1:38" x14ac:dyDescent="0.2">
      <c r="A14" s="11"/>
      <c r="B14" s="11"/>
      <c r="C14" s="11"/>
      <c r="D14" s="11"/>
      <c r="E14" s="11"/>
      <c r="F14" s="11"/>
    </row>
    <row r="15" spans="1:38" x14ac:dyDescent="0.2">
      <c r="A15" s="11"/>
      <c r="B15" s="11"/>
      <c r="C15" s="11"/>
      <c r="D15" s="11"/>
      <c r="E15" s="11"/>
      <c r="F15" s="11"/>
    </row>
    <row r="16" spans="1:38" x14ac:dyDescent="0.2">
      <c r="A16" s="11"/>
      <c r="B16" s="11"/>
      <c r="C16" s="11"/>
      <c r="D16" s="11"/>
      <c r="E16" s="11"/>
      <c r="F16" s="11"/>
    </row>
    <row r="17" spans="10:38" s="11" customFormat="1" x14ac:dyDescent="0.2">
      <c r="J17" s="17"/>
      <c r="K17" s="17"/>
      <c r="L17" s="17"/>
      <c r="M17" s="17"/>
      <c r="N17" s="17"/>
      <c r="O17" s="17"/>
      <c r="P17" s="17"/>
      <c r="R17" s="12"/>
      <c r="AK17" s="1"/>
      <c r="AL17" s="1"/>
    </row>
    <row r="18" spans="10:38" s="11" customFormat="1" x14ac:dyDescent="0.2">
      <c r="J18" s="17"/>
      <c r="K18" s="17"/>
      <c r="L18" s="17"/>
      <c r="M18" s="17"/>
      <c r="N18" s="17"/>
      <c r="O18" s="17"/>
      <c r="P18" s="17"/>
      <c r="R18" s="12"/>
      <c r="AK18" s="1"/>
      <c r="AL18" s="1"/>
    </row>
    <row r="19" spans="10:38" s="11" customFormat="1" x14ac:dyDescent="0.2">
      <c r="J19" s="17"/>
      <c r="K19" s="17"/>
      <c r="L19" s="17"/>
      <c r="M19" s="17"/>
      <c r="N19" s="17"/>
      <c r="O19" s="17"/>
      <c r="P19" s="17"/>
      <c r="R19" s="12"/>
      <c r="AK19" s="1"/>
      <c r="AL19" s="1"/>
    </row>
    <row r="20" spans="10:38" s="11" customFormat="1" x14ac:dyDescent="0.2">
      <c r="J20" s="17"/>
      <c r="K20" s="17"/>
      <c r="L20" s="17"/>
      <c r="M20" s="17"/>
      <c r="N20" s="17"/>
      <c r="O20" s="17"/>
      <c r="P20" s="17"/>
      <c r="R20" s="12"/>
      <c r="AK20" s="1"/>
      <c r="AL20" s="1"/>
    </row>
    <row r="21" spans="10:38" s="11" customFormat="1" x14ac:dyDescent="0.2">
      <c r="J21" s="17"/>
      <c r="K21" s="17"/>
      <c r="L21" s="17"/>
      <c r="M21" s="17"/>
      <c r="N21" s="17"/>
      <c r="O21" s="17"/>
      <c r="P21" s="17"/>
      <c r="R21" s="12"/>
      <c r="AK21" s="1"/>
      <c r="AL21" s="1"/>
    </row>
    <row r="22" spans="10:38" s="11" customFormat="1" x14ac:dyDescent="0.2">
      <c r="J22" s="17"/>
      <c r="K22" s="17"/>
      <c r="L22" s="17"/>
      <c r="M22" s="17"/>
      <c r="N22" s="17"/>
      <c r="O22" s="17"/>
      <c r="P22" s="17"/>
      <c r="R22" s="12"/>
      <c r="AK22" s="1"/>
      <c r="AL22" s="1"/>
    </row>
    <row r="23" spans="10:38" s="11" customFormat="1" x14ac:dyDescent="0.2">
      <c r="J23" s="17"/>
      <c r="K23" s="17"/>
      <c r="L23" s="17"/>
      <c r="M23" s="17"/>
      <c r="N23" s="17"/>
      <c r="O23" s="17"/>
      <c r="P23" s="17"/>
      <c r="R23" s="12"/>
      <c r="AK23" s="1"/>
      <c r="AL23" s="1"/>
    </row>
    <row r="24" spans="10:38" s="11" customFormat="1" x14ac:dyDescent="0.2">
      <c r="J24" s="17"/>
      <c r="K24" s="17"/>
      <c r="L24" s="17"/>
      <c r="M24" s="17"/>
      <c r="N24" s="17"/>
      <c r="O24" s="17"/>
      <c r="P24" s="17"/>
      <c r="R24" s="12"/>
      <c r="AK24" s="1"/>
      <c r="AL24" s="1"/>
    </row>
    <row r="25" spans="10:38" s="11" customFormat="1" x14ac:dyDescent="0.2">
      <c r="J25" s="17"/>
      <c r="K25" s="17"/>
      <c r="L25" s="17"/>
      <c r="M25" s="17"/>
      <c r="N25" s="17"/>
      <c r="O25" s="17"/>
      <c r="P25" s="17"/>
      <c r="R25" s="12"/>
      <c r="AK25" s="1"/>
      <c r="AL25" s="1"/>
    </row>
    <row r="26" spans="10:38" s="11" customFormat="1" x14ac:dyDescent="0.2">
      <c r="J26" s="17"/>
      <c r="K26" s="17"/>
      <c r="L26" s="17"/>
      <c r="M26" s="17"/>
      <c r="N26" s="17"/>
      <c r="O26" s="17"/>
      <c r="P26" s="17"/>
      <c r="R26" s="12"/>
      <c r="AK26" s="1"/>
      <c r="AL26" s="1"/>
    </row>
    <row r="27" spans="10:38" s="11" customFormat="1" x14ac:dyDescent="0.2">
      <c r="J27" s="17"/>
      <c r="K27" s="17"/>
      <c r="L27" s="17"/>
      <c r="M27" s="17"/>
      <c r="N27" s="17"/>
      <c r="O27" s="17"/>
      <c r="P27" s="17"/>
      <c r="R27" s="12"/>
      <c r="AK27" s="1"/>
      <c r="AL27" s="1"/>
    </row>
    <row r="28" spans="10:38" s="11" customFormat="1" x14ac:dyDescent="0.2">
      <c r="J28" s="17"/>
      <c r="K28" s="17"/>
      <c r="L28" s="17"/>
      <c r="M28" s="17"/>
      <c r="N28" s="17"/>
      <c r="O28" s="17"/>
      <c r="P28" s="17"/>
      <c r="R28" s="12"/>
      <c r="AK28" s="1"/>
      <c r="AL28" s="1"/>
    </row>
    <row r="29" spans="10:38" s="11" customFormat="1" x14ac:dyDescent="0.2">
      <c r="J29" s="17"/>
      <c r="K29" s="17"/>
      <c r="L29" s="17"/>
      <c r="M29" s="17"/>
      <c r="N29" s="17"/>
      <c r="O29" s="17"/>
      <c r="P29" s="17"/>
      <c r="R29" s="12"/>
      <c r="AK29" s="1"/>
      <c r="AL29" s="1"/>
    </row>
    <row r="30" spans="10:38" s="11" customFormat="1" x14ac:dyDescent="0.2">
      <c r="J30" s="17"/>
      <c r="K30" s="17"/>
      <c r="L30" s="17"/>
      <c r="M30" s="17"/>
      <c r="N30" s="17"/>
      <c r="O30" s="17"/>
      <c r="P30" s="17"/>
      <c r="R30" s="12"/>
      <c r="AK30" s="1"/>
      <c r="AL30" s="1"/>
    </row>
    <row r="31" spans="10:38" s="11" customFormat="1" x14ac:dyDescent="0.2">
      <c r="J31" s="17"/>
      <c r="K31" s="17"/>
      <c r="L31" s="17"/>
      <c r="M31" s="17"/>
      <c r="N31" s="17"/>
      <c r="O31" s="17"/>
      <c r="P31" s="17"/>
      <c r="R31" s="12"/>
      <c r="AK31" s="1"/>
      <c r="AL31" s="1"/>
    </row>
    <row r="32" spans="10:38" s="11" customFormat="1" x14ac:dyDescent="0.2">
      <c r="J32" s="17"/>
      <c r="K32" s="17"/>
      <c r="L32" s="17"/>
      <c r="M32" s="17"/>
      <c r="N32" s="17"/>
      <c r="O32" s="17"/>
      <c r="P32" s="17"/>
      <c r="R32" s="12"/>
      <c r="AK32" s="1"/>
      <c r="AL32" s="1"/>
    </row>
    <row r="33" spans="10:38" s="11" customFormat="1" x14ac:dyDescent="0.2">
      <c r="J33" s="17"/>
      <c r="K33" s="17"/>
      <c r="L33" s="17"/>
      <c r="M33" s="17"/>
      <c r="N33" s="17"/>
      <c r="O33" s="17"/>
      <c r="P33" s="17"/>
      <c r="R33" s="12"/>
      <c r="AK33" s="1"/>
      <c r="AL33" s="1"/>
    </row>
    <row r="34" spans="10:38" s="11" customFormat="1" x14ac:dyDescent="0.2">
      <c r="J34" s="17"/>
      <c r="K34" s="17"/>
      <c r="L34" s="17"/>
      <c r="M34" s="17"/>
      <c r="N34" s="17"/>
      <c r="O34" s="17"/>
      <c r="P34" s="17"/>
      <c r="R34" s="12"/>
      <c r="AK34" s="1"/>
      <c r="AL34" s="1"/>
    </row>
    <row r="35" spans="10:38" s="11" customFormat="1" x14ac:dyDescent="0.2">
      <c r="J35" s="17"/>
      <c r="K35" s="17"/>
      <c r="L35" s="17"/>
      <c r="M35" s="17"/>
      <c r="N35" s="17"/>
      <c r="O35" s="17"/>
      <c r="P35" s="17"/>
      <c r="R35" s="12"/>
      <c r="AK35" s="1"/>
      <c r="AL35" s="1"/>
    </row>
    <row r="36" spans="10:38" s="11" customFormat="1" x14ac:dyDescent="0.2">
      <c r="J36" s="17"/>
      <c r="K36" s="17"/>
      <c r="L36" s="17"/>
      <c r="M36" s="17"/>
      <c r="N36" s="17"/>
      <c r="O36" s="17"/>
      <c r="P36" s="17"/>
      <c r="R36" s="12"/>
      <c r="AK36" s="1"/>
      <c r="AL36" s="1"/>
    </row>
    <row r="37" spans="10:38" s="11" customFormat="1" x14ac:dyDescent="0.2">
      <c r="J37" s="17"/>
      <c r="K37" s="17"/>
      <c r="L37" s="17"/>
      <c r="M37" s="17"/>
      <c r="N37" s="17"/>
      <c r="O37" s="17"/>
      <c r="P37" s="17"/>
      <c r="R37" s="12"/>
      <c r="AK37" s="1"/>
      <c r="AL37" s="1"/>
    </row>
    <row r="38" spans="10:38" s="11" customFormat="1" x14ac:dyDescent="0.2">
      <c r="J38" s="17"/>
      <c r="K38" s="17"/>
      <c r="L38" s="17"/>
      <c r="M38" s="17"/>
      <c r="N38" s="17"/>
      <c r="O38" s="17"/>
      <c r="P38" s="17"/>
      <c r="R38" s="12"/>
      <c r="AK38" s="1"/>
      <c r="AL38" s="1"/>
    </row>
    <row r="39" spans="10:38" s="11" customFormat="1" x14ac:dyDescent="0.2">
      <c r="J39" s="17"/>
      <c r="K39" s="17"/>
      <c r="L39" s="17"/>
      <c r="M39" s="17"/>
      <c r="N39" s="17"/>
      <c r="O39" s="17"/>
      <c r="P39" s="17"/>
      <c r="R39" s="12"/>
      <c r="AK39" s="1"/>
      <c r="AL39" s="1"/>
    </row>
    <row r="40" spans="10:38" s="11" customFormat="1" x14ac:dyDescent="0.2">
      <c r="J40" s="17"/>
      <c r="K40" s="17"/>
      <c r="L40" s="17"/>
      <c r="M40" s="17"/>
      <c r="N40" s="17"/>
      <c r="O40" s="17"/>
      <c r="P40" s="17"/>
      <c r="R40" s="12"/>
      <c r="AK40" s="1"/>
      <c r="AL40" s="1"/>
    </row>
    <row r="41" spans="10:38" s="11" customFormat="1" x14ac:dyDescent="0.2">
      <c r="J41" s="17"/>
      <c r="K41" s="17"/>
      <c r="L41" s="17"/>
      <c r="M41" s="17"/>
      <c r="N41" s="17"/>
      <c r="O41" s="17"/>
      <c r="P41" s="17"/>
      <c r="R41" s="12"/>
      <c r="AK41" s="1"/>
      <c r="AL41" s="1"/>
    </row>
    <row r="42" spans="10:38" s="11" customFormat="1" x14ac:dyDescent="0.2">
      <c r="J42" s="17"/>
      <c r="K42" s="17"/>
      <c r="L42" s="17"/>
      <c r="M42" s="17"/>
      <c r="N42" s="17"/>
      <c r="O42" s="17"/>
      <c r="P42" s="17"/>
      <c r="R42" s="12"/>
      <c r="AK42" s="1"/>
      <c r="AL42" s="1"/>
    </row>
    <row r="43" spans="10:38" s="11" customFormat="1" x14ac:dyDescent="0.2">
      <c r="J43" s="17"/>
      <c r="K43" s="17"/>
      <c r="L43" s="17"/>
      <c r="M43" s="17"/>
      <c r="N43" s="17"/>
      <c r="O43" s="17"/>
      <c r="P43" s="17"/>
      <c r="R43" s="12"/>
      <c r="AK43" s="1"/>
      <c r="AL43" s="1"/>
    </row>
    <row r="44" spans="10:38" s="11" customFormat="1" x14ac:dyDescent="0.2">
      <c r="J44" s="17"/>
      <c r="K44" s="17"/>
      <c r="L44" s="17"/>
      <c r="M44" s="17"/>
      <c r="N44" s="17"/>
      <c r="O44" s="17"/>
      <c r="P44" s="17"/>
      <c r="R44" s="12"/>
      <c r="AK44" s="1"/>
      <c r="AL44" s="1"/>
    </row>
    <row r="45" spans="10:38" s="11" customFormat="1" x14ac:dyDescent="0.2">
      <c r="J45" s="17"/>
      <c r="K45" s="17"/>
      <c r="L45" s="17"/>
      <c r="M45" s="17"/>
      <c r="N45" s="17"/>
      <c r="O45" s="17"/>
      <c r="P45" s="17"/>
      <c r="R45" s="12"/>
      <c r="AK45" s="1"/>
      <c r="AL45" s="1"/>
    </row>
    <row r="46" spans="10:38" s="11" customFormat="1" x14ac:dyDescent="0.2">
      <c r="J46" s="17"/>
      <c r="K46" s="17"/>
      <c r="L46" s="17"/>
      <c r="M46" s="17"/>
      <c r="N46" s="17"/>
      <c r="O46" s="17"/>
      <c r="P46" s="17"/>
      <c r="R46" s="12"/>
      <c r="AK46" s="1"/>
      <c r="AL46" s="1"/>
    </row>
    <row r="47" spans="10:38" s="11" customFormat="1" x14ac:dyDescent="0.2">
      <c r="J47" s="17"/>
      <c r="K47" s="17"/>
      <c r="L47" s="17"/>
      <c r="M47" s="17"/>
      <c r="N47" s="17"/>
      <c r="O47" s="17"/>
      <c r="P47" s="17"/>
      <c r="R47" s="12"/>
      <c r="AK47" s="1"/>
      <c r="AL47" s="1"/>
    </row>
    <row r="48" spans="10:38" s="11" customFormat="1" x14ac:dyDescent="0.2">
      <c r="J48" s="17"/>
      <c r="K48" s="17"/>
      <c r="L48" s="17"/>
      <c r="M48" s="17"/>
      <c r="N48" s="17"/>
      <c r="O48" s="17"/>
      <c r="P48" s="17"/>
      <c r="R48" s="12"/>
      <c r="AK48" s="1"/>
      <c r="AL48" s="1"/>
    </row>
    <row r="49" spans="10:38" s="11" customFormat="1" x14ac:dyDescent="0.2">
      <c r="J49" s="17"/>
      <c r="K49" s="17"/>
      <c r="L49" s="17"/>
      <c r="M49" s="17"/>
      <c r="N49" s="17"/>
      <c r="O49" s="17"/>
      <c r="P49" s="17"/>
      <c r="R49" s="12"/>
      <c r="AK49" s="1"/>
      <c r="AL49" s="1"/>
    </row>
    <row r="50" spans="10:38" s="11" customFormat="1" x14ac:dyDescent="0.2">
      <c r="J50" s="17"/>
      <c r="K50" s="17"/>
      <c r="L50" s="17"/>
      <c r="M50" s="17"/>
      <c r="N50" s="17"/>
      <c r="O50" s="17"/>
      <c r="P50" s="17"/>
      <c r="R50" s="12"/>
      <c r="AK50" s="1"/>
      <c r="AL50" s="1"/>
    </row>
    <row r="51" spans="10:38" s="11" customFormat="1" x14ac:dyDescent="0.2">
      <c r="J51" s="17"/>
      <c r="K51" s="17"/>
      <c r="L51" s="17"/>
      <c r="M51" s="17"/>
      <c r="N51" s="17"/>
      <c r="O51" s="17"/>
      <c r="P51" s="17"/>
      <c r="R51" s="12"/>
      <c r="AK51" s="1"/>
      <c r="AL51" s="1"/>
    </row>
    <row r="52" spans="10:38" s="11" customFormat="1" x14ac:dyDescent="0.2">
      <c r="J52" s="17"/>
      <c r="K52" s="17"/>
      <c r="L52" s="17"/>
      <c r="M52" s="17"/>
      <c r="N52" s="17"/>
      <c r="O52" s="17"/>
      <c r="P52" s="17"/>
      <c r="R52" s="12"/>
      <c r="AK52" s="1"/>
      <c r="AL52" s="1"/>
    </row>
    <row r="53" spans="10:38" s="11" customFormat="1" x14ac:dyDescent="0.2">
      <c r="J53" s="17"/>
      <c r="K53" s="17"/>
      <c r="L53" s="17"/>
      <c r="M53" s="17"/>
      <c r="N53" s="17"/>
      <c r="O53" s="17"/>
      <c r="P53" s="17"/>
      <c r="R53" s="12"/>
      <c r="AK53" s="1"/>
      <c r="AL53" s="1"/>
    </row>
    <row r="54" spans="10:38" s="11" customFormat="1" x14ac:dyDescent="0.2">
      <c r="J54" s="17"/>
      <c r="K54" s="17"/>
      <c r="L54" s="17"/>
      <c r="M54" s="17"/>
      <c r="N54" s="17"/>
      <c r="O54" s="17"/>
      <c r="P54" s="17"/>
      <c r="R54" s="12"/>
      <c r="AK54" s="1"/>
      <c r="AL54" s="1"/>
    </row>
    <row r="55" spans="10:38" s="11" customFormat="1" x14ac:dyDescent="0.2">
      <c r="J55" s="17"/>
      <c r="K55" s="17"/>
      <c r="L55" s="17"/>
      <c r="M55" s="17"/>
      <c r="N55" s="17"/>
      <c r="O55" s="17"/>
      <c r="P55" s="17"/>
      <c r="R55" s="12"/>
      <c r="AK55" s="1"/>
      <c r="AL55" s="1"/>
    </row>
    <row r="56" spans="10:38" s="11" customFormat="1" x14ac:dyDescent="0.2">
      <c r="J56" s="17"/>
      <c r="K56" s="17"/>
      <c r="L56" s="17"/>
      <c r="M56" s="17"/>
      <c r="N56" s="17"/>
      <c r="O56" s="17"/>
      <c r="P56" s="17"/>
      <c r="R56" s="12"/>
      <c r="AK56" s="1"/>
      <c r="AL56" s="1"/>
    </row>
    <row r="57" spans="10:38" s="11" customFormat="1" x14ac:dyDescent="0.2">
      <c r="J57" s="17"/>
      <c r="K57" s="17"/>
      <c r="L57" s="17"/>
      <c r="M57" s="17"/>
      <c r="N57" s="17"/>
      <c r="O57" s="17"/>
      <c r="P57" s="17"/>
      <c r="R57" s="12"/>
      <c r="AK57" s="1"/>
      <c r="AL57" s="1"/>
    </row>
    <row r="58" spans="10:38" s="11" customFormat="1" x14ac:dyDescent="0.2">
      <c r="J58" s="17"/>
      <c r="K58" s="17"/>
      <c r="L58" s="17"/>
      <c r="M58" s="17"/>
      <c r="N58" s="17"/>
      <c r="O58" s="17"/>
      <c r="P58" s="17"/>
      <c r="R58" s="12"/>
      <c r="AK58" s="1"/>
      <c r="AL58" s="1"/>
    </row>
    <row r="59" spans="10:38" s="11" customFormat="1" x14ac:dyDescent="0.2">
      <c r="J59" s="17"/>
      <c r="K59" s="17"/>
      <c r="L59" s="17"/>
      <c r="M59" s="17"/>
      <c r="N59" s="17"/>
      <c r="O59" s="17"/>
      <c r="P59" s="17"/>
      <c r="R59" s="12"/>
      <c r="AK59" s="1"/>
      <c r="AL59" s="1"/>
    </row>
    <row r="60" spans="10:38" s="11" customFormat="1" x14ac:dyDescent="0.2">
      <c r="J60" s="17"/>
      <c r="K60" s="17"/>
      <c r="L60" s="17"/>
      <c r="M60" s="17"/>
      <c r="N60" s="17"/>
      <c r="O60" s="17"/>
      <c r="P60" s="17"/>
      <c r="R60" s="12"/>
      <c r="AK60" s="1"/>
      <c r="AL60" s="1"/>
    </row>
    <row r="61" spans="10:38" s="11" customFormat="1" x14ac:dyDescent="0.2">
      <c r="J61" s="17"/>
      <c r="K61" s="17"/>
      <c r="L61" s="17"/>
      <c r="M61" s="17"/>
      <c r="N61" s="17"/>
      <c r="O61" s="17"/>
      <c r="P61" s="17"/>
      <c r="R61" s="12"/>
      <c r="AK61" s="1"/>
      <c r="AL61" s="1"/>
    </row>
    <row r="62" spans="10:38" s="11" customFormat="1" x14ac:dyDescent="0.2">
      <c r="J62" s="17"/>
      <c r="K62" s="17"/>
      <c r="L62" s="17"/>
      <c r="M62" s="17"/>
      <c r="N62" s="17"/>
      <c r="O62" s="17"/>
      <c r="P62" s="17"/>
      <c r="R62" s="12"/>
      <c r="AK62" s="1"/>
      <c r="AL62" s="1"/>
    </row>
    <row r="63" spans="10:38" s="11" customFormat="1" x14ac:dyDescent="0.2">
      <c r="J63" s="17"/>
      <c r="K63" s="17"/>
      <c r="L63" s="17"/>
      <c r="M63" s="17"/>
      <c r="N63" s="17"/>
      <c r="O63" s="17"/>
      <c r="P63" s="17"/>
      <c r="R63" s="12"/>
      <c r="AK63" s="1"/>
      <c r="AL63" s="1"/>
    </row>
    <row r="64" spans="10:38" s="11" customFormat="1" x14ac:dyDescent="0.2">
      <c r="J64" s="17"/>
      <c r="K64" s="17"/>
      <c r="L64" s="17"/>
      <c r="M64" s="17"/>
      <c r="N64" s="17"/>
      <c r="O64" s="17"/>
      <c r="P64" s="17"/>
      <c r="R64" s="12"/>
      <c r="AK64" s="1"/>
      <c r="AL64" s="1"/>
    </row>
    <row r="65" spans="10:38" s="11" customFormat="1" x14ac:dyDescent="0.2">
      <c r="J65" s="17"/>
      <c r="K65" s="17"/>
      <c r="L65" s="17"/>
      <c r="M65" s="17"/>
      <c r="N65" s="17"/>
      <c r="O65" s="17"/>
      <c r="P65" s="17"/>
      <c r="R65" s="12"/>
      <c r="AK65" s="1"/>
      <c r="AL65" s="1"/>
    </row>
    <row r="66" spans="10:38" s="11" customFormat="1" x14ac:dyDescent="0.2">
      <c r="J66" s="17"/>
      <c r="K66" s="17"/>
      <c r="L66" s="17"/>
      <c r="M66" s="17"/>
      <c r="N66" s="17"/>
      <c r="O66" s="17"/>
      <c r="P66" s="17"/>
      <c r="R66" s="12"/>
      <c r="AK66" s="1"/>
      <c r="AL66" s="1"/>
    </row>
    <row r="67" spans="10:38" s="11" customFormat="1" x14ac:dyDescent="0.2">
      <c r="J67" s="17"/>
      <c r="K67" s="17"/>
      <c r="L67" s="17"/>
      <c r="M67" s="17"/>
      <c r="N67" s="17"/>
      <c r="O67" s="17"/>
      <c r="P67" s="17"/>
      <c r="R67" s="12"/>
      <c r="AK67" s="1"/>
      <c r="AL67" s="1"/>
    </row>
    <row r="68" spans="10:38" s="11" customFormat="1" x14ac:dyDescent="0.2">
      <c r="J68" s="17"/>
      <c r="K68" s="17"/>
      <c r="L68" s="17"/>
      <c r="M68" s="17"/>
      <c r="N68" s="17"/>
      <c r="O68" s="17"/>
      <c r="P68" s="17"/>
      <c r="R68" s="12"/>
      <c r="AK68" s="1"/>
      <c r="AL68" s="1"/>
    </row>
    <row r="69" spans="10:38" s="11" customFormat="1" x14ac:dyDescent="0.2">
      <c r="J69" s="17"/>
      <c r="K69" s="17"/>
      <c r="L69" s="17"/>
      <c r="M69" s="17"/>
      <c r="N69" s="17"/>
      <c r="O69" s="17"/>
      <c r="P69" s="17"/>
      <c r="R69" s="12"/>
      <c r="AK69" s="1"/>
      <c r="AL69" s="1"/>
    </row>
    <row r="70" spans="10:38" s="11" customFormat="1" x14ac:dyDescent="0.2">
      <c r="J70" s="17"/>
      <c r="K70" s="17"/>
      <c r="L70" s="17"/>
      <c r="M70" s="17"/>
      <c r="N70" s="17"/>
      <c r="O70" s="17"/>
      <c r="P70" s="17"/>
      <c r="R70" s="12"/>
      <c r="AK70" s="1"/>
      <c r="AL70" s="1"/>
    </row>
    <row r="71" spans="10:38" s="11" customFormat="1" x14ac:dyDescent="0.2">
      <c r="J71" s="17"/>
      <c r="K71" s="17"/>
      <c r="L71" s="17"/>
      <c r="M71" s="17"/>
      <c r="N71" s="17"/>
      <c r="O71" s="17"/>
      <c r="P71" s="17"/>
      <c r="R71" s="12"/>
      <c r="AK71" s="1"/>
      <c r="AL71" s="1"/>
    </row>
    <row r="72" spans="10:38" s="11" customFormat="1" x14ac:dyDescent="0.2">
      <c r="J72" s="17"/>
      <c r="K72" s="17"/>
      <c r="L72" s="17"/>
      <c r="M72" s="17"/>
      <c r="N72" s="17"/>
      <c r="O72" s="17"/>
      <c r="P72" s="17"/>
      <c r="R72" s="12"/>
      <c r="AK72" s="1"/>
      <c r="AL72" s="1"/>
    </row>
    <row r="73" spans="10:38" s="11" customFormat="1" x14ac:dyDescent="0.2">
      <c r="J73" s="17"/>
      <c r="K73" s="17"/>
      <c r="L73" s="17"/>
      <c r="M73" s="17"/>
      <c r="N73" s="17"/>
      <c r="O73" s="17"/>
      <c r="P73" s="17"/>
      <c r="R73" s="12"/>
      <c r="AK73" s="1"/>
      <c r="AL73" s="1"/>
    </row>
    <row r="74" spans="10:38" s="11" customFormat="1" x14ac:dyDescent="0.2">
      <c r="J74" s="17"/>
      <c r="K74" s="17"/>
      <c r="L74" s="17"/>
      <c r="M74" s="17"/>
      <c r="N74" s="17"/>
      <c r="O74" s="17"/>
      <c r="P74" s="17"/>
      <c r="R74" s="12"/>
      <c r="AK74" s="1"/>
      <c r="AL74" s="1"/>
    </row>
    <row r="75" spans="10:38" s="11" customFormat="1" x14ac:dyDescent="0.2">
      <c r="J75" s="17"/>
      <c r="K75" s="17"/>
      <c r="L75" s="17"/>
      <c r="M75" s="17"/>
      <c r="N75" s="17"/>
      <c r="O75" s="17"/>
      <c r="P75" s="17"/>
      <c r="R75" s="12"/>
      <c r="AK75" s="1"/>
      <c r="AL75" s="1"/>
    </row>
    <row r="76" spans="10:38" s="11" customFormat="1" x14ac:dyDescent="0.2">
      <c r="J76" s="17"/>
      <c r="K76" s="17"/>
      <c r="L76" s="17"/>
      <c r="M76" s="17"/>
      <c r="N76" s="17"/>
      <c r="O76" s="17"/>
      <c r="P76" s="17"/>
      <c r="R76" s="12"/>
      <c r="AK76" s="1"/>
      <c r="AL76" s="1"/>
    </row>
    <row r="77" spans="10:38" s="11" customFormat="1" x14ac:dyDescent="0.2">
      <c r="J77" s="17"/>
      <c r="K77" s="17"/>
      <c r="L77" s="17"/>
      <c r="M77" s="17"/>
      <c r="N77" s="17"/>
      <c r="O77" s="17"/>
      <c r="P77" s="17"/>
      <c r="R77" s="12"/>
      <c r="AK77" s="1"/>
      <c r="AL77" s="1"/>
    </row>
    <row r="78" spans="10:38" s="11" customFormat="1" x14ac:dyDescent="0.2">
      <c r="J78" s="17"/>
      <c r="K78" s="17"/>
      <c r="L78" s="17"/>
      <c r="M78" s="17"/>
      <c r="N78" s="17"/>
      <c r="O78" s="17"/>
      <c r="P78" s="17"/>
      <c r="R78" s="12"/>
      <c r="AK78" s="1"/>
      <c r="AL78" s="1"/>
    </row>
    <row r="79" spans="10:38" s="11" customFormat="1" x14ac:dyDescent="0.2">
      <c r="J79" s="17"/>
      <c r="K79" s="17"/>
      <c r="L79" s="17"/>
      <c r="M79" s="17"/>
      <c r="N79" s="17"/>
      <c r="O79" s="17"/>
      <c r="P79" s="17"/>
      <c r="R79" s="12"/>
      <c r="AK79" s="1"/>
      <c r="AL79" s="1"/>
    </row>
  </sheetData>
  <dataConsolidate/>
  <mergeCells count="6">
    <mergeCell ref="AC1:AH1"/>
    <mergeCell ref="A1:F1"/>
    <mergeCell ref="G1:P1"/>
    <mergeCell ref="Q1:S1"/>
    <mergeCell ref="T1:Y1"/>
    <mergeCell ref="Z1:AA1"/>
  </mergeCells>
  <conditionalFormatting sqref="A2:P2 T2:AB2">
    <cfRule type="cellIs" dxfId="3" priority="4" operator="notEqual">
      <formula>#REF!</formula>
    </cfRule>
    <cfRule type="cellIs" dxfId="2" priority="5" operator="notEqual">
      <formula>#REF!+#REF!</formula>
    </cfRule>
  </conditionalFormatting>
  <conditionalFormatting sqref="AF2:AJ2">
    <cfRule type="cellIs" dxfId="1" priority="1" operator="notEqual">
      <formula>#REF!</formula>
    </cfRule>
    <cfRule type="cellIs" dxfId="0" priority="2" operator="notEqual">
      <formula>#REF!+#REF!</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clean_data</vt:lpstr>
      <vt:lpstr>clean_mod</vt:lpstr>
      <vt:lpstr>coder1_YH</vt:lpstr>
      <vt:lpstr>coder2_NY_MT</vt:lpstr>
      <vt:lpstr>3. Discrepancy</vt:lpstr>
      <vt:lpstr>4. Discrepancy record</vt:lpstr>
      <vt:lpstr>0.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Peng, Peng</dc:creator>
  <cp:keywords/>
  <dc:description/>
  <cp:lastModifiedBy>Huang, Yixian</cp:lastModifiedBy>
  <cp:revision/>
  <dcterms:created xsi:type="dcterms:W3CDTF">2023-07-28T17:02:16Z</dcterms:created>
  <dcterms:modified xsi:type="dcterms:W3CDTF">2025-05-11T16:55:44Z</dcterms:modified>
  <cp:category/>
  <cp:contentStatus/>
</cp:coreProperties>
</file>