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4348F0FF-225E-4366-9376-CE3FC5E13C58}" xr6:coauthVersionLast="36" xr6:coauthVersionMax="36" xr10:uidLastSave="{00000000-0000-0000-0000-000000000000}"/>
  <bookViews>
    <workbookView xWindow="0" yWindow="0" windowWidth="8460" windowHeight="12075" firstSheet="1" activeTab="8" xr2:uid="{00000000-000D-0000-FFFF-FFFF00000000}"/>
  </bookViews>
  <sheets>
    <sheet name="ML5-sLR Coeff." sheetId="3" r:id="rId1"/>
    <sheet name="ML5-mLR Coeff." sheetId="7" r:id="rId2"/>
    <sheet name="Example-E5.1" sheetId="4" r:id="rId3"/>
    <sheet name="Example-E5.2" sheetId="1" r:id="rId4"/>
    <sheet name="Example-E5.3" sheetId="5" r:id="rId5"/>
    <sheet name="Example-E5.4" sheetId="6" r:id="rId6"/>
    <sheet name="Homework-H5.1_a " sheetId="9" r:id="rId7"/>
    <sheet name="Homework-H5.1_b" sheetId="8" r:id="rId8"/>
    <sheet name="Example-E5.1 Grades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1" i="5" l="1"/>
  <c r="Y21" i="5"/>
  <c r="Y18" i="5"/>
  <c r="Y19" i="5"/>
  <c r="Y20" i="5"/>
  <c r="X19" i="5"/>
  <c r="X20" i="5"/>
  <c r="T21" i="5"/>
  <c r="S21" i="5"/>
  <c r="R21" i="5"/>
  <c r="T19" i="5"/>
  <c r="T20" i="5"/>
  <c r="S19" i="5"/>
  <c r="S20" i="5"/>
  <c r="R19" i="5"/>
  <c r="R20" i="5"/>
  <c r="Q19" i="5"/>
  <c r="Q20" i="5"/>
  <c r="T12" i="5"/>
  <c r="T13" i="5"/>
  <c r="T14" i="5"/>
  <c r="T15" i="5"/>
  <c r="T16" i="5"/>
  <c r="T17" i="5"/>
  <c r="T18" i="5"/>
  <c r="T11" i="5"/>
  <c r="S12" i="5"/>
  <c r="S13" i="5"/>
  <c r="S14" i="5"/>
  <c r="S15" i="5"/>
  <c r="S16" i="5"/>
  <c r="S17" i="5"/>
  <c r="S18" i="5"/>
  <c r="S11" i="5"/>
  <c r="Q12" i="5"/>
  <c r="R12" i="5" s="1"/>
  <c r="Q13" i="5"/>
  <c r="Q14" i="5"/>
  <c r="Q15" i="5"/>
  <c r="Q16" i="5"/>
  <c r="Q17" i="5"/>
  <c r="Q18" i="5"/>
  <c r="Q11" i="5"/>
  <c r="R11" i="5" s="1"/>
  <c r="X18" i="5"/>
  <c r="Y17" i="5"/>
  <c r="X17" i="5"/>
  <c r="R17" i="5"/>
  <c r="Y16" i="5"/>
  <c r="X16" i="5"/>
  <c r="Y15" i="5"/>
  <c r="X15" i="5"/>
  <c r="Y14" i="5"/>
  <c r="X14" i="5"/>
  <c r="Y13" i="5"/>
  <c r="X13" i="5"/>
  <c r="Y12" i="5"/>
  <c r="X12" i="5"/>
  <c r="Y11" i="5"/>
  <c r="X11" i="5"/>
  <c r="Y19" i="7"/>
  <c r="Y12" i="7"/>
  <c r="Y13" i="7"/>
  <c r="Y14" i="7"/>
  <c r="Y15" i="7"/>
  <c r="Y16" i="7"/>
  <c r="Y17" i="7"/>
  <c r="Y18" i="7"/>
  <c r="Y11" i="7"/>
  <c r="T20" i="7"/>
  <c r="T19" i="7"/>
  <c r="T12" i="7"/>
  <c r="T13" i="7"/>
  <c r="T14" i="7"/>
  <c r="T15" i="7"/>
  <c r="T16" i="7"/>
  <c r="T17" i="7"/>
  <c r="T18" i="7"/>
  <c r="T11" i="7"/>
  <c r="Q12" i="7"/>
  <c r="R12" i="7" s="1"/>
  <c r="Q13" i="7"/>
  <c r="R13" i="7" s="1"/>
  <c r="Q14" i="7"/>
  <c r="Q15" i="7"/>
  <c r="Q16" i="7"/>
  <c r="Q17" i="7"/>
  <c r="Q18" i="7"/>
  <c r="R18" i="7" s="1"/>
  <c r="Q11" i="7"/>
  <c r="R11" i="7" s="1"/>
  <c r="R15" i="7"/>
  <c r="S19" i="7"/>
  <c r="S12" i="7"/>
  <c r="S13" i="7"/>
  <c r="S14" i="7"/>
  <c r="S15" i="7"/>
  <c r="S16" i="7"/>
  <c r="S17" i="7"/>
  <c r="S18" i="7"/>
  <c r="S11" i="7"/>
  <c r="R14" i="7"/>
  <c r="R16" i="7"/>
  <c r="R17" i="7"/>
  <c r="H12" i="5"/>
  <c r="H13" i="5"/>
  <c r="H14" i="5"/>
  <c r="H15" i="5"/>
  <c r="H16" i="5"/>
  <c r="H17" i="5"/>
  <c r="K17" i="5" s="1"/>
  <c r="H18" i="5"/>
  <c r="H19" i="5"/>
  <c r="H20" i="5"/>
  <c r="H11" i="5"/>
  <c r="G12" i="5"/>
  <c r="G13" i="5"/>
  <c r="M13" i="5" s="1"/>
  <c r="G14" i="5"/>
  <c r="G15" i="5"/>
  <c r="G16" i="5"/>
  <c r="G17" i="5"/>
  <c r="G18" i="5"/>
  <c r="M18" i="5" s="1"/>
  <c r="G19" i="5"/>
  <c r="M19" i="5" s="1"/>
  <c r="G20" i="5"/>
  <c r="M20" i="5" s="1"/>
  <c r="G11" i="5"/>
  <c r="M11" i="5" s="1"/>
  <c r="F12" i="5"/>
  <c r="F13" i="5"/>
  <c r="L13" i="5" s="1"/>
  <c r="F14" i="5"/>
  <c r="F15" i="5"/>
  <c r="F16" i="5"/>
  <c r="L16" i="5" s="1"/>
  <c r="F17" i="5"/>
  <c r="F18" i="5"/>
  <c r="L18" i="5" s="1"/>
  <c r="F19" i="5"/>
  <c r="F20" i="5"/>
  <c r="F11" i="5"/>
  <c r="L11" i="5" s="1"/>
  <c r="E21" i="5"/>
  <c r="D21" i="5"/>
  <c r="C21" i="5"/>
  <c r="L17" i="5"/>
  <c r="M17" i="5"/>
  <c r="M16" i="5"/>
  <c r="M15" i="5"/>
  <c r="J15" i="5"/>
  <c r="M14" i="5"/>
  <c r="K14" i="5"/>
  <c r="L12" i="5"/>
  <c r="T22" i="5" l="1"/>
  <c r="R13" i="5"/>
  <c r="R15" i="5"/>
  <c r="R14" i="5"/>
  <c r="R18" i="5"/>
  <c r="R16" i="5"/>
  <c r="R19" i="7"/>
  <c r="J19" i="5"/>
  <c r="J20" i="5"/>
  <c r="J18" i="5"/>
  <c r="K19" i="5"/>
  <c r="I19" i="5"/>
  <c r="K18" i="5"/>
  <c r="I18" i="5"/>
  <c r="K15" i="5"/>
  <c r="K13" i="5"/>
  <c r="K11" i="5"/>
  <c r="I11" i="5"/>
  <c r="G21" i="5"/>
  <c r="L19" i="5"/>
  <c r="J17" i="5"/>
  <c r="J13" i="5"/>
  <c r="H21" i="5"/>
  <c r="J11" i="5"/>
  <c r="K12" i="5"/>
  <c r="K16" i="5"/>
  <c r="J14" i="5"/>
  <c r="L15" i="5"/>
  <c r="M12" i="5"/>
  <c r="M21" i="5"/>
  <c r="K20" i="5"/>
  <c r="J12" i="5"/>
  <c r="L14" i="5"/>
  <c r="J16" i="5"/>
  <c r="L20" i="5"/>
  <c r="F21" i="5"/>
  <c r="I12" i="5"/>
  <c r="I13" i="5"/>
  <c r="I14" i="5"/>
  <c r="I15" i="5"/>
  <c r="I16" i="5"/>
  <c r="I17" i="5"/>
  <c r="I20" i="5"/>
  <c r="G53" i="4"/>
  <c r="D53" i="4"/>
  <c r="C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E53" i="4" s="1"/>
  <c r="F43" i="4"/>
  <c r="F53" i="4" s="1"/>
  <c r="E43" i="4"/>
  <c r="T13" i="4"/>
  <c r="T14" i="4"/>
  <c r="T15" i="4"/>
  <c r="T16" i="4"/>
  <c r="T17" i="4"/>
  <c r="T18" i="4"/>
  <c r="T19" i="4"/>
  <c r="T20" i="4"/>
  <c r="T21" i="4"/>
  <c r="R13" i="4"/>
  <c r="U13" i="4" s="1"/>
  <c r="R14" i="4"/>
  <c r="S14" i="4" s="1"/>
  <c r="R15" i="4"/>
  <c r="S15" i="4" s="1"/>
  <c r="R16" i="4"/>
  <c r="U16" i="4" s="1"/>
  <c r="R17" i="4"/>
  <c r="S17" i="4" s="1"/>
  <c r="R18" i="4"/>
  <c r="S18" i="4" s="1"/>
  <c r="R19" i="4"/>
  <c r="U19" i="4" s="1"/>
  <c r="R20" i="4"/>
  <c r="U20" i="4" s="1"/>
  <c r="R21" i="4"/>
  <c r="U21" i="4" s="1"/>
  <c r="R12" i="4"/>
  <c r="U12" i="4" s="1"/>
  <c r="O22" i="4"/>
  <c r="N22" i="4"/>
  <c r="Q21" i="4"/>
  <c r="P21" i="4"/>
  <c r="Q20" i="4"/>
  <c r="P20" i="4"/>
  <c r="Q19" i="4"/>
  <c r="P19" i="4"/>
  <c r="Q18" i="4"/>
  <c r="P18" i="4"/>
  <c r="U17" i="4"/>
  <c r="Q17" i="4"/>
  <c r="P17" i="4"/>
  <c r="Q16" i="4"/>
  <c r="P16" i="4"/>
  <c r="U15" i="4"/>
  <c r="Q15" i="4"/>
  <c r="P15" i="4"/>
  <c r="Q14" i="4"/>
  <c r="P14" i="4"/>
  <c r="Q13" i="4"/>
  <c r="P13" i="4"/>
  <c r="T12" i="4"/>
  <c r="Q12" i="4"/>
  <c r="P12" i="4"/>
  <c r="L21" i="5" l="1"/>
  <c r="K21" i="5"/>
  <c r="J21" i="5"/>
  <c r="I21" i="5"/>
  <c r="T22" i="4"/>
  <c r="U18" i="4"/>
  <c r="S21" i="4"/>
  <c r="U14" i="4"/>
  <c r="S19" i="4"/>
  <c r="S13" i="4"/>
  <c r="Q22" i="4"/>
  <c r="P22" i="4"/>
  <c r="S12" i="4"/>
  <c r="S20" i="4"/>
  <c r="S16" i="4"/>
  <c r="K31" i="9"/>
  <c r="L30" i="9"/>
  <c r="J30" i="9"/>
  <c r="K20" i="9"/>
  <c r="K12" i="9"/>
  <c r="I20" i="9"/>
  <c r="I21" i="9"/>
  <c r="I19" i="9"/>
  <c r="G20" i="9"/>
  <c r="H20" i="9" s="1"/>
  <c r="G21" i="9"/>
  <c r="K21" i="9" s="1"/>
  <c r="G19" i="9"/>
  <c r="H19" i="9" s="1"/>
  <c r="G13" i="9"/>
  <c r="H13" i="9" s="1"/>
  <c r="J13" i="9" s="1"/>
  <c r="G14" i="9"/>
  <c r="H14" i="9" s="1"/>
  <c r="J14" i="9" s="1"/>
  <c r="G12" i="9"/>
  <c r="H12" i="9" s="1"/>
  <c r="J12" i="9" s="1"/>
  <c r="I13" i="9"/>
  <c r="I14" i="9"/>
  <c r="I12" i="9"/>
  <c r="D15" i="9"/>
  <c r="C15" i="9"/>
  <c r="F14" i="9"/>
  <c r="E14" i="9"/>
  <c r="F13" i="9"/>
  <c r="E13" i="9"/>
  <c r="F12" i="9"/>
  <c r="E12" i="9"/>
  <c r="U22" i="4" l="1"/>
  <c r="S22" i="4"/>
  <c r="U24" i="4" s="1"/>
  <c r="H22" i="9"/>
  <c r="K14" i="9"/>
  <c r="H21" i="9"/>
  <c r="K13" i="9"/>
  <c r="K19" i="9"/>
  <c r="K22" i="9" s="1"/>
  <c r="I22" i="9"/>
  <c r="I15" i="9"/>
  <c r="E15" i="9"/>
  <c r="F15" i="9"/>
  <c r="H15" i="9"/>
  <c r="J15" i="4"/>
  <c r="J16" i="4"/>
  <c r="J20" i="4"/>
  <c r="J12" i="4"/>
  <c r="I13" i="4"/>
  <c r="I14" i="4"/>
  <c r="I15" i="4"/>
  <c r="I16" i="4"/>
  <c r="I17" i="4"/>
  <c r="I18" i="4"/>
  <c r="I19" i="4"/>
  <c r="I20" i="4"/>
  <c r="I21" i="4"/>
  <c r="I12" i="4"/>
  <c r="H16" i="4"/>
  <c r="H20" i="4"/>
  <c r="H12" i="4"/>
  <c r="G13" i="4"/>
  <c r="H13" i="4" s="1"/>
  <c r="G14" i="4"/>
  <c r="H14" i="4" s="1"/>
  <c r="G15" i="4"/>
  <c r="H15" i="4" s="1"/>
  <c r="G16" i="4"/>
  <c r="G17" i="4"/>
  <c r="J17" i="4" s="1"/>
  <c r="G18" i="4"/>
  <c r="J18" i="4" s="1"/>
  <c r="G19" i="4"/>
  <c r="J19" i="4" s="1"/>
  <c r="G20" i="4"/>
  <c r="G21" i="4"/>
  <c r="H21" i="4" s="1"/>
  <c r="G12" i="4"/>
  <c r="M15" i="8"/>
  <c r="H19" i="4" l="1"/>
  <c r="J14" i="4"/>
  <c r="H18" i="4"/>
  <c r="H17" i="4"/>
  <c r="J21" i="4"/>
  <c r="J13" i="4"/>
  <c r="J22" i="9"/>
  <c r="K23" i="9"/>
  <c r="L22" i="9"/>
  <c r="J15" i="9"/>
  <c r="K15" i="9"/>
  <c r="P13" i="8"/>
  <c r="P14" i="8"/>
  <c r="P12" i="8"/>
  <c r="O13" i="8"/>
  <c r="O14" i="8"/>
  <c r="O12" i="8"/>
  <c r="N12" i="8"/>
  <c r="N13" i="8"/>
  <c r="N14" i="8"/>
  <c r="P13" i="3"/>
  <c r="P14" i="3"/>
  <c r="P15" i="3"/>
  <c r="P16" i="3"/>
  <c r="P17" i="3"/>
  <c r="P18" i="3"/>
  <c r="P12" i="3"/>
  <c r="O7" i="3"/>
  <c r="O19" i="3"/>
  <c r="O13" i="3"/>
  <c r="O14" i="3"/>
  <c r="O15" i="3"/>
  <c r="O16" i="3"/>
  <c r="O17" i="3"/>
  <c r="O18" i="3"/>
  <c r="O12" i="3"/>
  <c r="N19" i="3"/>
  <c r="N13" i="3"/>
  <c r="N14" i="3"/>
  <c r="N15" i="3"/>
  <c r="N16" i="3"/>
  <c r="N17" i="3"/>
  <c r="N18" i="3"/>
  <c r="N12" i="3"/>
  <c r="X19" i="7"/>
  <c r="X12" i="7"/>
  <c r="X13" i="7"/>
  <c r="X14" i="7"/>
  <c r="X15" i="7"/>
  <c r="X16" i="7"/>
  <c r="X17" i="7"/>
  <c r="X18" i="7"/>
  <c r="X11" i="7"/>
  <c r="L15" i="9" l="1"/>
  <c r="K16" i="9"/>
  <c r="P19" i="3"/>
  <c r="D15" i="8"/>
  <c r="F14" i="8"/>
  <c r="E14" i="8"/>
  <c r="F13" i="8"/>
  <c r="E13" i="8"/>
  <c r="F13" i="4" l="1"/>
  <c r="F14" i="4"/>
  <c r="F15" i="4"/>
  <c r="F16" i="4"/>
  <c r="F17" i="4"/>
  <c r="F18" i="4"/>
  <c r="F19" i="4"/>
  <c r="F20" i="4"/>
  <c r="F21" i="4"/>
  <c r="F12" i="4"/>
  <c r="L19" i="7"/>
  <c r="F19" i="7"/>
  <c r="E19" i="7"/>
  <c r="D19" i="7"/>
  <c r="L18" i="7"/>
  <c r="H18" i="7"/>
  <c r="J18" i="7" s="1"/>
  <c r="G18" i="7"/>
  <c r="M18" i="7" s="1"/>
  <c r="F18" i="7"/>
  <c r="L17" i="7"/>
  <c r="H17" i="7"/>
  <c r="J17" i="7" s="1"/>
  <c r="G17" i="7"/>
  <c r="M17" i="7" s="1"/>
  <c r="F17" i="7"/>
  <c r="L16" i="7"/>
  <c r="H16" i="7"/>
  <c r="J16" i="7" s="1"/>
  <c r="G16" i="7"/>
  <c r="M16" i="7" s="1"/>
  <c r="F16" i="7"/>
  <c r="L15" i="7"/>
  <c r="H15" i="7"/>
  <c r="J15" i="7" s="1"/>
  <c r="G15" i="7"/>
  <c r="M15" i="7" s="1"/>
  <c r="F15" i="7"/>
  <c r="L14" i="7"/>
  <c r="H14" i="7"/>
  <c r="J14" i="7" s="1"/>
  <c r="G14" i="7"/>
  <c r="M14" i="7" s="1"/>
  <c r="F14" i="7"/>
  <c r="L13" i="7"/>
  <c r="H13" i="7"/>
  <c r="J13" i="7" s="1"/>
  <c r="G13" i="7"/>
  <c r="M13" i="7" s="1"/>
  <c r="F13" i="7"/>
  <c r="L12" i="7"/>
  <c r="H12" i="7"/>
  <c r="J12" i="7" s="1"/>
  <c r="G12" i="7"/>
  <c r="M12" i="7" s="1"/>
  <c r="F12" i="7"/>
  <c r="L11" i="7"/>
  <c r="H11" i="7"/>
  <c r="H19" i="7" s="1"/>
  <c r="G11" i="7"/>
  <c r="M11" i="7" s="1"/>
  <c r="E12" i="4"/>
  <c r="E13" i="4"/>
  <c r="E14" i="4"/>
  <c r="E15" i="4"/>
  <c r="E16" i="4"/>
  <c r="E17" i="4"/>
  <c r="E18" i="4"/>
  <c r="E19" i="4"/>
  <c r="E20" i="4"/>
  <c r="E21" i="4"/>
  <c r="J22" i="4"/>
  <c r="I22" i="4"/>
  <c r="H22" i="4"/>
  <c r="J24" i="4" s="1"/>
  <c r="D22" i="4"/>
  <c r="F22" i="4" l="1"/>
  <c r="E22" i="4"/>
  <c r="M19" i="7"/>
  <c r="I11" i="7"/>
  <c r="I14" i="7"/>
  <c r="J11" i="7"/>
  <c r="J19" i="7" s="1"/>
  <c r="G19" i="7"/>
  <c r="K11" i="7"/>
  <c r="K12" i="7"/>
  <c r="K13" i="7"/>
  <c r="K14" i="7"/>
  <c r="K15" i="7"/>
  <c r="K16" i="7"/>
  <c r="K17" i="7"/>
  <c r="K18" i="7"/>
  <c r="I17" i="7"/>
  <c r="I12" i="7"/>
  <c r="I13" i="7"/>
  <c r="I15" i="7"/>
  <c r="I16" i="7"/>
  <c r="I18" i="7"/>
  <c r="C22" i="4"/>
  <c r="K19" i="7" l="1"/>
  <c r="I19" i="7"/>
  <c r="J19" i="3"/>
  <c r="I19" i="3" l="1"/>
  <c r="H19" i="3" l="1"/>
  <c r="F19" i="3"/>
  <c r="E19" i="3"/>
  <c r="D19" i="3"/>
  <c r="C19" i="3"/>
  <c r="C19" i="7" l="1"/>
  <c r="O15" i="8"/>
  <c r="C15" i="8"/>
  <c r="F12" i="8"/>
  <c r="F15" i="8" s="1"/>
  <c r="P15" i="8"/>
  <c r="E12" i="8"/>
  <c r="E15" i="8" s="1"/>
  <c r="N15" i="8" l="1"/>
</calcChain>
</file>

<file path=xl/sharedStrings.xml><?xml version="1.0" encoding="utf-8"?>
<sst xmlns="http://schemas.openxmlformats.org/spreadsheetml/2006/main" count="324" uniqueCount="180">
  <si>
    <t>sum</t>
  </si>
  <si>
    <t>Solution:</t>
  </si>
  <si>
    <t>Number of Point N=7</t>
  </si>
  <si>
    <r>
      <rPr>
        <b/>
        <i/>
        <sz val="14"/>
        <color rgb="FF000000"/>
        <rFont val="Calibri"/>
        <family val="2"/>
        <scheme val="minor"/>
      </rPr>
      <t>x</t>
    </r>
    <r>
      <rPr>
        <b/>
        <i/>
        <sz val="8"/>
        <color rgb="FF000000"/>
        <rFont val="Calibri"/>
        <family val="2"/>
        <scheme val="minor"/>
      </rPr>
      <t>i</t>
    </r>
  </si>
  <si>
    <r>
      <t>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</si>
  <si>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*y</t>
    </r>
    <r>
      <rPr>
        <b/>
        <i/>
        <sz val="8"/>
        <color rgb="FF000000"/>
        <rFont val="Calibri"/>
        <family val="2"/>
        <scheme val="minor"/>
      </rPr>
      <t>i</t>
    </r>
  </si>
  <si>
    <r>
      <t>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²</t>
    </r>
  </si>
  <si>
    <r>
      <t>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</t>
    </r>
  </si>
  <si>
    <t>i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</si>
  <si>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 = (301 -7*4*(60/7))/28  = 61/28 ~ 2,1786 </t>
    </r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</si>
  <si>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(140*60/7 -4*301)/(140 -7*16) = -28/196 
= -1/7  ~ -0,14286 </t>
    </r>
  </si>
  <si>
    <t>Substitute these values into Formula I and II:</t>
  </si>
  <si>
    <t>----&gt; Regression-Line:  y =  -1/7 + (61/28)*x</t>
  </si>
  <si>
    <t>Number of Point N=8</t>
  </si>
  <si>
    <t>Sum</t>
  </si>
  <si>
    <t>Example of a "Least Squares Fitting" calculation for simple LR</t>
  </si>
  <si>
    <t>R² = 1 - Sum((yi-y(xi))²)/Sum((yi-M(y))²) = 1 -(10,822994 / 143,7143) ~ 0,9247</t>
  </si>
  <si>
    <r>
      <t>z</t>
    </r>
    <r>
      <rPr>
        <b/>
        <i/>
        <sz val="8"/>
        <color rgb="FF000000"/>
        <rFont val="Calibri"/>
        <family val="2"/>
        <scheme val="minor"/>
      </rPr>
      <t>i</t>
    </r>
  </si>
  <si>
    <t>needed for calculation of R²</t>
  </si>
  <si>
    <t>SST=sum(yi-M(y))²</t>
  </si>
  <si>
    <r>
      <t>SSE=sum(yi-y(x</t>
    </r>
    <r>
      <rPr>
        <b/>
        <i/>
        <sz val="8"/>
        <color rgb="FF000000"/>
        <rFont val="Calibri"/>
        <family val="2"/>
        <scheme val="minor"/>
      </rPr>
      <t>i</t>
    </r>
    <r>
      <rPr>
        <b/>
        <i/>
        <sz val="14"/>
        <color rgb="FF000000"/>
        <rFont val="Calibri"/>
        <family val="2"/>
        <scheme val="minor"/>
      </rPr>
      <t>))²</t>
    </r>
  </si>
  <si>
    <t>needed for calculation of b0 and b1</t>
  </si>
  <si>
    <t>SST =  SSE + SSR ?</t>
  </si>
  <si>
    <t>SSR=sum(y(xi) - M(y))²</t>
  </si>
  <si>
    <t>nedded for the calculation of a, b and c</t>
  </si>
  <si>
    <t>Xi:=xi-M(x)</t>
  </si>
  <si>
    <t>Yi:=yi-M(y)</t>
  </si>
  <si>
    <t>Zi:=zi-M(z)</t>
  </si>
  <si>
    <t>Xi*Zi</t>
  </si>
  <si>
    <t>Xi*Yi</t>
  </si>
  <si>
    <t>Xi²</t>
  </si>
  <si>
    <t>Yi²</t>
  </si>
  <si>
    <t>Mean-Values ("Mittelwerte") = : [M(x),M(y),M(z)] ~ [240/8, 104/8, 178/8] = [30; 13; 22,25]</t>
  </si>
  <si>
    <t>Set up a table with the quantities included in the above formulas for b0 and b1  and also the quantities for the calculation of R²:</t>
  </si>
  <si>
    <r>
      <t>Find the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for the experimental data points:  {(1 , 2) , (3 , 4) , (2 , 6) , (4 , 8) , (5 , 12) , (6 , 13) , (7 , 15)}</t>
    </r>
  </si>
  <si>
    <t>Mean-Values ("Mittelwerte"): [M(x),M(y)] = [28/7; 60/7] ~ [4; 8,5714]</t>
  </si>
  <si>
    <t># Find the "least square fit" for  z = a + b*x + c*y for the following training-set:
[x,y] = [[0, 1], [5, 1], [15, 2], [25, 5], [35, 11], [45, 15], [55, 34], [60, 35]]; z = [4, 5, 20, 14, 32, 22, 38, 43]</t>
  </si>
  <si>
    <t>SSE=sum(zi-z(xi,yi))²</t>
  </si>
  <si>
    <t>SST=sum(zi-M(z))²</t>
  </si>
  <si>
    <t>SST = SSE + SSR ?</t>
  </si>
  <si>
    <t>SSR=sum(z(xi,yi)-M(z))²</t>
  </si>
  <si>
    <t xml:space="preserve"> Yi*Zi</t>
  </si>
  <si>
    <t>z(xi,yi)</t>
  </si>
  <si>
    <t>Example of a "Least Squares Fitting (LSF)" calculation for multiple LR (mLR)</t>
  </si>
  <si>
    <t>Substitute the values to the formulas (I) and (II) of LSF for mLR:</t>
  </si>
  <si>
    <t>coefficient of determination: 0.8615939258756776</t>
  </si>
  <si>
    <t>intercept: 5.52257927519819</t>
  </si>
  <si>
    <t>coefficients: [0.44706965 0.25502548]</t>
  </si>
  <si>
    <t>Set up a table with the quantities included in the above LSF formulas (I) and (II) for simple LR:</t>
  </si>
  <si>
    <t>Compare with Python-Pgm (next slides):</t>
  </si>
  <si>
    <t>a = Mean(z)-b*Mean(x)-c*Mean(y) ~ 22,25-0,4471*30 + 0.25500 *13* ~ 5, 522</t>
  </si>
  <si>
    <t>det = sum(Xi²)*sum(Yi²)-(sum(Xi*Yi))²=3550*1406-(2070) 2=706400</t>
  </si>
  <si>
    <t>b = (1/det)*( sum(Yi²)*sum(XiZi)  sum(XiYi)*sum(YiZi))=(1/det)*(1406*2115-2070*1284) ~ 0,4471</t>
  </si>
  <si>
    <t>c = (1/det)*( sum(Xi²)*sum(YiZi)- sum(XiYi)*sum(XiZi))=(1/det)*(3550*1284-2070*2115) ~ 0,2550</t>
  </si>
  <si>
    <t>So we get the optimal mLR line:  z = 5,522 +  0,4471*x +  0,255*y</t>
  </si>
  <si>
    <t>Set up a table with the quantities included in the formulas for  R² and Adj.R²:</t>
  </si>
  <si>
    <t>slope: [2.17857143]</t>
  </si>
  <si>
    <t>intercept:
 - 0.14285714285714057</t>
  </si>
  <si>
    <t>Compare with Python</t>
  </si>
  <si>
    <t>coeff.  determination: 0.9247017892644135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</si>
  <si>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-1/7 + (61/28)*4 = -1/7 + 61/7 = 60/7 = Mean(y)  q.e.d.</t>
    </r>
  </si>
  <si>
    <t>Example of a "Least Squares Fitting" calculation for simple LR: "Student Examination"</t>
  </si>
  <si>
    <t>student i</t>
  </si>
  <si>
    <r>
      <rPr>
        <b/>
        <i/>
        <sz val="14"/>
        <color rgb="FF000000"/>
        <rFont val="Calibri"/>
        <family val="2"/>
        <scheme val="minor"/>
      </rPr>
      <t>exam prep. x</t>
    </r>
    <r>
      <rPr>
        <b/>
        <i/>
        <sz val="8"/>
        <color rgb="FF000000"/>
        <rFont val="Calibri"/>
        <family val="2"/>
        <scheme val="minor"/>
      </rPr>
      <t>i</t>
    </r>
  </si>
  <si>
    <r>
      <t>points y</t>
    </r>
    <r>
      <rPr>
        <b/>
        <i/>
        <sz val="8"/>
        <color rgb="FF000000"/>
        <rFont val="Calibri"/>
        <family val="2"/>
        <scheme val="minor"/>
      </rPr>
      <t>i</t>
    </r>
  </si>
  <si>
    <t>Number of Point N=10</t>
  </si>
  <si>
    <t>Mean-Values ("Mittelwerte"): [M(x),M(y)] = [54/10; 343/10] =  [5,4;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</si>
  <si>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(348*34,3 -5,4*2063)/(348-10*5,4²) = (3981/5)/(282/5) = 1327/94 ~14,117  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</si>
  <si>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 xml:space="preserve">y = b0 + b1x </t>
    </r>
    <r>
      <rPr>
        <sz val="13"/>
        <color rgb="FF000000"/>
        <rFont val="Calibri"/>
        <family val="2"/>
        <scheme val="minor"/>
      </rPr>
      <t> with {(homework[h], score[pt.])}= {(5, 41), (4, 27), (5, 35), (3, 26), (9, 48), (8, 45), (10, 46), (5, 27), (3, 29), (3, 19)}</t>
    </r>
  </si>
  <si>
    <r>
      <t>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</si>
  <si>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t>Example of a "Least Squares Fitting" calculation for simple LR: Homework 5.1_b"</t>
  </si>
  <si>
    <t>Number of Point N=3</t>
  </si>
  <si>
    <t>intercept: 1.333333333333334</t>
  </si>
  <si>
    <t>slope: [0.5]</t>
  </si>
  <si>
    <t>coefficient of determination:
 0.7499999999999999</t>
  </si>
  <si>
    <t xml:space="preserve">Mean-Values ("Mittelwerte"): [M(x),M(y)] = [2; (7/3)] 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</si>
  <si>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((7/3)*14 -2*15)/(14-12) = (8/3)/2= 4/3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</si>
  <si>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(15 -3*2*(7/3))/2 = 1/2 = 0.5</t>
    </r>
  </si>
  <si>
    <t>----&gt; Regression-Line:  y =  4/3 + 1/2*x</t>
  </si>
  <si>
    <t>17/6</t>
  </si>
  <si>
    <t>11/6</t>
  </si>
  <si>
    <t>14/6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</si>
  <si>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(4/3) + (1/2)*2 = 7/3 = Mean(y)  q.e.d.</t>
    </r>
  </si>
  <si>
    <t>(1/6)²=1/36</t>
  </si>
  <si>
    <t>42/6=7</t>
  </si>
  <si>
    <t>(2/3)²=4/9</t>
  </si>
  <si>
    <t>(-1/3)²=1/9</t>
  </si>
  <si>
    <t>(1/3)²=1/9</t>
  </si>
  <si>
    <t>2/3</t>
  </si>
  <si>
    <t>(-2/6)²=4/36</t>
  </si>
  <si>
    <t>6/36=1/6</t>
  </si>
  <si>
    <t>R² = 1 - Sum((yi-y(xi))²)/Sum((yi-M(y))²) = 1 -(1/6)/(2/3) = 1 -(1*3)/(6*2)=1-3/12= 1-1/4=3/4</t>
  </si>
  <si>
    <t>1/4</t>
  </si>
  <si>
    <t>0</t>
  </si>
  <si>
    <t>1/2</t>
  </si>
  <si>
    <t>xi*yi</t>
  </si>
  <si>
    <t>xi</t>
  </si>
  <si>
    <t>q.e.d.</t>
  </si>
  <si>
    <r>
      <t>Check Corollary (C5.2) -</t>
    </r>
    <r>
      <rPr>
        <b/>
        <i/>
        <sz val="12"/>
        <color theme="1"/>
        <rFont val="Calibri"/>
        <family val="2"/>
        <scheme val="minor"/>
      </rPr>
      <t>"center of mass"</t>
    </r>
  </si>
  <si>
    <t>xi - M(x)</t>
  </si>
  <si>
    <t>yi - M(y)</t>
  </si>
  <si>
    <t>[xi - M(x)]*[yi-M(y)]</t>
  </si>
  <si>
    <t xml:space="preserve"> yi</t>
  </si>
  <si>
    <t>7/3</t>
  </si>
  <si>
    <t>b=[(7/3)*6 - 3*2*(7/3)]/2 = [14-14]/2=0</t>
  </si>
  <si>
    <t>Set up a table with the quantities included in the above formulas for a and b and also the quantities for the calculation of R²:</t>
  </si>
  <si>
    <t>Needed for calculation of R²</t>
  </si>
  <si>
    <t>needed for calculation of a and b</t>
  </si>
  <si>
    <r>
      <t>Decide what is the "better" sLR-Line:  </t>
    </r>
    <r>
      <rPr>
        <i/>
        <sz val="13"/>
        <color rgb="FF00B050"/>
        <rFont val="Calibri"/>
        <family val="2"/>
        <scheme val="minor"/>
      </rPr>
      <t>y = 1,5 + 0,5*x</t>
    </r>
    <r>
      <rPr>
        <i/>
        <sz val="13"/>
        <color rgb="FF000000"/>
        <rFont val="Calibri"/>
        <family val="2"/>
        <scheme val="minor"/>
      </rPr>
      <t xml:space="preserve">  or </t>
    </r>
    <r>
      <rPr>
        <i/>
        <sz val="13"/>
        <color rgb="FFFF0000"/>
        <rFont val="Calibri"/>
        <family val="2"/>
        <scheme val="minor"/>
      </rPr>
      <t xml:space="preserve">y = 1,25+0,5*x  </t>
    </r>
    <r>
      <rPr>
        <i/>
        <sz val="13"/>
        <color rgb="FF000000"/>
        <rFont val="Calibri"/>
        <family val="2"/>
        <scheme val="minor"/>
      </rPr>
      <t>?</t>
    </r>
  </si>
  <si>
    <t>R²</t>
  </si>
  <si>
    <t>&lt;--SSR + SSE</t>
  </si>
  <si>
    <t>y(xi)</t>
  </si>
  <si>
    <t>SSE=sum(yi-y(xi))²</t>
  </si>
  <si>
    <r>
      <t>From Homework (H5.1_b) we get the data for the "</t>
    </r>
    <r>
      <rPr>
        <b/>
        <sz val="14"/>
        <color theme="1"/>
        <rFont val="Calibri"/>
        <family val="2"/>
        <scheme val="minor"/>
      </rPr>
      <t>optimal" sLR-line:</t>
    </r>
  </si>
  <si>
    <r>
      <t xml:space="preserve">Coefficients a, b calculated with formulas of Theorem: </t>
    </r>
    <r>
      <rPr>
        <b/>
        <sz val="14"/>
        <color rgb="FFFF0000"/>
        <rFont val="Calibri"/>
        <family val="2"/>
        <scheme val="minor"/>
      </rPr>
      <t>"(sst=sse+ssr)=??=&gt; optimal"</t>
    </r>
  </si>
  <si>
    <t>Coefficients a, b calculated with formulas of Theorem: "(sst=sse+ssr)=??=&gt; optimal"</t>
  </si>
  <si>
    <t xml:space="preserve"> i</t>
  </si>
  <si>
    <t>a= [(7/3)*14-(14/3)*6]/(14-3*4)= 14/(3*2) = 14/6=7/3 = M(y)</t>
  </si>
  <si>
    <t>SSR=0</t>
  </si>
  <si>
    <r>
      <t xml:space="preserve">SST = 2/3 =&gt; </t>
    </r>
    <r>
      <rPr>
        <sz val="11"/>
        <color rgb="FFFF0000"/>
        <rFont val="Calibri"/>
        <family val="2"/>
        <scheme val="minor"/>
      </rPr>
      <t>R²=1-(5/9)/(2/3)= 1-15/18=3/18=1/6 not max. ! ( SST&lt;&gt;sse+sst --&gt; not counter-example !!!</t>
    </r>
  </si>
  <si>
    <t>SSE = (2-7/3)²+ (3-7/3)²+0=1/9+4/9=5/9 ; SST =6/9 &gt; 5/9 =  SSR + SSE</t>
  </si>
  <si>
    <r>
      <t>Find "least square fit" </t>
    </r>
    <r>
      <rPr>
        <i/>
        <sz val="13"/>
        <color rgb="FF000000"/>
        <rFont val="Calibri"/>
        <family val="2"/>
        <scheme val="minor"/>
      </rPr>
      <t>y = a + b*x  </t>
    </r>
    <r>
      <rPr>
        <sz val="13"/>
        <color rgb="FF000000"/>
        <rFont val="Calibri"/>
        <family val="2"/>
        <scheme val="minor"/>
      </rPr>
      <t>with Trainingset</t>
    </r>
    <r>
      <rPr>
        <i/>
        <sz val="13"/>
        <color rgb="FF000000"/>
        <rFont val="Calibri"/>
        <family val="2"/>
        <scheme val="minor"/>
      </rPr>
      <t xml:space="preserve"> TS</t>
    </r>
    <r>
      <rPr>
        <sz val="13"/>
        <color rgb="FF000000"/>
        <rFont val="Calibri"/>
        <family val="2"/>
        <scheme val="minor"/>
      </rPr>
      <t xml:space="preserve"> :={(x, y))}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{(1,2), (3, 3), (2, 2)}</t>
    </r>
  </si>
  <si>
    <r>
      <t xml:space="preserve">Manuel calculation of  two sLR-lines </t>
    </r>
    <r>
      <rPr>
        <b/>
        <sz val="14"/>
        <rFont val="Calibri"/>
        <family val="2"/>
        <scheme val="minor"/>
      </rPr>
      <t>(</t>
    </r>
    <r>
      <rPr>
        <b/>
        <sz val="14"/>
        <color rgb="FF00B050"/>
        <rFont val="Calibri"/>
        <family val="2"/>
        <scheme val="minor"/>
      </rPr>
      <t>green</t>
    </r>
    <r>
      <rPr>
        <b/>
        <sz val="14"/>
        <color theme="1"/>
        <rFont val="Calibri"/>
        <family val="2"/>
        <scheme val="minor"/>
      </rPr>
      <t xml:space="preserve"> ,</t>
    </r>
    <r>
      <rPr>
        <b/>
        <sz val="14"/>
        <color rgb="FFFF0000"/>
        <rFont val="Calibri"/>
        <family val="2"/>
        <scheme val="minor"/>
      </rPr>
      <t>red</t>
    </r>
    <r>
      <rPr>
        <b/>
        <sz val="14"/>
        <color theme="1"/>
        <rFont val="Calibri"/>
        <family val="2"/>
        <scheme val="minor"/>
      </rPr>
      <t xml:space="preserve">) (Homework (H5.1_a)  +  Compare with optimal sLR-line (homewrk (H5.1_b)  +  Check Results with the new metric </t>
    </r>
    <r>
      <rPr>
        <b/>
        <sz val="14"/>
        <color rgb="FFFF0000"/>
        <rFont val="Calibri"/>
        <family val="2"/>
        <scheme val="minor"/>
      </rPr>
      <t xml:space="preserve">R²=SSR/SST </t>
    </r>
  </si>
  <si>
    <r>
      <rPr>
        <b/>
        <sz val="14"/>
        <rFont val="Calibri"/>
        <family val="2"/>
        <scheme val="minor"/>
      </rPr>
      <t xml:space="preserve">With the defintion </t>
    </r>
    <r>
      <rPr>
        <b/>
        <sz val="14"/>
        <color rgb="FFFF0000"/>
        <rFont val="Calibri"/>
        <family val="2"/>
        <scheme val="minor"/>
      </rPr>
      <t xml:space="preserve">R²:=SSR/SST </t>
    </r>
    <r>
      <rPr>
        <b/>
        <sz val="14"/>
        <rFont val="Calibri"/>
        <family val="2"/>
        <scheme val="minor"/>
      </rPr>
      <t xml:space="preserve">we get as an result that the </t>
    </r>
    <r>
      <rPr>
        <b/>
        <sz val="14"/>
        <color rgb="FF00B050"/>
        <rFont val="Calibri"/>
        <family val="2"/>
        <scheme val="minor"/>
      </rPr>
      <t>green line</t>
    </r>
    <r>
      <rPr>
        <b/>
        <sz val="14"/>
        <rFont val="Calibri"/>
        <family val="2"/>
        <scheme val="minor"/>
      </rPr>
      <t xml:space="preserve"> is the best sLR-line of the three --&gt; With R²=1-SSE/SST it was the </t>
    </r>
    <r>
      <rPr>
        <b/>
        <sz val="14"/>
        <color theme="7"/>
        <rFont val="Calibri"/>
        <family val="2"/>
        <scheme val="minor"/>
      </rPr>
      <t>yellow line</t>
    </r>
  </si>
  <si>
    <r>
      <rPr>
        <sz val="11"/>
        <rFont val="Calibri"/>
        <family val="2"/>
        <scheme val="minor"/>
      </rPr>
      <t>===&gt; y(x) = 7/3 + 0*x ===&gt;y(xi)=M(y) =&gt; SSR= 0 ---&gt;</t>
    </r>
    <r>
      <rPr>
        <sz val="11"/>
        <color rgb="FFFF0000"/>
        <rFont val="Calibri"/>
        <family val="2"/>
        <scheme val="minor"/>
      </rPr>
      <t xml:space="preserve"> unclear ??!</t>
    </r>
  </si>
  <si>
    <t>Mean-Values ("Mittelwerte"): [M(x),M(y)] = [55/10; 343/10] =  [5,5; 34,3]</t>
  </si>
  <si>
    <r>
      <t>b</t>
    </r>
    <r>
      <rPr>
        <sz val="10"/>
        <color rgb="FF000000"/>
        <rFont val="Calibri"/>
        <family val="2"/>
        <scheme val="minor"/>
      </rPr>
      <t xml:space="preserve">0 </t>
    </r>
    <r>
      <rPr>
        <sz val="13"/>
        <color rgb="FF000000"/>
        <rFont val="Calibri"/>
        <family val="2"/>
        <scheme val="minor"/>
      </rPr>
      <t xml:space="preserve">= (363*34,3 -5,5*2097)/(363-10*5,5²) = (4587/5)/(121/2) = 834/55 ~15,164  </t>
    </r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</si>
  <si>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(2097 -10*5,5*34,3)/(121/2) = 421/121~3,479 </t>
    </r>
  </si>
  <si>
    <t>----&gt; Regression-Line:  y =  15,164 + 3,479*x</t>
  </si>
  <si>
    <t>sse+ssr</t>
  </si>
  <si>
    <t>R² = 1 - Sum((yi-y(xi))²)/Sum((yi-M(y))²) = 1 -(134,2172/922,1) ~ 0,8544</t>
  </si>
  <si>
    <t>R² = 1 - Sum((yi-y(xi))²)/Sum((yi-M(y))²) = 1 -(189,699 / 922,1) ~ 0,7943</t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</si>
  <si>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 14,117 + 3,736*5,4 = 34,2914 ~ Mean(y)  q.e.d.</t>
    </r>
  </si>
  <si>
    <r>
      <rPr>
        <u/>
        <sz val="12"/>
        <color theme="1"/>
        <rFont val="Calibri"/>
        <family val="2"/>
        <scheme val="minor"/>
      </rPr>
      <t>Check  of  Proposition (P5.1)</t>
    </r>
    <r>
      <rPr>
        <sz val="12"/>
        <color theme="1"/>
        <rFont val="Calibri"/>
        <family val="2"/>
        <scheme val="minor"/>
      </rPr>
      <t>:  f(Mean(x)) = 15,164 + 3,479*5,5 = -34,2985 ~ Mean(y)  q.e.d.</t>
    </r>
  </si>
  <si>
    <r>
      <rPr>
        <u/>
        <sz val="13"/>
        <color rgb="FF000000"/>
        <rFont val="Calibri"/>
        <family val="2"/>
        <scheme val="minor"/>
      </rPr>
      <t>Part 1:</t>
    </r>
    <r>
      <rPr>
        <sz val="13"/>
        <color rgb="FF000000"/>
        <rFont val="Calibri"/>
        <family val="2"/>
        <scheme val="minor"/>
      </rPr>
      <t xml:space="preserve"> Find "least square fit" </t>
    </r>
    <r>
      <rPr>
        <i/>
        <sz val="13"/>
        <color rgb="FF000000"/>
        <rFont val="Calibri"/>
        <family val="2"/>
        <scheme val="minor"/>
      </rPr>
      <t>y = b0 + b1x  </t>
    </r>
    <r>
      <rPr>
        <sz val="13"/>
        <color rgb="FF000000"/>
        <rFont val="Calibri"/>
        <family val="2"/>
        <scheme val="minor"/>
      </rPr>
      <t>with {(exam prep.[h], score[pt.])}</t>
    </r>
    <r>
      <rPr>
        <i/>
        <sz val="13"/>
        <color rgb="FF000000"/>
        <rFont val="Calibri"/>
        <family val="2"/>
        <scheme val="minor"/>
      </rPr>
      <t xml:space="preserve">= </t>
    </r>
    <r>
      <rPr>
        <sz val="13"/>
        <color rgb="FF000000"/>
        <rFont val="Calibri"/>
        <family val="2"/>
        <scheme val="minor"/>
      </rPr>
      <t>{(7, 41), (3, 27), (5, 35), (3, 26), (8, 48), (7, 45), (10,  46), (3, 27), (5, 29) , (3, 19)}</t>
    </r>
  </si>
  <si>
    <r>
      <t xml:space="preserve">Second Part: </t>
    </r>
    <r>
      <rPr>
        <sz val="12"/>
        <color rgb="FF000000"/>
        <rFont val="Calibri"/>
        <family val="2"/>
        <scheme val="minor"/>
      </rPr>
      <t>similar to first part build the above table with the new data: {(homework[h], score[pt.])}= {(5, 41), (4, 27), (5, 35), (3, 26), (9, 48), (8, 45), (10, 46), (5, 27), (3, 29), (3, 19)}</t>
    </r>
  </si>
  <si>
    <t>grade</t>
  </si>
  <si>
    <r>
      <rPr>
        <b/>
        <i/>
        <sz val="14"/>
        <color rgb="FF000000"/>
        <rFont val="Calibri"/>
        <family val="2"/>
        <scheme val="minor"/>
      </rPr>
      <t>exam. prep. x</t>
    </r>
    <r>
      <rPr>
        <b/>
        <i/>
        <sz val="8"/>
        <color rgb="FF000000"/>
        <rFont val="Calibri"/>
        <family val="2"/>
        <scheme val="minor"/>
      </rPr>
      <t>i</t>
    </r>
  </si>
  <si>
    <t>Question 1:   14,117 points.</t>
  </si>
  <si>
    <t>Question 1:   15,164 points.</t>
  </si>
  <si>
    <t>Question 2:   15,164 + 34,79 = 49,954 = 50 points (grade=  1,0).</t>
  </si>
  <si>
    <t>coeff.  determination:  0.8544449495100991</t>
  </si>
  <si>
    <t>intercept:
14.11702127659574</t>
  </si>
  <si>
    <t>slope: [3.73758865]</t>
  </si>
  <si>
    <r>
      <t>b</t>
    </r>
    <r>
      <rPr>
        <sz val="10"/>
        <color rgb="FF000000"/>
        <rFont val="Calibri"/>
        <family val="2"/>
        <scheme val="minor"/>
      </rPr>
      <t>1</t>
    </r>
    <r>
      <rPr>
        <sz val="13"/>
        <color rgb="FF000000"/>
        <rFont val="Calibri"/>
        <family val="2"/>
        <scheme val="minor"/>
      </rPr>
      <t xml:space="preserve"> = (2063-10*5,4*34,3)/(282/5)= (1054/5)/(282/5)=527/141~3,7376 </t>
    </r>
  </si>
  <si>
    <t>----&gt; Regression-Line:  y =  14,117 + 3,7376*x</t>
  </si>
  <si>
    <t>Question 2:   14,117 + 37,38 = 51,497 = 50 points (grade=  1,0).</t>
  </si>
  <si>
    <t>51.4929078</t>
  </si>
  <si>
    <t>coeff.  determination: 0.7942748361851003</t>
  </si>
  <si>
    <t>intercept:
15.163636363636353</t>
  </si>
  <si>
    <t>slope: [3.47933884]</t>
  </si>
  <si>
    <t>49.95702479</t>
  </si>
  <si>
    <r>
      <t>Find "least square fit" z</t>
    </r>
    <r>
      <rPr>
        <i/>
        <sz val="13"/>
        <color rgb="FF000000"/>
        <rFont val="Arial"/>
        <family val="2"/>
      </rPr>
      <t xml:space="preserve"> = a + b*x + c*y  </t>
    </r>
    <r>
      <rPr>
        <sz val="13"/>
        <color rgb="FF000000"/>
        <rFont val="Arial"/>
        <family val="2"/>
      </rPr>
      <t xml:space="preserve">with </t>
    </r>
    <r>
      <rPr>
        <i/>
        <sz val="13"/>
        <color rgb="FF000000"/>
        <rFont val="Arial"/>
        <family val="2"/>
      </rPr>
      <t xml:space="preserve">Training Set TS  </t>
    </r>
    <r>
      <rPr>
        <sz val="13"/>
        <color rgb="FF000000"/>
        <rFont val="Arial"/>
        <family val="2"/>
      </rPr>
      <t>={(x, y; z) | (exam prep.[h], homework[h]; score[pt.])}</t>
    </r>
    <r>
      <rPr>
        <i/>
        <sz val="13"/>
        <color rgb="FF000000"/>
        <rFont val="Arial"/>
        <family val="2"/>
      </rPr>
      <t xml:space="preserve">= </t>
    </r>
    <r>
      <rPr>
        <sz val="13"/>
        <color rgb="FF000000"/>
        <rFont val="Arial"/>
        <family val="2"/>
      </rPr>
      <t>{(7,5;41 ), (3,4;27), (5,5;35), (3,3;26), (8,9;48), (7,8;45), (10,10;46), (3,5;27), (5,3;29), (3,3;19)}</t>
    </r>
  </si>
  <si>
    <t xml:space="preserve">Mean-Values ("Mittelwerte") = : [M(x);  M(y); M(z)] ~ [5,4 ; 5,5 ; 34,3] </t>
  </si>
  <si>
    <t>intercept: 13,2641</t>
  </si>
  <si>
    <t>coefficients: [2.4875  1.3824]</t>
  </si>
  <si>
    <t>coefficient of determination: 0.8843</t>
  </si>
  <si>
    <t>So we get the optimal mLR line:  z = 13,264 +  2,488*x +  1,382*y</t>
  </si>
  <si>
    <t xml:space="preserve">Question 3:  x= (25-14,117)/3,7376=2,91[h] </t>
  </si>
  <si>
    <t xml:space="preserve">Question 3:  x= (25-15,164)/3,479=2,83[h] </t>
  </si>
  <si>
    <t>R² = 1-SSE/SST = 1 - Sum((zi-z(xi,yi))²)/Sum((zi-M(z))²) = 1 -(204,495/1477,5)~ 0,86159</t>
  </si>
  <si>
    <t xml:space="preserve">--&gt; Adj.R²=  1 -(1-R²)*(7/5) ~ 0,8062  </t>
  </si>
  <si>
    <t>sse+ssr:</t>
  </si>
  <si>
    <r>
      <t xml:space="preserve">f(Mean(x), Mean(y))=5,522 + 0,4471*30 + 0,255*13 = 89/4 = 22,25=  Mean(z)    </t>
    </r>
    <r>
      <rPr>
        <u/>
        <sz val="12"/>
        <color theme="1"/>
        <rFont val="Calibri"/>
        <family val="2"/>
        <scheme val="minor"/>
      </rPr>
      <t>q.e.d.</t>
    </r>
  </si>
  <si>
    <t>--&gt; Adj.R²=  1 -(1-R²)*(7/5) ~ 0,8062  (details see notepage)</t>
  </si>
  <si>
    <t>sum(xi*yi) = sum[(xi - M(x))*(yi - M(y))] + n*M(x)*M(y)</t>
  </si>
  <si>
    <t>Check Proposition (P5.1-(iii)):</t>
  </si>
  <si>
    <t>5190=2070 + 8*30*13=2070+3120</t>
  </si>
  <si>
    <t>R² = 1 - SSE/SST ~ 0,86159     (details see notes-page)</t>
  </si>
  <si>
    <t>sum[(xi - M(x))*(yi - M(y))]</t>
  </si>
  <si>
    <t>det = sum(Xi²)*sum(Yi²)-(sum(Xi*Yi))²=56,40*60,50-(51*51)=811,20</t>
  </si>
  <si>
    <t>b = (1/det)*( sum(Yi²)*sum(XiZi)-sum(XiYi)*sum(YiZi))=(1/det)*(60,50*210,8-51*210,5)~ 2,4875</t>
  </si>
  <si>
    <t>c = (1/det)*( sum(Xi²)*sum(YiZi)- sum(XiYi)*sum(XiZi))=(1/det)*(56,4*210,5-51*210,8) ~ 1,3824</t>
  </si>
  <si>
    <t>a = Mean(z)-b*Mean(x)-c*Mean(y) ~ 34,3-2,4875*5,4 - 1.3824*5,5 ~ 13,2643</t>
  </si>
  <si>
    <t>R² = 1-SSE/SST = 1 - Sum((zi-z(xi,yi))²)/Sum((zi-M(z))²) = 1 -(106,7302/922,1) ~  0,88425</t>
  </si>
  <si>
    <t xml:space="preserve">--&gt; Adj.R²=  1 -(1-R²)*(9/7) ~ 0,8512  </t>
  </si>
  <si>
    <t>R² = 1 - SSE/SST  ~ 0,8843  (details see notes-page)</t>
  </si>
  <si>
    <t>--&gt; Adj.R²=  1 -(1-R²)*(9/7) ~ 0.8512  (details see notepage)</t>
  </si>
  <si>
    <r>
      <t xml:space="preserve">f(Mean(x), Mean(y))=13,264 + 2,488*5,4 + 1,382*5,5 ~ 34,30 =  Mean(z)    </t>
    </r>
    <r>
      <rPr>
        <u/>
        <sz val="12"/>
        <color theme="1"/>
        <rFont val="Calibri"/>
        <family val="2"/>
        <scheme val="minor"/>
      </rPr>
      <t>q.e.d.</t>
    </r>
  </si>
  <si>
    <t>348 = 51 + 10*5,4*5,5 = 51 + 297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</si>
</sst>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"/>
    <numFmt numFmtId="165" formatCode="0.00000000"/>
    <numFmt numFmtId="166" formatCode="0.0000000"/>
    <numFmt numFmtId="167" formatCode="0.0"/>
    <numFmt numFmtId="168" formatCode="#,##0.00000"/>
    <numFmt numFmtId="169" formatCode="#,##0.0\ _€"/>
  </numFmts>
  <fonts count="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i/>
      <sz val="13"/>
      <color rgb="FF000000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3"/>
      <color rgb="FFFF0000"/>
      <name val="Calibri"/>
      <family val="2"/>
      <scheme val="minor"/>
    </font>
    <font>
      <sz val="14"/>
      <color rgb="FF000000"/>
      <name val="Arial"/>
      <family val="2"/>
    </font>
    <font>
      <b/>
      <i/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3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3"/>
      <color rgb="FF00B050"/>
      <name val="Calibri"/>
      <family val="2"/>
      <scheme val="minor"/>
    </font>
    <font>
      <i/>
      <sz val="13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i/>
      <sz val="14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b/>
      <sz val="14"/>
      <color theme="7"/>
      <name val="Calibri"/>
      <family val="2"/>
      <scheme val="minor"/>
    </font>
    <font>
      <sz val="16"/>
      <name val="Arial"/>
      <family val="2"/>
    </font>
    <font>
      <u/>
      <sz val="13"/>
      <color rgb="FF000000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3"/>
      <color rgb="FF000000"/>
      <name val="Arial"/>
      <family val="2"/>
    </font>
    <font>
      <i/>
      <sz val="13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b/>
      <i/>
      <sz val="13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EA885C"/>
        <bgColor indexed="64"/>
      </patternFill>
    </fill>
    <fill>
      <patternFill patternType="solid">
        <fgColor rgb="FFFF5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9" fillId="8" borderId="0" applyNumberFormat="0" applyBorder="0" applyAlignment="0" applyProtection="0"/>
  </cellStyleXfs>
  <cellXfs count="30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Font="1"/>
    <xf numFmtId="0" fontId="6" fillId="0" borderId="0" xfId="0" applyFont="1"/>
    <xf numFmtId="0" fontId="1" fillId="0" borderId="0" xfId="0" applyFont="1"/>
    <xf numFmtId="0" fontId="3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Fill="1"/>
    <xf numFmtId="0" fontId="0" fillId="0" borderId="0" xfId="0" applyBorder="1"/>
    <xf numFmtId="0" fontId="14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0" fontId="9" fillId="0" borderId="0" xfId="0" applyFont="1" applyAlignment="1"/>
    <xf numFmtId="0" fontId="6" fillId="0" borderId="0" xfId="0" applyFont="1" applyAlignment="1">
      <alignment wrapText="1"/>
    </xf>
    <xf numFmtId="0" fontId="8" fillId="0" borderId="0" xfId="0" applyFont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0" fillId="0" borderId="0" xfId="0" applyAlignment="1">
      <alignment wrapText="1"/>
    </xf>
    <xf numFmtId="0" fontId="20" fillId="0" borderId="0" xfId="0" applyFont="1"/>
    <xf numFmtId="0" fontId="0" fillId="0" borderId="0" xfId="0" applyAlignment="1"/>
    <xf numFmtId="0" fontId="0" fillId="0" borderId="0" xfId="0" applyBorder="1" applyAlignment="1"/>
    <xf numFmtId="0" fontId="8" fillId="0" borderId="0" xfId="0" applyFont="1" applyAlignment="1">
      <alignment horizontal="center"/>
    </xf>
    <xf numFmtId="0" fontId="21" fillId="0" borderId="1" xfId="0" applyFont="1" applyBorder="1" applyAlignment="1">
      <alignment horizontal="center"/>
    </xf>
    <xf numFmtId="0" fontId="14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/>
    </xf>
    <xf numFmtId="2" fontId="12" fillId="0" borderId="1" xfId="0" applyNumberFormat="1" applyFont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1" fontId="8" fillId="0" borderId="0" xfId="0" applyNumberFormat="1" applyFont="1" applyAlignment="1"/>
    <xf numFmtId="1" fontId="18" fillId="2" borderId="7" xfId="0" applyNumberFormat="1" applyFont="1" applyFill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8" fillId="0" borderId="0" xfId="0" applyNumberFormat="1" applyFont="1"/>
    <xf numFmtId="1" fontId="5" fillId="0" borderId="0" xfId="0" applyNumberFormat="1" applyFont="1" applyBorder="1"/>
    <xf numFmtId="0" fontId="5" fillId="0" borderId="8" xfId="0" applyFont="1" applyBorder="1"/>
    <xf numFmtId="0" fontId="0" fillId="0" borderId="0" xfId="0" applyAlignment="1">
      <alignment vertical="top"/>
    </xf>
    <xf numFmtId="0" fontId="23" fillId="3" borderId="1" xfId="0" applyFont="1" applyFill="1" applyBorder="1" applyAlignment="1">
      <alignment horizontal="center" vertical="center" wrapText="1"/>
    </xf>
    <xf numFmtId="1" fontId="23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2" fillId="0" borderId="0" xfId="0" applyNumberFormat="1" applyFont="1" applyAlignment="1">
      <alignment horizontal="center"/>
    </xf>
    <xf numFmtId="2" fontId="8" fillId="0" borderId="0" xfId="0" applyNumberFormat="1" applyFont="1" applyAlignment="1"/>
    <xf numFmtId="2" fontId="18" fillId="2" borderId="7" xfId="0" applyNumberFormat="1" applyFont="1" applyFill="1" applyBorder="1" applyAlignment="1">
      <alignment horizontal="center" vertical="center" wrapText="1"/>
    </xf>
    <xf numFmtId="2" fontId="23" fillId="3" borderId="1" xfId="0" applyNumberFormat="1" applyFont="1" applyFill="1" applyBorder="1" applyAlignment="1">
      <alignment horizontal="center" vertical="center" wrapText="1"/>
    </xf>
    <xf numFmtId="2" fontId="8" fillId="0" borderId="0" xfId="0" applyNumberFormat="1" applyFont="1"/>
    <xf numFmtId="2" fontId="5" fillId="0" borderId="0" xfId="0" applyNumberFormat="1" applyFont="1" applyBorder="1"/>
    <xf numFmtId="1" fontId="6" fillId="0" borderId="0" xfId="0" applyNumberFormat="1" applyFont="1" applyAlignment="1">
      <alignment wrapText="1"/>
    </xf>
    <xf numFmtId="1" fontId="3" fillId="0" borderId="0" xfId="0" applyNumberFormat="1" applyFont="1"/>
    <xf numFmtId="1" fontId="14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Border="1"/>
    <xf numFmtId="1" fontId="2" fillId="3" borderId="1" xfId="0" applyNumberFormat="1" applyFont="1" applyFill="1" applyBorder="1" applyAlignment="1">
      <alignment horizontal="center" vertical="center"/>
    </xf>
    <xf numFmtId="0" fontId="21" fillId="0" borderId="0" xfId="0" applyFont="1"/>
    <xf numFmtId="2" fontId="8" fillId="6" borderId="0" xfId="0" applyNumberFormat="1" applyFont="1" applyFill="1"/>
    <xf numFmtId="165" fontId="8" fillId="6" borderId="0" xfId="0" applyNumberFormat="1" applyFont="1" applyFill="1"/>
    <xf numFmtId="0" fontId="0" fillId="0" borderId="0" xfId="0" applyBorder="1" applyAlignment="1">
      <alignment horizontal="center"/>
    </xf>
    <xf numFmtId="1" fontId="12" fillId="0" borderId="0" xfId="0" applyNumberFormat="1" applyFont="1"/>
    <xf numFmtId="1" fontId="21" fillId="0" borderId="0" xfId="0" applyNumberFormat="1" applyFont="1"/>
    <xf numFmtId="2" fontId="21" fillId="0" borderId="0" xfId="0" applyNumberFormat="1" applyFont="1"/>
    <xf numFmtId="164" fontId="21" fillId="0" borderId="0" xfId="0" applyNumberFormat="1" applyFont="1"/>
    <xf numFmtId="1" fontId="4" fillId="0" borderId="0" xfId="0" applyNumberFormat="1" applyFont="1"/>
    <xf numFmtId="165" fontId="21" fillId="6" borderId="0" xfId="0" applyNumberFormat="1" applyFont="1" applyFill="1"/>
    <xf numFmtId="1" fontId="0" fillId="0" borderId="0" xfId="0" applyNumberFormat="1" applyFont="1"/>
    <xf numFmtId="2" fontId="0" fillId="0" borderId="0" xfId="0" applyNumberFormat="1" applyFont="1"/>
    <xf numFmtId="164" fontId="0" fillId="0" borderId="0" xfId="0" applyNumberFormat="1" applyFont="1"/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0" fontId="8" fillId="7" borderId="0" xfId="0" applyFont="1" applyFill="1"/>
    <xf numFmtId="0" fontId="21" fillId="7" borderId="0" xfId="0" applyFont="1" applyFill="1" applyAlignment="1">
      <alignment wrapText="1"/>
    </xf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9" fillId="0" borderId="0" xfId="0" applyFont="1" applyAlignment="1"/>
    <xf numFmtId="16" fontId="12" fillId="0" borderId="1" xfId="0" quotePrefix="1" applyNumberFormat="1" applyFont="1" applyBorder="1" applyAlignment="1">
      <alignment horizontal="center" vertical="center" wrapText="1"/>
    </xf>
    <xf numFmtId="2" fontId="6" fillId="0" borderId="0" xfId="0" applyNumberFormat="1" applyFont="1" applyAlignment="1">
      <alignment vertical="top"/>
    </xf>
    <xf numFmtId="2" fontId="12" fillId="0" borderId="1" xfId="0" quotePrefix="1" applyNumberFormat="1" applyFont="1" applyBorder="1" applyAlignment="1">
      <alignment horizontal="center" vertical="center" wrapText="1"/>
    </xf>
    <xf numFmtId="0" fontId="19" fillId="3" borderId="1" xfId="0" quotePrefix="1" applyFont="1" applyFill="1" applyBorder="1" applyAlignment="1">
      <alignment horizontal="center" vertical="center" wrapText="1"/>
    </xf>
    <xf numFmtId="2" fontId="19" fillId="3" borderId="1" xfId="0" quotePrefix="1" applyNumberFormat="1" applyFont="1" applyFill="1" applyBorder="1" applyAlignment="1">
      <alignment horizontal="center" vertical="center" wrapText="1"/>
    </xf>
    <xf numFmtId="0" fontId="21" fillId="0" borderId="1" xfId="0" quotePrefix="1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0" fontId="0" fillId="0" borderId="1" xfId="0" applyBorder="1" applyAlignment="1">
      <alignment horizontal="center"/>
    </xf>
    <xf numFmtId="0" fontId="21" fillId="0" borderId="0" xfId="0" applyFont="1" applyAlignment="1">
      <alignment horizontal="left" vertical="center" indent="8" readingOrder="1"/>
    </xf>
    <xf numFmtId="0" fontId="28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12" fillId="0" borderId="0" xfId="0" applyFont="1" applyAlignment="1">
      <alignment vertical="top"/>
    </xf>
    <xf numFmtId="16" fontId="6" fillId="0" borderId="0" xfId="0" quotePrefix="1" applyNumberFormat="1" applyFont="1" applyAlignment="1">
      <alignment horizontal="center" vertical="top"/>
    </xf>
    <xf numFmtId="0" fontId="0" fillId="0" borderId="0" xfId="0" quotePrefix="1"/>
    <xf numFmtId="0" fontId="25" fillId="0" borderId="0" xfId="0" applyFo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9" fillId="0" borderId="0" xfId="0" applyFont="1" applyAlignment="1"/>
    <xf numFmtId="0" fontId="6" fillId="0" borderId="0" xfId="0" applyFont="1" applyAlignment="1"/>
    <xf numFmtId="2" fontId="1" fillId="0" borderId="0" xfId="0" applyNumberFormat="1" applyFont="1"/>
    <xf numFmtId="2" fontId="18" fillId="6" borderId="7" xfId="0" applyNumberFormat="1" applyFont="1" applyFill="1" applyBorder="1" applyAlignment="1">
      <alignment horizontal="center" vertical="center" wrapText="1"/>
    </xf>
    <xf numFmtId="166" fontId="0" fillId="0" borderId="0" xfId="0" applyNumberFormat="1"/>
    <xf numFmtId="166" fontId="8" fillId="0" borderId="0" xfId="0" applyNumberFormat="1" applyFont="1" applyAlignment="1"/>
    <xf numFmtId="166" fontId="9" fillId="0" borderId="0" xfId="0" applyNumberFormat="1" applyFont="1" applyAlignment="1"/>
    <xf numFmtId="166" fontId="6" fillId="0" borderId="0" xfId="0" applyNumberFormat="1" applyFont="1" applyAlignment="1">
      <alignment vertical="top"/>
    </xf>
    <xf numFmtId="166" fontId="18" fillId="6" borderId="7" xfId="0" applyNumberFormat="1" applyFont="1" applyFill="1" applyBorder="1" applyAlignment="1">
      <alignment horizontal="center" vertical="center" wrapText="1"/>
    </xf>
    <xf numFmtId="166" fontId="12" fillId="0" borderId="1" xfId="0" quotePrefix="1" applyNumberFormat="1" applyFont="1" applyBorder="1" applyAlignment="1">
      <alignment horizontal="center" vertical="center" wrapText="1"/>
    </xf>
    <xf numFmtId="166" fontId="19" fillId="3" borderId="1" xfId="0" quotePrefix="1" applyNumberFormat="1" applyFont="1" applyFill="1" applyBorder="1" applyAlignment="1">
      <alignment horizontal="center" vertical="center" wrapText="1"/>
    </xf>
    <xf numFmtId="166" fontId="0" fillId="0" borderId="0" xfId="0" applyNumberFormat="1" applyAlignment="1"/>
    <xf numFmtId="166" fontId="0" fillId="0" borderId="0" xfId="0" applyNumberFormat="1" applyAlignment="1">
      <alignment horizontal="center"/>
    </xf>
    <xf numFmtId="166" fontId="1" fillId="0" borderId="0" xfId="0" applyNumberFormat="1" applyFont="1"/>
    <xf numFmtId="166" fontId="21" fillId="0" borderId="1" xfId="0" quotePrefix="1" applyNumberFormat="1" applyFont="1" applyBorder="1" applyAlignment="1">
      <alignment horizontal="center"/>
    </xf>
    <xf numFmtId="166" fontId="12" fillId="6" borderId="1" xfId="0" quotePrefix="1" applyNumberFormat="1" applyFont="1" applyFill="1" applyBorder="1" applyAlignment="1">
      <alignment horizontal="center" vertical="center" wrapText="1"/>
    </xf>
    <xf numFmtId="2" fontId="0" fillId="0" borderId="0" xfId="0" applyNumberFormat="1" applyAlignment="1"/>
    <xf numFmtId="166" fontId="12" fillId="0" borderId="13" xfId="0" quotePrefix="1" applyNumberFormat="1" applyFont="1" applyBorder="1" applyAlignment="1">
      <alignment horizontal="center" vertical="center" wrapText="1"/>
    </xf>
    <xf numFmtId="166" fontId="18" fillId="9" borderId="1" xfId="0" applyNumberFormat="1" applyFont="1" applyFill="1" applyBorder="1" applyAlignment="1">
      <alignment horizontal="center" vertical="center" wrapText="1"/>
    </xf>
    <xf numFmtId="166" fontId="18" fillId="6" borderId="12" xfId="0" applyNumberFormat="1" applyFont="1" applyFill="1" applyBorder="1" applyAlignment="1">
      <alignment horizontal="center" vertical="center" wrapText="1"/>
    </xf>
    <xf numFmtId="166" fontId="12" fillId="6" borderId="13" xfId="0" quotePrefix="1" applyNumberFormat="1" applyFont="1" applyFill="1" applyBorder="1" applyAlignment="1">
      <alignment horizontal="center" vertical="center" wrapText="1"/>
    </xf>
    <xf numFmtId="166" fontId="18" fillId="9" borderId="13" xfId="0" applyNumberFormat="1" applyFont="1" applyFill="1" applyBorder="1" applyAlignment="1">
      <alignment horizontal="center" vertical="center" wrapText="1"/>
    </xf>
    <xf numFmtId="166" fontId="18" fillId="6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/>
    <xf numFmtId="166" fontId="12" fillId="9" borderId="13" xfId="0" quotePrefix="1" applyNumberFormat="1" applyFont="1" applyFill="1" applyBorder="1" applyAlignment="1">
      <alignment horizontal="center" vertical="center" wrapText="1"/>
    </xf>
    <xf numFmtId="166" fontId="21" fillId="0" borderId="1" xfId="0" applyNumberFormat="1" applyFont="1" applyBorder="1"/>
    <xf numFmtId="2" fontId="34" fillId="2" borderId="7" xfId="1" applyNumberFormat="1" applyFont="1" applyFill="1" applyBorder="1" applyAlignment="1">
      <alignment horizontal="center" vertical="center" wrapText="1"/>
    </xf>
    <xf numFmtId="0" fontId="34" fillId="2" borderId="7" xfId="1" applyFont="1" applyFill="1" applyBorder="1" applyAlignment="1">
      <alignment horizontal="center" vertical="center" wrapText="1"/>
    </xf>
    <xf numFmtId="0" fontId="34" fillId="2" borderId="12" xfId="1" applyFont="1" applyFill="1" applyBorder="1" applyAlignment="1">
      <alignment horizontal="center" vertical="center" wrapText="1"/>
    </xf>
    <xf numFmtId="16" fontId="12" fillId="0" borderId="13" xfId="0" quotePrefix="1" applyNumberFormat="1" applyFont="1" applyBorder="1" applyAlignment="1">
      <alignment horizontal="center" vertical="center" wrapText="1"/>
    </xf>
    <xf numFmtId="0" fontId="22" fillId="2" borderId="1" xfId="1" applyFont="1" applyFill="1" applyBorder="1" applyAlignment="1">
      <alignment horizontal="center"/>
    </xf>
    <xf numFmtId="0" fontId="34" fillId="2" borderId="1" xfId="1" applyFont="1" applyFill="1" applyBorder="1" applyAlignment="1">
      <alignment horizontal="center" vertical="center" wrapText="1"/>
    </xf>
    <xf numFmtId="2" fontId="5" fillId="0" borderId="0" xfId="0" applyNumberFormat="1" applyFont="1" applyAlignment="1"/>
    <xf numFmtId="166" fontId="5" fillId="0" borderId="0" xfId="0" applyNumberFormat="1" applyFont="1"/>
    <xf numFmtId="166" fontId="12" fillId="2" borderId="13" xfId="0" quotePrefix="1" applyNumberFormat="1" applyFont="1" applyFill="1" applyBorder="1" applyAlignment="1">
      <alignment horizontal="center" vertical="center" wrapText="1"/>
    </xf>
    <xf numFmtId="0" fontId="35" fillId="0" borderId="0" xfId="0" applyFont="1" applyAlignment="1"/>
    <xf numFmtId="0" fontId="5" fillId="0" borderId="0" xfId="0" applyFont="1"/>
    <xf numFmtId="0" fontId="2" fillId="0" borderId="0" xfId="0" applyFont="1"/>
    <xf numFmtId="166" fontId="36" fillId="6" borderId="1" xfId="0" applyNumberFormat="1" applyFont="1" applyFill="1" applyBorder="1" applyAlignment="1">
      <alignment horizontal="center" vertical="center" wrapText="1"/>
    </xf>
    <xf numFmtId="166" fontId="36" fillId="9" borderId="1" xfId="0" applyNumberFormat="1" applyFont="1" applyFill="1" applyBorder="1" applyAlignment="1">
      <alignment horizontal="center" vertical="center" wrapText="1"/>
    </xf>
    <xf numFmtId="0" fontId="36" fillId="2" borderId="1" xfId="1" applyFont="1" applyFill="1" applyBorder="1" applyAlignment="1">
      <alignment horizontal="center" vertical="center" wrapText="1"/>
    </xf>
    <xf numFmtId="0" fontId="0" fillId="0" borderId="0" xfId="0" applyAlignment="1">
      <alignment horizontal="right" indent="1"/>
    </xf>
    <xf numFmtId="0" fontId="0" fillId="0" borderId="0" xfId="0" applyAlignment="1">
      <alignment horizontal="right"/>
    </xf>
    <xf numFmtId="0" fontId="38" fillId="0" borderId="0" xfId="0" applyFont="1" applyBorder="1" applyAlignment="1" applyProtection="1"/>
    <xf numFmtId="0" fontId="38" fillId="0" borderId="0" xfId="0" applyFont="1" applyAlignment="1" applyProtection="1"/>
    <xf numFmtId="0" fontId="0" fillId="0" borderId="0" xfId="0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>
      <protection locked="0" hidden="1"/>
    </xf>
    <xf numFmtId="1" fontId="0" fillId="0" borderId="0" xfId="0" applyNumberFormat="1" applyBorder="1" applyAlignment="1" applyProtection="1">
      <alignment horizontal="center"/>
    </xf>
    <xf numFmtId="0" fontId="0" fillId="0" borderId="0" xfId="0" applyBorder="1" applyProtection="1"/>
    <xf numFmtId="0" fontId="18" fillId="2" borderId="12" xfId="0" applyFont="1" applyFill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18" fillId="4" borderId="1" xfId="0" applyFont="1" applyFill="1" applyBorder="1" applyAlignment="1">
      <alignment horizontal="center" vertical="center" wrapText="1"/>
    </xf>
    <xf numFmtId="167" fontId="21" fillId="0" borderId="1" xfId="0" applyNumberFormat="1" applyFont="1" applyBorder="1" applyAlignment="1">
      <alignment horizontal="center"/>
    </xf>
    <xf numFmtId="167" fontId="21" fillId="10" borderId="1" xfId="0" applyNumberFormat="1" applyFont="1" applyFill="1" applyBorder="1" applyAlignment="1">
      <alignment horizontal="center"/>
    </xf>
    <xf numFmtId="167" fontId="19" fillId="3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0" fillId="0" borderId="0" xfId="0" applyAlignment="1"/>
    <xf numFmtId="0" fontId="6" fillId="0" borderId="0" xfId="0" applyFont="1" applyAlignment="1">
      <alignment vertical="top"/>
    </xf>
    <xf numFmtId="0" fontId="9" fillId="0" borderId="0" xfId="0" applyFont="1" applyAlignment="1"/>
    <xf numFmtId="0" fontId="0" fillId="0" borderId="0" xfId="0" applyAlignment="1">
      <alignment vertical="top"/>
    </xf>
    <xf numFmtId="168" fontId="21" fillId="7" borderId="0" xfId="0" quotePrefix="1" applyNumberFormat="1" applyFont="1" applyFill="1" applyAlignment="1">
      <alignment horizontal="left" wrapText="1"/>
    </xf>
    <xf numFmtId="3" fontId="41" fillId="7" borderId="0" xfId="0" quotePrefix="1" applyNumberFormat="1" applyFont="1" applyFill="1" applyAlignment="1">
      <alignment horizontal="left" vertical="center"/>
    </xf>
    <xf numFmtId="2" fontId="8" fillId="0" borderId="0" xfId="0" applyNumberFormat="1" applyFont="1" applyAlignment="1">
      <alignment horizontal="center"/>
    </xf>
    <xf numFmtId="169" fontId="0" fillId="0" borderId="0" xfId="0" applyNumberFormat="1"/>
    <xf numFmtId="169" fontId="0" fillId="0" borderId="0" xfId="0" applyNumberFormat="1" applyAlignment="1"/>
    <xf numFmtId="169" fontId="8" fillId="0" borderId="0" xfId="0" applyNumberFormat="1" applyFont="1" applyAlignment="1">
      <alignment horizontal="center"/>
    </xf>
    <xf numFmtId="169" fontId="18" fillId="2" borderId="7" xfId="0" applyNumberFormat="1" applyFont="1" applyFill="1" applyBorder="1" applyAlignment="1">
      <alignment horizontal="center" vertical="center" wrapText="1"/>
    </xf>
    <xf numFmtId="169" fontId="12" fillId="0" borderId="1" xfId="0" applyNumberFormat="1" applyFont="1" applyBorder="1" applyAlignment="1">
      <alignment horizontal="center" vertical="center" wrapText="1"/>
    </xf>
    <xf numFmtId="169" fontId="23" fillId="3" borderId="1" xfId="0" applyNumberFormat="1" applyFont="1" applyFill="1" applyBorder="1" applyAlignment="1">
      <alignment horizontal="center" vertical="center" wrapText="1"/>
    </xf>
    <xf numFmtId="169" fontId="8" fillId="0" borderId="0" xfId="0" applyNumberFormat="1" applyFont="1"/>
    <xf numFmtId="169" fontId="21" fillId="0" borderId="0" xfId="0" applyNumberFormat="1" applyFont="1"/>
    <xf numFmtId="169" fontId="0" fillId="0" borderId="0" xfId="0" applyNumberFormat="1" applyFont="1"/>
    <xf numFmtId="169" fontId="5" fillId="0" borderId="0" xfId="0" applyNumberFormat="1" applyFont="1" applyBorder="1"/>
    <xf numFmtId="167" fontId="0" fillId="0" borderId="0" xfId="0" applyNumberFormat="1"/>
    <xf numFmtId="167" fontId="0" fillId="0" borderId="0" xfId="0" applyNumberFormat="1" applyAlignment="1"/>
    <xf numFmtId="167" fontId="8" fillId="0" borderId="0" xfId="0" applyNumberFormat="1" applyFont="1" applyAlignment="1">
      <alignment horizontal="center"/>
    </xf>
    <xf numFmtId="167" fontId="18" fillId="2" borderId="7" xfId="0" applyNumberFormat="1" applyFont="1" applyFill="1" applyBorder="1" applyAlignment="1">
      <alignment horizontal="center" vertical="center" wrapText="1"/>
    </xf>
    <xf numFmtId="167" fontId="12" fillId="0" borderId="1" xfId="0" applyNumberFormat="1" applyFont="1" applyBorder="1" applyAlignment="1">
      <alignment horizontal="center" vertical="center" wrapText="1"/>
    </xf>
    <xf numFmtId="167" fontId="23" fillId="3" borderId="1" xfId="0" applyNumberFormat="1" applyFont="1" applyFill="1" applyBorder="1" applyAlignment="1">
      <alignment horizontal="center" vertical="center" wrapText="1"/>
    </xf>
    <xf numFmtId="167" fontId="8" fillId="0" borderId="0" xfId="0" applyNumberFormat="1" applyFont="1"/>
    <xf numFmtId="167" fontId="21" fillId="0" borderId="0" xfId="0" applyNumberFormat="1" applyFont="1"/>
    <xf numFmtId="167" fontId="0" fillId="0" borderId="0" xfId="0" applyNumberFormat="1" applyFont="1"/>
    <xf numFmtId="167" fontId="5" fillId="0" borderId="0" xfId="0" applyNumberFormat="1" applyFont="1" applyBorder="1"/>
    <xf numFmtId="167" fontId="8" fillId="6" borderId="0" xfId="0" applyNumberFormat="1" applyFont="1" applyFill="1"/>
    <xf numFmtId="167" fontId="21" fillId="6" borderId="0" xfId="0" applyNumberFormat="1" applyFont="1" applyFill="1"/>
    <xf numFmtId="2" fontId="0" fillId="0" borderId="0" xfId="0" applyNumberFormat="1" applyAlignment="1">
      <alignment horizontal="center"/>
    </xf>
    <xf numFmtId="0" fontId="45" fillId="0" borderId="0" xfId="0" applyFont="1" applyAlignment="1">
      <alignment vertical="center" readingOrder="1"/>
    </xf>
    <xf numFmtId="164" fontId="0" fillId="0" borderId="0" xfId="0" applyNumberFormat="1" applyBorder="1" applyAlignment="1"/>
    <xf numFmtId="164" fontId="0" fillId="0" borderId="0" xfId="0" applyNumberFormat="1"/>
    <xf numFmtId="164" fontId="8" fillId="0" borderId="0" xfId="0" applyNumberFormat="1" applyFont="1" applyAlignment="1"/>
    <xf numFmtId="164" fontId="9" fillId="0" borderId="0" xfId="0" applyNumberFormat="1" applyFont="1" applyAlignment="1"/>
    <xf numFmtId="164" fontId="0" fillId="0" borderId="0" xfId="0" applyNumberFormat="1" applyAlignment="1">
      <alignment vertical="top"/>
    </xf>
    <xf numFmtId="164" fontId="18" fillId="2" borderId="7" xfId="0" applyNumberFormat="1" applyFont="1" applyFill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4" fontId="23" fillId="3" borderId="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/>
    <xf numFmtId="164" fontId="0" fillId="0" borderId="0" xfId="0" applyNumberFormat="1" applyBorder="1"/>
    <xf numFmtId="164" fontId="0" fillId="0" borderId="0" xfId="0" applyNumberFormat="1" applyAlignment="1"/>
    <xf numFmtId="164" fontId="16" fillId="3" borderId="6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left"/>
    </xf>
    <xf numFmtId="0" fontId="5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47" fillId="2" borderId="7" xfId="0" applyFont="1" applyFill="1" applyBorder="1" applyAlignment="1">
      <alignment horizontal="center" vertical="center" wrapText="1"/>
    </xf>
    <xf numFmtId="164" fontId="47" fillId="2" borderId="7" xfId="0" applyNumberFormat="1" applyFont="1" applyFill="1" applyBorder="1" applyAlignment="1">
      <alignment horizontal="center" vertical="center" wrapText="1"/>
    </xf>
    <xf numFmtId="2" fontId="46" fillId="2" borderId="1" xfId="0" applyNumberFormat="1" applyFont="1" applyFill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/>
    </xf>
    <xf numFmtId="2" fontId="0" fillId="0" borderId="0" xfId="0" applyNumberFormat="1" applyBorder="1"/>
    <xf numFmtId="2" fontId="19" fillId="3" borderId="1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/>
    </xf>
    <xf numFmtId="0" fontId="0" fillId="0" borderId="0" xfId="0" applyAlignment="1">
      <alignment horizontal="left"/>
    </xf>
    <xf numFmtId="0" fontId="22" fillId="0" borderId="3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4" xfId="0" applyFont="1" applyBorder="1" applyAlignment="1"/>
    <xf numFmtId="0" fontId="4" fillId="0" borderId="3" xfId="0" quotePrefix="1" applyFont="1" applyBorder="1" applyAlignment="1"/>
    <xf numFmtId="0" fontId="0" fillId="0" borderId="5" xfId="0" applyBorder="1" applyAlignment="1"/>
    <xf numFmtId="0" fontId="0" fillId="0" borderId="4" xfId="0" applyBorder="1" applyAlignment="1"/>
    <xf numFmtId="0" fontId="2" fillId="0" borderId="0" xfId="0" applyFont="1" applyBorder="1" applyAlignment="1">
      <alignment horizontal="center"/>
    </xf>
    <xf numFmtId="0" fontId="0" fillId="0" borderId="0" xfId="0" applyBorder="1" applyAlignment="1"/>
    <xf numFmtId="0" fontId="0" fillId="0" borderId="0" xfId="0" applyAlignment="1"/>
    <xf numFmtId="0" fontId="12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wrapText="1"/>
    </xf>
    <xf numFmtId="0" fontId="8" fillId="0" borderId="0" xfId="0" applyFont="1" applyAlignment="1"/>
    <xf numFmtId="0" fontId="16" fillId="0" borderId="0" xfId="0" applyFont="1" applyAlignment="1"/>
    <xf numFmtId="0" fontId="15" fillId="0" borderId="0" xfId="0" applyFont="1" applyAlignment="1"/>
    <xf numFmtId="0" fontId="8" fillId="4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0" fillId="0" borderId="10" xfId="0" applyBorder="1" applyAlignment="1"/>
    <xf numFmtId="0" fontId="0" fillId="0" borderId="11" xfId="0" applyBorder="1" applyAlignment="1"/>
    <xf numFmtId="0" fontId="9" fillId="0" borderId="0" xfId="0" applyFont="1" applyAlignment="1">
      <alignment wrapText="1"/>
    </xf>
    <xf numFmtId="0" fontId="9" fillId="0" borderId="0" xfId="0" applyFont="1" applyAlignment="1"/>
    <xf numFmtId="0" fontId="6" fillId="0" borderId="0" xfId="0" applyFont="1" applyAlignment="1"/>
    <xf numFmtId="0" fontId="21" fillId="0" borderId="0" xfId="0" applyFont="1" applyAlignment="1">
      <alignment horizontal="left" vertical="center" readingOrder="1"/>
    </xf>
    <xf numFmtId="0" fontId="26" fillId="0" borderId="0" xfId="0" applyFont="1" applyAlignment="1">
      <alignment horizontal="left"/>
    </xf>
    <xf numFmtId="0" fontId="5" fillId="0" borderId="0" xfId="0" applyFont="1" applyAlignment="1"/>
    <xf numFmtId="1" fontId="5" fillId="0" borderId="0" xfId="0" applyNumberFormat="1" applyFont="1" applyBorder="1" applyAlignment="1"/>
    <xf numFmtId="0" fontId="5" fillId="0" borderId="0" xfId="0" applyFont="1" applyBorder="1" applyAlignment="1"/>
    <xf numFmtId="2" fontId="5" fillId="0" borderId="3" xfId="0" quotePrefix="1" applyNumberFormat="1" applyFont="1" applyBorder="1" applyAlignment="1"/>
    <xf numFmtId="2" fontId="5" fillId="0" borderId="5" xfId="0" quotePrefix="1" applyNumberFormat="1" applyFont="1" applyBorder="1" applyAlignment="1"/>
    <xf numFmtId="2" fontId="5" fillId="0" borderId="5" xfId="0" applyNumberFormat="1" applyFont="1" applyBorder="1" applyAlignment="1"/>
    <xf numFmtId="0" fontId="5" fillId="0" borderId="5" xfId="0" applyFont="1" applyBorder="1" applyAlignment="1"/>
    <xf numFmtId="0" fontId="5" fillId="0" borderId="4" xfId="0" applyFont="1" applyBorder="1" applyAlignment="1"/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5" borderId="6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4" borderId="6" xfId="0" applyFont="1" applyFill="1" applyBorder="1" applyAlignment="1">
      <alignment horizontal="center"/>
    </xf>
    <xf numFmtId="0" fontId="0" fillId="0" borderId="6" xfId="0" applyFont="1" applyBorder="1" applyAlignment="1"/>
    <xf numFmtId="1" fontId="4" fillId="0" borderId="3" xfId="0" applyNumberFormat="1" applyFont="1" applyBorder="1" applyAlignment="1"/>
    <xf numFmtId="2" fontId="8" fillId="0" borderId="3" xfId="0" quotePrefix="1" applyNumberFormat="1" applyFont="1" applyBorder="1" applyAlignment="1"/>
    <xf numFmtId="2" fontId="8" fillId="0" borderId="5" xfId="0" quotePrefix="1" applyNumberFormat="1" applyFont="1" applyBorder="1" applyAlignment="1"/>
    <xf numFmtId="2" fontId="0" fillId="0" borderId="5" xfId="0" applyNumberFormat="1" applyBorder="1" applyAlignment="1"/>
    <xf numFmtId="165" fontId="21" fillId="6" borderId="0" xfId="0" applyNumberFormat="1" applyFont="1" applyFill="1" applyAlignment="1"/>
    <xf numFmtId="0" fontId="21" fillId="0" borderId="0" xfId="0" applyFont="1" applyAlignment="1">
      <alignment horizontal="center"/>
    </xf>
    <xf numFmtId="0" fontId="44" fillId="0" borderId="0" xfId="0" applyFont="1" applyBorder="1" applyAlignment="1">
      <alignment horizontal="center"/>
    </xf>
    <xf numFmtId="0" fontId="20" fillId="0" borderId="0" xfId="0" applyFont="1" applyAlignment="1"/>
    <xf numFmtId="0" fontId="42" fillId="0" borderId="0" xfId="0" applyFont="1" applyAlignment="1">
      <alignment horizontal="left" vertical="center" wrapText="1" readingOrder="1"/>
    </xf>
    <xf numFmtId="0" fontId="8" fillId="0" borderId="0" xfId="0" applyFont="1" applyAlignment="1">
      <alignment wrapText="1"/>
    </xf>
    <xf numFmtId="0" fontId="0" fillId="0" borderId="0" xfId="0" applyAlignment="1">
      <alignment wrapText="1"/>
    </xf>
    <xf numFmtId="0" fontId="8" fillId="6" borderId="9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66" fontId="8" fillId="6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6" fillId="2" borderId="9" xfId="1" applyFont="1" applyFill="1" applyBorder="1" applyAlignment="1">
      <alignment horizontal="center"/>
    </xf>
    <xf numFmtId="0" fontId="16" fillId="2" borderId="10" xfId="1" applyFont="1" applyFill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 applyAlignment="1"/>
    <xf numFmtId="0" fontId="0" fillId="0" borderId="0" xfId="0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166" fontId="8" fillId="9" borderId="13" xfId="0" applyNumberFormat="1" applyFont="1" applyFill="1" applyBorder="1" applyAlignment="1">
      <alignment horizontal="center"/>
    </xf>
    <xf numFmtId="166" fontId="0" fillId="9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8" fillId="9" borderId="1" xfId="0" applyNumberFormat="1" applyFont="1" applyFill="1" applyBorder="1" applyAlignment="1">
      <alignment horizontal="center"/>
    </xf>
    <xf numFmtId="0" fontId="38" fillId="0" borderId="0" xfId="0" applyFont="1" applyBorder="1" applyAlignment="1" applyProtection="1"/>
    <xf numFmtId="0" fontId="40" fillId="0" borderId="0" xfId="0" applyFont="1" applyAlignment="1">
      <alignment horizontal="left" vertical="top" wrapText="1" readingOrder="1"/>
    </xf>
  </cellXfs>
  <cellStyles count="2">
    <cellStyle name="Neutral" xfId="1" builtinId="28"/>
    <cellStyle name="Standard" xfId="0" builtinId="0"/>
  </cellStyles>
  <dxfs count="0"/>
  <tableStyles count="0" defaultTableStyle="TableStyleMedium2" defaultPivotStyle="PivotStyleLight16"/>
  <colors>
    <mruColors>
      <color rgb="FFFF5050"/>
      <color rgb="FFEA88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136071</xdr:colOff>
      <xdr:row>19</xdr:row>
      <xdr:rowOff>86430</xdr:rowOff>
    </xdr:from>
    <xdr:to>
      <xdr:col>9</xdr:col>
      <xdr:colOff>1942109</xdr:colOff>
      <xdr:row>28</xdr:row>
      <xdr:rowOff>197921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7E1E3B8-D2E2-4CEF-AC85-88D1436BA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5584" y="4292274"/>
          <a:ext cx="3253343" cy="270921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86592</xdr:colOff>
      <xdr:row>24</xdr:row>
      <xdr:rowOff>37110</xdr:rowOff>
    </xdr:from>
    <xdr:to>
      <xdr:col>10</xdr:col>
      <xdr:colOff>185551</xdr:colOff>
      <xdr:row>35</xdr:row>
      <xdr:rowOff>12370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5430C9C-5A79-4EE9-839A-65053F5C54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3508" y="5282045"/>
          <a:ext cx="3896589" cy="28080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12370</xdr:colOff>
      <xdr:row>27</xdr:row>
      <xdr:rowOff>136073</xdr:rowOff>
    </xdr:from>
    <xdr:to>
      <xdr:col>19</xdr:col>
      <xdr:colOff>1608115</xdr:colOff>
      <xdr:row>35</xdr:row>
      <xdr:rowOff>160812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F48CB0-E18E-48F2-8AF4-D13C90C82B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4838" y="6927274"/>
          <a:ext cx="6110843" cy="20287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61668</xdr:colOff>
      <xdr:row>15</xdr:row>
      <xdr:rowOff>246589</xdr:rowOff>
    </xdr:from>
    <xdr:to>
      <xdr:col>5</xdr:col>
      <xdr:colOff>1066800</xdr:colOff>
      <xdr:row>30</xdr:row>
      <xdr:rowOff>190500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AF118069-5530-4F5D-9ED6-CFFECBD77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968" y="3612089"/>
          <a:ext cx="4980232" cy="361421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235291</xdr:colOff>
      <xdr:row>16</xdr:row>
      <xdr:rowOff>10582</xdr:rowOff>
    </xdr:from>
    <xdr:to>
      <xdr:col>9</xdr:col>
      <xdr:colOff>2137833</xdr:colOff>
      <xdr:row>27</xdr:row>
      <xdr:rowOff>158750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FEC22A1D-D0CF-4A60-8A3E-5D27DBDC5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47291" y="3630082"/>
          <a:ext cx="3553542" cy="31644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2BCE-B160-47E5-83E3-19EF3F0F68FC}">
  <dimension ref="A2:Q33"/>
  <sheetViews>
    <sheetView zoomScale="77" zoomScaleNormal="77" workbookViewId="0">
      <selection activeCell="H12" sqref="H12"/>
    </sheetView>
  </sheetViews>
  <sheetFormatPr baseColWidth="10" defaultColWidth="9.140625" defaultRowHeight="18.7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2.28515625" customWidth="1"/>
    <col min="7" max="7" width="11.42578125" customWidth="1"/>
    <col min="8" max="8" width="24" customWidth="1"/>
    <col min="9" max="9" width="21.7109375" customWidth="1"/>
    <col min="10" max="10" width="29.140625" customWidth="1"/>
    <col min="11" max="11" width="3.7109375" customWidth="1"/>
    <col min="13" max="13" width="21.5703125" style="11" customWidth="1"/>
    <col min="14" max="14" width="18.42578125" style="103" customWidth="1"/>
    <col min="15" max="15" width="20.7109375" style="11" customWidth="1"/>
    <col min="16" max="16" width="23.85546875" style="11" customWidth="1"/>
    <col min="17" max="17" width="18.140625" customWidth="1"/>
  </cols>
  <sheetData>
    <row r="2" spans="1:16" ht="31.5" customHeight="1" x14ac:dyDescent="0.3">
      <c r="A2" s="14"/>
      <c r="B2" s="242" t="s">
        <v>15</v>
      </c>
      <c r="C2" s="242"/>
      <c r="D2" s="242"/>
      <c r="E2" s="242"/>
      <c r="F2" s="243"/>
      <c r="G2" s="243"/>
      <c r="H2" s="243"/>
      <c r="I2" s="243"/>
      <c r="J2" s="244"/>
    </row>
    <row r="3" spans="1:16" ht="11.25" customHeight="1" x14ac:dyDescent="0.3">
      <c r="B3" s="1"/>
      <c r="C3" s="1"/>
      <c r="D3" s="1"/>
      <c r="E3" s="1"/>
    </row>
    <row r="4" spans="1:16" ht="18.75" customHeight="1" x14ac:dyDescent="0.3">
      <c r="B4" s="247" t="s">
        <v>34</v>
      </c>
      <c r="C4" s="248"/>
      <c r="D4" s="248"/>
      <c r="E4" s="248"/>
      <c r="F4" s="248"/>
      <c r="G4" s="248"/>
      <c r="H4" s="248"/>
      <c r="I4" s="244"/>
      <c r="J4" s="244"/>
    </row>
    <row r="5" spans="1:16" ht="9.75" customHeight="1" x14ac:dyDescent="0.3">
      <c r="B5" s="21"/>
      <c r="C5" s="22"/>
      <c r="D5" s="22"/>
      <c r="E5" s="22"/>
      <c r="F5" s="22"/>
      <c r="G5" s="22"/>
      <c r="H5" s="22"/>
      <c r="I5" s="23"/>
    </row>
    <row r="6" spans="1:16" x14ac:dyDescent="0.3">
      <c r="B6" s="257" t="s">
        <v>1</v>
      </c>
      <c r="C6" s="258"/>
      <c r="D6" s="258"/>
      <c r="E6" s="258"/>
      <c r="F6" s="258"/>
      <c r="G6" s="258"/>
      <c r="H6" s="20"/>
      <c r="M6" s="30"/>
    </row>
    <row r="7" spans="1:16" ht="17.25" customHeight="1" x14ac:dyDescent="0.3">
      <c r="B7" s="259" t="s">
        <v>2</v>
      </c>
      <c r="C7" s="259"/>
      <c r="D7" s="259"/>
      <c r="E7" s="249" t="s">
        <v>35</v>
      </c>
      <c r="F7" s="250"/>
      <c r="G7" s="250"/>
      <c r="H7" s="250"/>
      <c r="I7" s="244"/>
      <c r="J7" s="244"/>
      <c r="N7" s="103">
        <v>4</v>
      </c>
      <c r="O7" s="11">
        <f>60/7</f>
        <v>8.5714285714285712</v>
      </c>
    </row>
    <row r="8" spans="1:16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N8" s="104"/>
      <c r="O8" s="106"/>
      <c r="P8" s="106"/>
    </row>
    <row r="9" spans="1:16" s="5" customFormat="1" ht="9" customHeight="1" x14ac:dyDescent="0.25">
      <c r="B9" s="24"/>
      <c r="C9" s="25"/>
      <c r="D9" s="25"/>
      <c r="E9" s="25"/>
      <c r="F9" s="25"/>
      <c r="G9" s="25"/>
      <c r="H9" s="25"/>
      <c r="I9" s="25"/>
      <c r="N9" s="104"/>
      <c r="O9" s="106"/>
      <c r="P9" s="106"/>
    </row>
    <row r="10" spans="1:16" ht="17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5"/>
      <c r="N10" s="104"/>
    </row>
    <row r="11" spans="1:16" ht="37.5" x14ac:dyDescent="0.25">
      <c r="B11" s="15" t="s">
        <v>8</v>
      </c>
      <c r="C11" s="32" t="s">
        <v>3</v>
      </c>
      <c r="D11" s="33" t="s">
        <v>4</v>
      </c>
      <c r="E11" s="33" t="s">
        <v>5</v>
      </c>
      <c r="F11" s="33" t="s">
        <v>6</v>
      </c>
      <c r="G11" s="33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5"/>
      <c r="N11" s="102" t="s">
        <v>99</v>
      </c>
      <c r="O11" s="102" t="s">
        <v>100</v>
      </c>
      <c r="P11" s="102" t="s">
        <v>101</v>
      </c>
    </row>
    <row r="12" spans="1:16" ht="15" customHeight="1" x14ac:dyDescent="0.25">
      <c r="B12" s="16">
        <v>1</v>
      </c>
      <c r="C12" s="16">
        <v>1</v>
      </c>
      <c r="D12" s="16">
        <v>2</v>
      </c>
      <c r="E12" s="16">
        <v>2</v>
      </c>
      <c r="F12" s="16">
        <v>1</v>
      </c>
      <c r="G12" s="16">
        <v>2.0356999999999998</v>
      </c>
      <c r="H12" s="16">
        <v>1.274E-3</v>
      </c>
      <c r="I12" s="16">
        <v>43.183300000000003</v>
      </c>
      <c r="J12" s="16">
        <v>42.710099999999997</v>
      </c>
      <c r="K12" s="7"/>
      <c r="L12" s="5"/>
      <c r="M12" s="5"/>
      <c r="N12" s="105">
        <f>C12-4</f>
        <v>-3</v>
      </c>
      <c r="O12" s="107">
        <f>D12-60/7</f>
        <v>-6.5714285714285712</v>
      </c>
      <c r="P12" s="99">
        <f>N12*O12</f>
        <v>19.714285714285715</v>
      </c>
    </row>
    <row r="13" spans="1:16" x14ac:dyDescent="0.25">
      <c r="B13" s="16">
        <v>2</v>
      </c>
      <c r="C13" s="16">
        <v>3</v>
      </c>
      <c r="D13" s="16">
        <v>4</v>
      </c>
      <c r="E13" s="16">
        <v>12</v>
      </c>
      <c r="F13" s="16">
        <v>9</v>
      </c>
      <c r="G13" s="16">
        <v>6.3929</v>
      </c>
      <c r="H13" s="16">
        <v>5.726</v>
      </c>
      <c r="I13" s="16">
        <v>20.8977</v>
      </c>
      <c r="J13" s="16">
        <v>4.7458999999999998</v>
      </c>
      <c r="K13" s="7"/>
      <c r="L13" s="5"/>
      <c r="M13" s="5"/>
      <c r="N13" s="105">
        <f t="shared" ref="N13:N18" si="0">C13-4</f>
        <v>-1</v>
      </c>
      <c r="O13" s="107">
        <f t="shared" ref="O13:O18" si="1">D13-60/7</f>
        <v>-4.5714285714285712</v>
      </c>
      <c r="P13" s="99">
        <f t="shared" ref="P13:P18" si="2">N13*O13</f>
        <v>4.5714285714285712</v>
      </c>
    </row>
    <row r="14" spans="1:16" ht="15" customHeight="1" x14ac:dyDescent="0.25">
      <c r="B14" s="16">
        <v>3</v>
      </c>
      <c r="C14" s="16">
        <v>2</v>
      </c>
      <c r="D14" s="16">
        <v>6</v>
      </c>
      <c r="E14" s="16">
        <v>12</v>
      </c>
      <c r="F14" s="16">
        <v>4</v>
      </c>
      <c r="G14" s="16">
        <v>4.2142999999999997</v>
      </c>
      <c r="H14" s="16">
        <v>3.1886999999999999</v>
      </c>
      <c r="I14" s="16">
        <v>6.6120999999999999</v>
      </c>
      <c r="J14" s="31">
        <v>18.984300000000001</v>
      </c>
      <c r="L14" s="5"/>
      <c r="M14" s="5"/>
      <c r="N14" s="105">
        <f t="shared" si="0"/>
        <v>-2</v>
      </c>
      <c r="O14" s="107">
        <f t="shared" si="1"/>
        <v>-2.5714285714285712</v>
      </c>
      <c r="P14" s="99">
        <f t="shared" si="2"/>
        <v>5.1428571428571423</v>
      </c>
    </row>
    <row r="15" spans="1:16" ht="15" customHeight="1" x14ac:dyDescent="0.25">
      <c r="B15" s="16">
        <v>4</v>
      </c>
      <c r="C15" s="16">
        <v>4</v>
      </c>
      <c r="D15" s="16">
        <v>8</v>
      </c>
      <c r="E15" s="16">
        <v>32</v>
      </c>
      <c r="F15" s="16">
        <v>16</v>
      </c>
      <c r="G15" s="16">
        <v>8.5715000000000003</v>
      </c>
      <c r="H15" s="16">
        <v>0.3266</v>
      </c>
      <c r="I15" s="16">
        <v>0.32650000000000001</v>
      </c>
      <c r="J15" s="16">
        <v>0</v>
      </c>
      <c r="K15" s="7"/>
      <c r="L15" s="5"/>
      <c r="M15" s="5"/>
      <c r="N15" s="105">
        <f t="shared" si="0"/>
        <v>0</v>
      </c>
      <c r="O15" s="107">
        <f t="shared" si="1"/>
        <v>-0.57142857142857117</v>
      </c>
      <c r="P15" s="99">
        <f t="shared" si="2"/>
        <v>0</v>
      </c>
    </row>
    <row r="16" spans="1:16" ht="18.75" customHeight="1" x14ac:dyDescent="0.25">
      <c r="B16" s="16">
        <v>5</v>
      </c>
      <c r="C16" s="16">
        <v>5</v>
      </c>
      <c r="D16" s="16">
        <v>12</v>
      </c>
      <c r="E16" s="16">
        <v>60</v>
      </c>
      <c r="F16" s="16">
        <v>25</v>
      </c>
      <c r="G16" s="16">
        <v>10.7501</v>
      </c>
      <c r="H16" s="16">
        <v>1.5623</v>
      </c>
      <c r="I16" s="16">
        <v>11.7553</v>
      </c>
      <c r="J16" s="16">
        <v>4.7466999999999997</v>
      </c>
      <c r="K16" s="7"/>
      <c r="L16" s="5"/>
      <c r="M16" s="5"/>
      <c r="N16" s="105">
        <f t="shared" si="0"/>
        <v>1</v>
      </c>
      <c r="O16" s="107">
        <f t="shared" si="1"/>
        <v>3.4285714285714288</v>
      </c>
      <c r="P16" s="99">
        <f t="shared" si="2"/>
        <v>3.4285714285714288</v>
      </c>
    </row>
    <row r="17" spans="2:17" ht="15" customHeight="1" x14ac:dyDescent="0.25">
      <c r="B17" s="16">
        <v>6</v>
      </c>
      <c r="C17" s="16">
        <v>6</v>
      </c>
      <c r="D17" s="16">
        <v>13</v>
      </c>
      <c r="E17" s="16">
        <v>78</v>
      </c>
      <c r="F17" s="16">
        <v>36</v>
      </c>
      <c r="G17" s="16">
        <v>12.928699999999999</v>
      </c>
      <c r="H17" s="16">
        <v>6.6100000000000004E-3</v>
      </c>
      <c r="I17" s="16">
        <v>19.612500000000001</v>
      </c>
      <c r="J17" s="16">
        <v>18.9861</v>
      </c>
      <c r="K17" s="7"/>
      <c r="L17" s="5"/>
      <c r="M17" s="5"/>
      <c r="N17" s="105">
        <f t="shared" si="0"/>
        <v>2</v>
      </c>
      <c r="O17" s="107">
        <f t="shared" si="1"/>
        <v>4.4285714285714288</v>
      </c>
      <c r="P17" s="99">
        <f t="shared" si="2"/>
        <v>8.8571428571428577</v>
      </c>
    </row>
    <row r="18" spans="2:17" x14ac:dyDescent="0.25">
      <c r="B18" s="16">
        <v>7</v>
      </c>
      <c r="C18" s="16">
        <v>7</v>
      </c>
      <c r="D18" s="16">
        <v>15</v>
      </c>
      <c r="E18" s="16">
        <v>105</v>
      </c>
      <c r="F18" s="16">
        <v>49</v>
      </c>
      <c r="G18" s="16">
        <v>15.1073</v>
      </c>
      <c r="H18" s="16">
        <v>1.1509999999999999E-2</v>
      </c>
      <c r="I18" s="16">
        <v>41.326900000000002</v>
      </c>
      <c r="J18" s="16">
        <v>42.718000000000004</v>
      </c>
      <c r="K18" s="7"/>
      <c r="L18" s="5"/>
      <c r="M18" s="5"/>
      <c r="N18" s="105">
        <f t="shared" si="0"/>
        <v>3</v>
      </c>
      <c r="O18" s="107">
        <f t="shared" si="1"/>
        <v>6.4285714285714288</v>
      </c>
      <c r="P18" s="99">
        <f t="shared" si="2"/>
        <v>19.285714285714285</v>
      </c>
    </row>
    <row r="19" spans="2:17" x14ac:dyDescent="0.25">
      <c r="B19" s="17" t="s">
        <v>0</v>
      </c>
      <c r="C19" s="17">
        <f>SUM(C12:C18)</f>
        <v>28</v>
      </c>
      <c r="D19" s="17">
        <f t="shared" ref="D19:F19" si="3">SUM(D12:D18)</f>
        <v>60</v>
      </c>
      <c r="E19" s="17">
        <f t="shared" si="3"/>
        <v>301</v>
      </c>
      <c r="F19" s="17">
        <f t="shared" si="3"/>
        <v>140</v>
      </c>
      <c r="G19" s="17"/>
      <c r="H19" s="17">
        <f>SUM(H12:H18)</f>
        <v>10.822994000000001</v>
      </c>
      <c r="I19" s="17">
        <f>SUM(I12:I18)</f>
        <v>143.71430000000001</v>
      </c>
      <c r="J19" s="17">
        <f>SUM(J12:J18)</f>
        <v>132.89109999999999</v>
      </c>
      <c r="K19" s="6"/>
      <c r="L19" s="5"/>
      <c r="M19" s="5"/>
      <c r="N19" s="45">
        <f>SUM(N12:N18)</f>
        <v>0</v>
      </c>
      <c r="O19" s="45">
        <f>SUM(O12:O18)</f>
        <v>0</v>
      </c>
      <c r="P19" s="45">
        <f>SUM(P12:P18)</f>
        <v>60.999999999999993</v>
      </c>
    </row>
    <row r="20" spans="2:17" ht="20.25" customHeight="1" x14ac:dyDescent="0.25">
      <c r="C20" s="14"/>
      <c r="L20" s="5"/>
      <c r="M20" s="5"/>
      <c r="N20" s="104"/>
    </row>
    <row r="21" spans="2:17" x14ac:dyDescent="0.3">
      <c r="B21" s="4" t="s">
        <v>11</v>
      </c>
      <c r="C21" s="9"/>
      <c r="D21" s="9"/>
      <c r="E21" s="9"/>
      <c r="F21" s="9"/>
      <c r="G21" s="9"/>
      <c r="H21" s="79" t="s">
        <v>58</v>
      </c>
      <c r="I21" s="9"/>
      <c r="L21" s="5"/>
      <c r="M21" s="5"/>
      <c r="N21" s="104"/>
    </row>
    <row r="22" spans="2:17" ht="8.25" customHeight="1" x14ac:dyDescent="0.35">
      <c r="B22" s="4"/>
      <c r="C22" s="9"/>
      <c r="D22" s="9"/>
      <c r="E22" s="9"/>
      <c r="F22" s="9"/>
      <c r="G22" s="9"/>
      <c r="H22" s="9"/>
      <c r="I22" s="9"/>
      <c r="J22" s="14"/>
      <c r="L22" s="5"/>
      <c r="M22" s="5"/>
      <c r="N22" s="104"/>
      <c r="O22" s="108"/>
    </row>
    <row r="23" spans="2:17" ht="36.75" customHeight="1" x14ac:dyDescent="0.35">
      <c r="B23" s="247" t="s">
        <v>10</v>
      </c>
      <c r="C23" s="244"/>
      <c r="D23" s="244"/>
      <c r="E23" s="244"/>
      <c r="F23" s="244"/>
      <c r="G23" s="9"/>
      <c r="H23" s="80" t="s">
        <v>57</v>
      </c>
      <c r="I23" s="9"/>
      <c r="J23" s="3"/>
      <c r="L23" s="5"/>
      <c r="M23" s="5"/>
      <c r="N23" s="104"/>
      <c r="O23" s="108"/>
    </row>
    <row r="24" spans="2:17" ht="21" x14ac:dyDescent="0.35">
      <c r="B24" s="4" t="s">
        <v>9</v>
      </c>
      <c r="C24" s="9"/>
      <c r="D24" s="9"/>
      <c r="E24" s="9"/>
      <c r="F24" s="9"/>
      <c r="G24" s="9"/>
      <c r="H24" s="79" t="s">
        <v>56</v>
      </c>
      <c r="I24" s="9"/>
      <c r="J24" s="3"/>
      <c r="L24" s="5"/>
      <c r="M24" s="5"/>
      <c r="N24" s="104"/>
      <c r="O24" s="108"/>
    </row>
    <row r="25" spans="2:17" ht="21.75" thickBot="1" x14ac:dyDescent="0.4">
      <c r="B25" s="9"/>
      <c r="C25" s="10"/>
      <c r="D25" s="9"/>
      <c r="E25" s="9"/>
      <c r="L25" s="5"/>
      <c r="M25" s="5"/>
      <c r="N25" s="104"/>
      <c r="O25" s="108"/>
    </row>
    <row r="26" spans="2:17" ht="19.5" thickBot="1" x14ac:dyDescent="0.35">
      <c r="B26" s="239" t="s">
        <v>12</v>
      </c>
      <c r="C26" s="240"/>
      <c r="D26" s="240"/>
      <c r="E26" s="240"/>
      <c r="F26" s="241"/>
      <c r="M26" s="234" t="s">
        <v>60</v>
      </c>
      <c r="N26" s="235"/>
      <c r="O26" s="235"/>
      <c r="P26" s="235"/>
      <c r="Q26" s="235"/>
    </row>
    <row r="27" spans="2:17" ht="22.5" customHeight="1" thickBot="1" x14ac:dyDescent="0.35">
      <c r="B27" s="18"/>
      <c r="C27" s="19"/>
      <c r="D27" s="43"/>
      <c r="E27" s="19"/>
    </row>
    <row r="28" spans="2:17" ht="36" customHeight="1" thickBot="1" x14ac:dyDescent="0.35">
      <c r="B28" s="236" t="s">
        <v>16</v>
      </c>
      <c r="C28" s="237"/>
      <c r="D28" s="237"/>
      <c r="E28" s="237"/>
      <c r="F28" s="238"/>
      <c r="H28" s="80" t="s">
        <v>59</v>
      </c>
    </row>
    <row r="29" spans="2:17" ht="18" customHeight="1" x14ac:dyDescent="0.25">
      <c r="D29" s="14"/>
      <c r="E29" s="14"/>
      <c r="F29" s="14"/>
    </row>
    <row r="31" spans="2:17" ht="17.25" customHeight="1" x14ac:dyDescent="0.25">
      <c r="H31" s="14"/>
    </row>
    <row r="33" ht="17.25" customHeight="1" x14ac:dyDescent="0.25"/>
  </sheetData>
  <mergeCells count="12">
    <mergeCell ref="M26:Q26"/>
    <mergeCell ref="B28:F28"/>
    <mergeCell ref="B26:F26"/>
    <mergeCell ref="B2:J2"/>
    <mergeCell ref="B8:J8"/>
    <mergeCell ref="B4:J4"/>
    <mergeCell ref="E7:J7"/>
    <mergeCell ref="G10:I10"/>
    <mergeCell ref="C10:F10"/>
    <mergeCell ref="B23:F23"/>
    <mergeCell ref="B6:G6"/>
    <mergeCell ref="B7:D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EBB9C-ED04-4D79-A796-7355EA5B8AAD}">
  <dimension ref="A2:AB37"/>
  <sheetViews>
    <sheetView zoomScale="78" zoomScaleNormal="78" workbookViewId="0">
      <selection activeCell="P7" sqref="P7:AB31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5.5703125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6.85546875" style="212" customWidth="1"/>
    <col min="19" max="19" width="22.28515625" style="212" customWidth="1"/>
    <col min="20" max="20" width="33.140625" style="212" customWidth="1"/>
    <col min="21" max="21" width="11.85546875" customWidth="1"/>
    <col min="22" max="22" width="2.5703125" customWidth="1"/>
    <col min="23" max="23" width="15.85546875" customWidth="1"/>
    <col min="24" max="24" width="9.85546875" style="11" customWidth="1"/>
    <col min="25" max="25" width="28.7109375" style="11" customWidth="1"/>
    <col min="26" max="26" width="16.28515625" customWidth="1"/>
  </cols>
  <sheetData>
    <row r="2" spans="1:27" ht="18.75" x14ac:dyDescent="0.3">
      <c r="A2" s="14"/>
      <c r="B2" s="242" t="s">
        <v>43</v>
      </c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73"/>
      <c r="O2" s="72"/>
      <c r="P2" s="72"/>
      <c r="Q2" s="72"/>
      <c r="R2" s="211"/>
      <c r="S2" s="211"/>
      <c r="T2" s="211"/>
      <c r="U2" s="72"/>
    </row>
    <row r="3" spans="1:27" ht="11.25" customHeight="1" x14ac:dyDescent="0.3">
      <c r="B3" s="36"/>
      <c r="C3" s="1"/>
      <c r="D3" s="1"/>
      <c r="E3" s="1"/>
      <c r="F3" s="36"/>
      <c r="G3" s="36"/>
      <c r="H3" s="48"/>
      <c r="I3" s="36"/>
    </row>
    <row r="4" spans="1:27" ht="48.75" customHeight="1" x14ac:dyDescent="0.3">
      <c r="B4" s="259" t="s">
        <v>36</v>
      </c>
      <c r="C4" s="244"/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77"/>
      <c r="O4" s="77"/>
      <c r="P4" s="77"/>
      <c r="Q4" s="77"/>
      <c r="R4" s="213"/>
      <c r="S4" s="213"/>
      <c r="T4" s="221"/>
      <c r="U4" s="73"/>
    </row>
    <row r="5" spans="1:27" ht="9.75" customHeight="1" x14ac:dyDescent="0.3">
      <c r="B5" s="54"/>
      <c r="C5" s="77"/>
      <c r="D5" s="77"/>
      <c r="E5" s="77"/>
      <c r="F5" s="37"/>
      <c r="G5" s="37"/>
      <c r="H5" s="49"/>
      <c r="I5" s="37"/>
      <c r="J5" s="49"/>
      <c r="K5" s="49"/>
      <c r="L5" s="37"/>
      <c r="M5" s="37"/>
      <c r="N5" s="37"/>
      <c r="O5" s="37"/>
      <c r="P5" s="37"/>
      <c r="Q5" s="77"/>
      <c r="R5" s="213"/>
      <c r="S5" s="213"/>
      <c r="T5" s="221"/>
      <c r="U5" s="73"/>
    </row>
    <row r="6" spans="1:27" ht="17.25" x14ac:dyDescent="0.3">
      <c r="B6" s="257" t="s">
        <v>1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78"/>
      <c r="O6" s="78"/>
      <c r="P6" s="78"/>
      <c r="Q6" s="78"/>
      <c r="R6" s="214"/>
      <c r="S6" s="214"/>
    </row>
    <row r="7" spans="1:27" ht="17.25" customHeight="1" x14ac:dyDescent="0.3">
      <c r="B7" s="259" t="s">
        <v>13</v>
      </c>
      <c r="C7" s="259"/>
      <c r="D7" s="259"/>
      <c r="E7" s="259"/>
      <c r="F7" s="249" t="s">
        <v>32</v>
      </c>
      <c r="G7" s="244"/>
      <c r="H7" s="244"/>
      <c r="I7" s="244"/>
      <c r="J7" s="244"/>
      <c r="K7" s="244"/>
      <c r="L7" s="244"/>
      <c r="M7" s="244"/>
      <c r="N7" s="73"/>
      <c r="O7" s="73"/>
      <c r="P7" s="262" t="s">
        <v>55</v>
      </c>
      <c r="Q7" s="262"/>
      <c r="R7" s="262"/>
      <c r="S7" s="262"/>
      <c r="T7" s="262"/>
      <c r="U7" s="262"/>
      <c r="V7" s="73"/>
    </row>
    <row r="8" spans="1:27" s="5" customFormat="1" ht="20.25" customHeight="1" x14ac:dyDescent="0.25">
      <c r="B8" s="270" t="s">
        <v>48</v>
      </c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44"/>
      <c r="O8" s="44"/>
      <c r="P8" s="44"/>
      <c r="Q8" s="44"/>
      <c r="R8" s="215"/>
      <c r="S8" s="215"/>
      <c r="T8" s="215"/>
      <c r="U8" s="75"/>
      <c r="V8" s="73"/>
      <c r="W8" s="26"/>
      <c r="X8" s="11"/>
      <c r="Y8" s="11"/>
      <c r="Z8"/>
      <c r="AA8"/>
    </row>
    <row r="9" spans="1:27" ht="19.5" customHeight="1" x14ac:dyDescent="0.3">
      <c r="B9" s="55"/>
      <c r="C9" s="272" t="s">
        <v>24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62"/>
      <c r="O9" s="41"/>
      <c r="P9" s="41"/>
      <c r="Q9" s="274" t="s">
        <v>18</v>
      </c>
      <c r="R9" s="274"/>
      <c r="S9" s="275"/>
      <c r="T9" s="222" t="s">
        <v>39</v>
      </c>
      <c r="X9"/>
    </row>
    <row r="10" spans="1:27" ht="51.7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38" t="s">
        <v>25</v>
      </c>
      <c r="G10" s="38" t="s">
        <v>26</v>
      </c>
      <c r="H10" s="50" t="s">
        <v>27</v>
      </c>
      <c r="I10" s="38" t="s">
        <v>29</v>
      </c>
      <c r="J10" s="50" t="s">
        <v>28</v>
      </c>
      <c r="K10" s="50" t="s">
        <v>41</v>
      </c>
      <c r="L10" s="38" t="s">
        <v>30</v>
      </c>
      <c r="M10" s="38" t="s">
        <v>31</v>
      </c>
      <c r="N10" s="41"/>
      <c r="O10" s="41"/>
      <c r="P10" s="41"/>
      <c r="Q10" s="33" t="s">
        <v>42</v>
      </c>
      <c r="R10" s="216" t="s">
        <v>37</v>
      </c>
      <c r="S10" s="216" t="s">
        <v>38</v>
      </c>
      <c r="T10" s="216" t="s">
        <v>40</v>
      </c>
      <c r="X10" s="226" t="s">
        <v>95</v>
      </c>
      <c r="Y10" s="226" t="s">
        <v>169</v>
      </c>
    </row>
    <row r="11" spans="1:27" ht="15" customHeight="1" x14ac:dyDescent="0.3">
      <c r="B11" s="39">
        <v>1</v>
      </c>
      <c r="C11" s="16">
        <v>0</v>
      </c>
      <c r="D11" s="16">
        <v>1</v>
      </c>
      <c r="E11" s="16">
        <v>4</v>
      </c>
      <c r="F11" s="39">
        <v>-30</v>
      </c>
      <c r="G11" s="39">
        <f>D11-13</f>
        <v>-12</v>
      </c>
      <c r="H11" s="35">
        <f>E11-22.25</f>
        <v>-18.25</v>
      </c>
      <c r="I11" s="39">
        <f>F11*G11</f>
        <v>360</v>
      </c>
      <c r="J11" s="35">
        <f>F11*H11</f>
        <v>547.5</v>
      </c>
      <c r="K11" s="35">
        <f>G11*H11</f>
        <v>219</v>
      </c>
      <c r="L11" s="39">
        <f>F11*F11</f>
        <v>900</v>
      </c>
      <c r="M11" s="39">
        <f>G11*G11</f>
        <v>144</v>
      </c>
      <c r="N11" s="41"/>
      <c r="O11" s="41"/>
      <c r="P11" s="41"/>
      <c r="Q11" s="16">
        <f>5.522+0.4471*C11+0.255*D11</f>
        <v>5.7770000000000001</v>
      </c>
      <c r="R11" s="217">
        <f>(E11-Q11)*(E11-Q11)</f>
        <v>3.1577290000000007</v>
      </c>
      <c r="S11" s="217">
        <f>(E11-22.25)*(E11-22.25)</f>
        <v>333.0625</v>
      </c>
      <c r="T11" s="217">
        <f>(Q11-22.25)*(Q11-22.25)</f>
        <v>271.35972899999996</v>
      </c>
      <c r="X11" s="227">
        <f>C11*D11</f>
        <v>0</v>
      </c>
      <c r="Y11" s="227">
        <f>F11*G11</f>
        <v>360</v>
      </c>
    </row>
    <row r="12" spans="1:27" ht="18.75" x14ac:dyDescent="0.3">
      <c r="B12" s="39">
        <v>2</v>
      </c>
      <c r="C12" s="16">
        <v>5</v>
      </c>
      <c r="D12" s="16">
        <v>1</v>
      </c>
      <c r="E12" s="16">
        <v>5</v>
      </c>
      <c r="F12" s="39">
        <f t="shared" ref="F12:F18" si="0">C12-30</f>
        <v>-25</v>
      </c>
      <c r="G12" s="39">
        <f t="shared" ref="G12:G18" si="1">D12-13</f>
        <v>-12</v>
      </c>
      <c r="H12" s="35">
        <f t="shared" ref="H12:H18" si="2">E12-22.25</f>
        <v>-17.25</v>
      </c>
      <c r="I12" s="39">
        <f t="shared" ref="I12:I18" si="3">F12*G12</f>
        <v>300</v>
      </c>
      <c r="J12" s="35">
        <f t="shared" ref="J12:J18" si="4">F12*H12</f>
        <v>431.25</v>
      </c>
      <c r="K12" s="35">
        <f t="shared" ref="K12:K18" si="5">G12*H12</f>
        <v>207</v>
      </c>
      <c r="L12" s="39">
        <f t="shared" ref="L12:M18" si="6">F12*F12</f>
        <v>625</v>
      </c>
      <c r="M12" s="39">
        <f t="shared" si="6"/>
        <v>144</v>
      </c>
      <c r="N12" s="41"/>
      <c r="O12" s="41"/>
      <c r="P12" s="41"/>
      <c r="Q12" s="16">
        <f t="shared" ref="Q12:Q18" si="7">5.522+0.4471*C12+0.255*D12</f>
        <v>8.0125000000000011</v>
      </c>
      <c r="R12" s="217">
        <f t="shared" ref="R12:R18" si="8">(E12-Q12)*(E12-Q12)</f>
        <v>9.0751562500000063</v>
      </c>
      <c r="S12" s="217">
        <f t="shared" ref="S12:S18" si="9">(E12-22.25)*(E12-22.25)</f>
        <v>297.5625</v>
      </c>
      <c r="T12" s="217">
        <f t="shared" ref="T12:T18" si="10">(Q12-22.25)*(Q12-22.25)</f>
        <v>202.70640624999996</v>
      </c>
      <c r="X12" s="225">
        <f t="shared" ref="X12:X18" si="11">C12*D12</f>
        <v>5</v>
      </c>
      <c r="Y12" s="227">
        <f t="shared" ref="Y12:Y18" si="12">F12*G12</f>
        <v>300</v>
      </c>
    </row>
    <row r="13" spans="1:27" ht="15" customHeight="1" x14ac:dyDescent="0.3">
      <c r="B13" s="39">
        <v>3</v>
      </c>
      <c r="C13" s="16">
        <v>15</v>
      </c>
      <c r="D13" s="16">
        <v>2</v>
      </c>
      <c r="E13" s="16">
        <v>20</v>
      </c>
      <c r="F13" s="39">
        <f t="shared" si="0"/>
        <v>-15</v>
      </c>
      <c r="G13" s="39">
        <f t="shared" si="1"/>
        <v>-11</v>
      </c>
      <c r="H13" s="35">
        <f t="shared" si="2"/>
        <v>-2.25</v>
      </c>
      <c r="I13" s="39">
        <f t="shared" si="3"/>
        <v>165</v>
      </c>
      <c r="J13" s="35">
        <f t="shared" si="4"/>
        <v>33.75</v>
      </c>
      <c r="K13" s="35">
        <f t="shared" si="5"/>
        <v>24.75</v>
      </c>
      <c r="L13" s="39">
        <f t="shared" si="6"/>
        <v>225</v>
      </c>
      <c r="M13" s="39">
        <f t="shared" si="6"/>
        <v>121</v>
      </c>
      <c r="N13" s="41"/>
      <c r="O13" s="41"/>
      <c r="P13" s="41"/>
      <c r="Q13" s="16">
        <f t="shared" si="7"/>
        <v>12.7385</v>
      </c>
      <c r="R13" s="217">
        <f t="shared" si="8"/>
        <v>52.72938225</v>
      </c>
      <c r="S13" s="217">
        <f t="shared" si="9"/>
        <v>5.0625</v>
      </c>
      <c r="T13" s="217">
        <f t="shared" si="10"/>
        <v>90.468632249999999</v>
      </c>
      <c r="X13" s="225">
        <f t="shared" si="11"/>
        <v>30</v>
      </c>
      <c r="Y13" s="227">
        <f t="shared" si="12"/>
        <v>165</v>
      </c>
    </row>
    <row r="14" spans="1:27" ht="15" customHeight="1" x14ac:dyDescent="0.3">
      <c r="B14" s="39">
        <v>4</v>
      </c>
      <c r="C14" s="16">
        <v>25</v>
      </c>
      <c r="D14" s="16">
        <v>5</v>
      </c>
      <c r="E14" s="16">
        <v>14</v>
      </c>
      <c r="F14" s="39">
        <f t="shared" si="0"/>
        <v>-5</v>
      </c>
      <c r="G14" s="39">
        <f t="shared" si="1"/>
        <v>-8</v>
      </c>
      <c r="H14" s="35">
        <f t="shared" si="2"/>
        <v>-8.25</v>
      </c>
      <c r="I14" s="39">
        <f t="shared" si="3"/>
        <v>40</v>
      </c>
      <c r="J14" s="35">
        <f t="shared" si="4"/>
        <v>41.25</v>
      </c>
      <c r="K14" s="35">
        <f t="shared" si="5"/>
        <v>66</v>
      </c>
      <c r="L14" s="39">
        <f t="shared" si="6"/>
        <v>25</v>
      </c>
      <c r="M14" s="39">
        <f t="shared" si="6"/>
        <v>64</v>
      </c>
      <c r="N14" s="41"/>
      <c r="O14" s="41"/>
      <c r="P14" s="41"/>
      <c r="Q14" s="16">
        <f t="shared" si="7"/>
        <v>17.974499999999999</v>
      </c>
      <c r="R14" s="217">
        <f t="shared" si="8"/>
        <v>15.796650249999992</v>
      </c>
      <c r="S14" s="217">
        <f t="shared" si="9"/>
        <v>68.0625</v>
      </c>
      <c r="T14" s="217">
        <f t="shared" si="10"/>
        <v>18.279900250000008</v>
      </c>
      <c r="X14" s="225">
        <f t="shared" si="11"/>
        <v>125</v>
      </c>
      <c r="Y14" s="227">
        <f t="shared" si="12"/>
        <v>40</v>
      </c>
    </row>
    <row r="15" spans="1:27" ht="18.75" customHeight="1" x14ac:dyDescent="0.3">
      <c r="B15" s="39">
        <v>5</v>
      </c>
      <c r="C15" s="16">
        <v>35</v>
      </c>
      <c r="D15" s="16">
        <v>11</v>
      </c>
      <c r="E15" s="16">
        <v>32</v>
      </c>
      <c r="F15" s="39">
        <f t="shared" si="0"/>
        <v>5</v>
      </c>
      <c r="G15" s="39">
        <f t="shared" si="1"/>
        <v>-2</v>
      </c>
      <c r="H15" s="35">
        <f t="shared" si="2"/>
        <v>9.75</v>
      </c>
      <c r="I15" s="39">
        <f t="shared" si="3"/>
        <v>-10</v>
      </c>
      <c r="J15" s="35">
        <f t="shared" si="4"/>
        <v>48.75</v>
      </c>
      <c r="K15" s="35">
        <f t="shared" si="5"/>
        <v>-19.5</v>
      </c>
      <c r="L15" s="39">
        <f t="shared" si="6"/>
        <v>25</v>
      </c>
      <c r="M15" s="39">
        <f t="shared" si="6"/>
        <v>4</v>
      </c>
      <c r="N15" s="41"/>
      <c r="O15" s="41"/>
      <c r="P15" s="41"/>
      <c r="Q15" s="16">
        <f t="shared" si="7"/>
        <v>23.9755</v>
      </c>
      <c r="R15" s="217">
        <f t="shared" si="8"/>
        <v>64.392600250000001</v>
      </c>
      <c r="S15" s="217">
        <f t="shared" si="9"/>
        <v>95.0625</v>
      </c>
      <c r="T15" s="217">
        <f t="shared" si="10"/>
        <v>2.9773502500000011</v>
      </c>
      <c r="X15" s="225">
        <f t="shared" si="11"/>
        <v>385</v>
      </c>
      <c r="Y15" s="227">
        <f t="shared" si="12"/>
        <v>-10</v>
      </c>
    </row>
    <row r="16" spans="1:27" ht="18.75" customHeight="1" x14ac:dyDescent="0.3">
      <c r="B16" s="39">
        <v>6</v>
      </c>
      <c r="C16" s="16">
        <v>45</v>
      </c>
      <c r="D16" s="16">
        <v>15</v>
      </c>
      <c r="E16" s="16">
        <v>22</v>
      </c>
      <c r="F16" s="39">
        <f t="shared" si="0"/>
        <v>15</v>
      </c>
      <c r="G16" s="39">
        <f t="shared" si="1"/>
        <v>2</v>
      </c>
      <c r="H16" s="35">
        <f t="shared" si="2"/>
        <v>-0.25</v>
      </c>
      <c r="I16" s="39">
        <f t="shared" si="3"/>
        <v>30</v>
      </c>
      <c r="J16" s="35">
        <f t="shared" si="4"/>
        <v>-3.75</v>
      </c>
      <c r="K16" s="35">
        <f t="shared" si="5"/>
        <v>-0.5</v>
      </c>
      <c r="L16" s="39">
        <f t="shared" si="6"/>
        <v>225</v>
      </c>
      <c r="M16" s="39">
        <f t="shared" si="6"/>
        <v>4</v>
      </c>
      <c r="N16" s="41"/>
      <c r="O16" s="41"/>
      <c r="P16" s="41"/>
      <c r="Q16" s="16">
        <f t="shared" si="7"/>
        <v>29.4665</v>
      </c>
      <c r="R16" s="217">
        <f t="shared" si="8"/>
        <v>55.748622249999997</v>
      </c>
      <c r="S16" s="217">
        <f t="shared" si="9"/>
        <v>6.25E-2</v>
      </c>
      <c r="T16" s="217">
        <f t="shared" si="10"/>
        <v>52.077872249999999</v>
      </c>
      <c r="X16" s="225">
        <f t="shared" si="11"/>
        <v>675</v>
      </c>
      <c r="Y16" s="227">
        <f t="shared" si="12"/>
        <v>30</v>
      </c>
    </row>
    <row r="17" spans="2:28" ht="15" customHeight="1" x14ac:dyDescent="0.3">
      <c r="B17" s="39">
        <v>7</v>
      </c>
      <c r="C17" s="16">
        <v>55</v>
      </c>
      <c r="D17" s="16">
        <v>34</v>
      </c>
      <c r="E17" s="16">
        <v>38</v>
      </c>
      <c r="F17" s="39">
        <f t="shared" si="0"/>
        <v>25</v>
      </c>
      <c r="G17" s="39">
        <f t="shared" si="1"/>
        <v>21</v>
      </c>
      <c r="H17" s="35">
        <f t="shared" si="2"/>
        <v>15.75</v>
      </c>
      <c r="I17" s="39">
        <f t="shared" si="3"/>
        <v>525</v>
      </c>
      <c r="J17" s="35">
        <f t="shared" si="4"/>
        <v>393.75</v>
      </c>
      <c r="K17" s="35">
        <f t="shared" si="5"/>
        <v>330.75</v>
      </c>
      <c r="L17" s="39">
        <f t="shared" si="6"/>
        <v>625</v>
      </c>
      <c r="M17" s="39">
        <f t="shared" si="6"/>
        <v>441</v>
      </c>
      <c r="N17" s="41"/>
      <c r="O17" s="41"/>
      <c r="P17" s="41"/>
      <c r="Q17" s="16">
        <f t="shared" si="7"/>
        <v>38.782499999999999</v>
      </c>
      <c r="R17" s="217">
        <f t="shared" si="8"/>
        <v>0.61230624999999828</v>
      </c>
      <c r="S17" s="217">
        <f t="shared" si="9"/>
        <v>248.0625</v>
      </c>
      <c r="T17" s="217">
        <f t="shared" si="10"/>
        <v>273.32355624999997</v>
      </c>
      <c r="X17" s="225">
        <f t="shared" si="11"/>
        <v>1870</v>
      </c>
      <c r="Y17" s="227">
        <f t="shared" si="12"/>
        <v>525</v>
      </c>
    </row>
    <row r="18" spans="2:28" ht="18.75" x14ac:dyDescent="0.3">
      <c r="B18" s="39">
        <v>8</v>
      </c>
      <c r="C18" s="16">
        <v>60</v>
      </c>
      <c r="D18" s="16">
        <v>35</v>
      </c>
      <c r="E18" s="16">
        <v>43</v>
      </c>
      <c r="F18" s="39">
        <f t="shared" si="0"/>
        <v>30</v>
      </c>
      <c r="G18" s="39">
        <f t="shared" si="1"/>
        <v>22</v>
      </c>
      <c r="H18" s="35">
        <f t="shared" si="2"/>
        <v>20.75</v>
      </c>
      <c r="I18" s="39">
        <f t="shared" si="3"/>
        <v>660</v>
      </c>
      <c r="J18" s="35">
        <f t="shared" si="4"/>
        <v>622.5</v>
      </c>
      <c r="K18" s="35">
        <f t="shared" si="5"/>
        <v>456.5</v>
      </c>
      <c r="L18" s="39">
        <f t="shared" si="6"/>
        <v>900</v>
      </c>
      <c r="M18" s="39">
        <f t="shared" si="6"/>
        <v>484</v>
      </c>
      <c r="N18" s="41"/>
      <c r="O18" s="41"/>
      <c r="P18" s="41"/>
      <c r="Q18" s="16">
        <f t="shared" si="7"/>
        <v>41.272999999999996</v>
      </c>
      <c r="R18" s="217">
        <f t="shared" si="8"/>
        <v>2.9825290000000133</v>
      </c>
      <c r="S18" s="217">
        <f t="shared" si="9"/>
        <v>430.5625</v>
      </c>
      <c r="T18" s="217">
        <f t="shared" si="10"/>
        <v>361.87452899999982</v>
      </c>
      <c r="X18" s="225">
        <f t="shared" si="11"/>
        <v>2100</v>
      </c>
      <c r="Y18" s="227">
        <f t="shared" si="12"/>
        <v>660</v>
      </c>
    </row>
    <row r="19" spans="2:28" ht="25.5" customHeight="1" x14ac:dyDescent="0.3">
      <c r="B19" s="58" t="s">
        <v>14</v>
      </c>
      <c r="C19" s="45">
        <f>SUM(C11:C18)</f>
        <v>240</v>
      </c>
      <c r="D19" s="45">
        <f>SUM(D11:D18)</f>
        <v>104</v>
      </c>
      <c r="E19" s="45">
        <f t="shared" ref="E19:M19" si="13">SUM(E11:E18)</f>
        <v>178</v>
      </c>
      <c r="F19" s="46">
        <f t="shared" si="13"/>
        <v>0</v>
      </c>
      <c r="G19" s="46">
        <f t="shared" si="13"/>
        <v>0</v>
      </c>
      <c r="H19" s="51">
        <f t="shared" si="13"/>
        <v>0</v>
      </c>
      <c r="I19" s="46">
        <f t="shared" si="13"/>
        <v>2070</v>
      </c>
      <c r="J19" s="51">
        <f t="shared" si="13"/>
        <v>2115</v>
      </c>
      <c r="K19" s="51">
        <f t="shared" si="13"/>
        <v>1284</v>
      </c>
      <c r="L19" s="46">
        <f t="shared" si="13"/>
        <v>3550</v>
      </c>
      <c r="M19" s="46">
        <f t="shared" si="13"/>
        <v>1406</v>
      </c>
      <c r="N19" s="41"/>
      <c r="O19" s="41"/>
      <c r="P19" s="41"/>
      <c r="Q19" s="45"/>
      <c r="R19" s="218">
        <f>SUM(R11:R18)</f>
        <v>204.49497549999998</v>
      </c>
      <c r="S19" s="218">
        <f>SUM(S11:S18)</f>
        <v>1477.5</v>
      </c>
      <c r="T19" s="218">
        <f>SUM(T11:T18)</f>
        <v>1273.0679754999996</v>
      </c>
      <c r="X19" s="45">
        <f>SUM(X11:X18)</f>
        <v>5190</v>
      </c>
      <c r="Y19" s="45">
        <f>SUM(Y11:Y18)</f>
        <v>2070</v>
      </c>
    </row>
    <row r="20" spans="2:28" ht="20.25" customHeight="1" x14ac:dyDescent="0.3">
      <c r="C20" s="12"/>
      <c r="D20" s="14"/>
      <c r="N20" s="41"/>
      <c r="O20" s="41"/>
      <c r="P20" s="41"/>
      <c r="S20" s="223" t="s">
        <v>162</v>
      </c>
      <c r="T20" s="224">
        <f>R19+T19</f>
        <v>1477.5629509999997</v>
      </c>
    </row>
    <row r="21" spans="2:28" ht="19.5" thickBot="1" x14ac:dyDescent="0.35">
      <c r="B21" s="67" t="s">
        <v>44</v>
      </c>
      <c r="C21" s="9"/>
      <c r="D21" s="9"/>
      <c r="E21" s="9"/>
      <c r="F21" s="41"/>
      <c r="G21" s="41"/>
      <c r="H21" s="52"/>
      <c r="I21" s="41"/>
      <c r="J21" s="52"/>
      <c r="K21" s="52"/>
      <c r="L21" s="41"/>
      <c r="M21" s="41"/>
      <c r="N21" s="41"/>
      <c r="O21" s="41"/>
      <c r="P21" s="41"/>
      <c r="Q21" s="9"/>
      <c r="R21" s="219"/>
      <c r="S21" s="219"/>
      <c r="T21" s="219"/>
      <c r="U21" s="13"/>
    </row>
    <row r="22" spans="2:28" ht="21" customHeight="1" thickBot="1" x14ac:dyDescent="0.35">
      <c r="B22" s="63" t="s">
        <v>51</v>
      </c>
      <c r="C22" s="59"/>
      <c r="D22" s="59"/>
      <c r="E22" s="59"/>
      <c r="F22" s="64"/>
      <c r="G22" s="64"/>
      <c r="H22" s="65"/>
      <c r="I22" s="66"/>
      <c r="J22" s="60" t="s">
        <v>49</v>
      </c>
      <c r="K22" s="61"/>
      <c r="L22" s="61"/>
      <c r="M22" s="61"/>
      <c r="N22" s="41"/>
      <c r="O22" s="41"/>
      <c r="P22" s="276" t="s">
        <v>160</v>
      </c>
      <c r="Q22" s="240"/>
      <c r="R22" s="240"/>
      <c r="S22" s="240"/>
      <c r="T22" s="240"/>
      <c r="U22" s="241"/>
      <c r="V22" s="14"/>
    </row>
    <row r="23" spans="2:28" ht="18" thickBot="1" x14ac:dyDescent="0.35">
      <c r="B23" s="63" t="s">
        <v>50</v>
      </c>
      <c r="C23" s="59"/>
      <c r="D23" s="59"/>
      <c r="E23" s="59"/>
      <c r="F23" s="64"/>
      <c r="G23" s="64"/>
      <c r="H23" s="65"/>
      <c r="I23" s="66"/>
      <c r="J23" s="68" t="s">
        <v>46</v>
      </c>
      <c r="K23" s="61"/>
      <c r="L23" s="61"/>
      <c r="M23" s="61"/>
      <c r="N23" s="41"/>
      <c r="O23" s="41"/>
      <c r="P23" s="41"/>
      <c r="Q23" s="9"/>
      <c r="R23" s="219"/>
      <c r="S23" s="219"/>
      <c r="T23" s="219"/>
      <c r="U23" s="3"/>
      <c r="V23" s="3"/>
    </row>
    <row r="24" spans="2:28" ht="18" thickBot="1" x14ac:dyDescent="0.35">
      <c r="B24" s="63" t="s">
        <v>52</v>
      </c>
      <c r="C24" s="3"/>
      <c r="D24" s="3"/>
      <c r="E24" s="3"/>
      <c r="F24" s="69"/>
      <c r="G24" s="69"/>
      <c r="H24" s="70"/>
      <c r="I24" s="71"/>
      <c r="J24" s="68" t="s">
        <v>47</v>
      </c>
      <c r="K24" s="61"/>
      <c r="L24" s="61"/>
      <c r="M24" s="61"/>
      <c r="N24" s="41"/>
      <c r="O24" s="41"/>
      <c r="P24" s="277" t="s">
        <v>161</v>
      </c>
      <c r="Q24" s="278"/>
      <c r="R24" s="279"/>
      <c r="S24" s="240"/>
      <c r="T24" s="240"/>
      <c r="U24" s="241"/>
      <c r="V24" s="3"/>
    </row>
    <row r="25" spans="2:28" ht="17.25" x14ac:dyDescent="0.3">
      <c r="B25" s="63" t="s">
        <v>53</v>
      </c>
      <c r="C25" s="59"/>
      <c r="D25" s="59"/>
      <c r="E25" s="59"/>
      <c r="F25" s="64"/>
      <c r="G25" s="64"/>
      <c r="H25" s="65"/>
      <c r="I25" s="65"/>
      <c r="J25" s="52"/>
      <c r="K25" s="52"/>
      <c r="L25" s="52"/>
      <c r="M25" s="52"/>
      <c r="N25" s="52"/>
      <c r="O25" s="41"/>
      <c r="P25" s="41"/>
      <c r="Q25" s="9"/>
      <c r="R25" s="219"/>
      <c r="S25" s="219"/>
      <c r="T25" s="219"/>
      <c r="U25" s="3"/>
      <c r="V25" s="3"/>
    </row>
    <row r="26" spans="2:28" ht="18" thickBot="1" x14ac:dyDescent="0.35">
      <c r="B26" s="41"/>
      <c r="C26" s="10"/>
      <c r="D26" s="10"/>
      <c r="E26" s="9"/>
      <c r="F26" s="41"/>
      <c r="G26" s="41"/>
      <c r="H26" s="52"/>
      <c r="I26" s="52"/>
      <c r="J26" s="52"/>
      <c r="K26" s="52"/>
      <c r="L26" s="52"/>
      <c r="M26" s="52"/>
      <c r="N26" s="52"/>
      <c r="O26" s="41"/>
      <c r="P26" s="14"/>
      <c r="Q26" s="14"/>
      <c r="R26" s="220"/>
      <c r="S26" s="220"/>
      <c r="T26" s="220"/>
      <c r="U26" s="14"/>
      <c r="V26" s="14"/>
    </row>
    <row r="27" spans="2:28" ht="18" customHeight="1" thickBot="1" x14ac:dyDescent="0.35">
      <c r="B27" s="276" t="s">
        <v>54</v>
      </c>
      <c r="C27" s="240"/>
      <c r="D27" s="240"/>
      <c r="E27" s="240"/>
      <c r="F27" s="240"/>
      <c r="G27" s="240"/>
      <c r="H27" s="240"/>
      <c r="I27" s="241"/>
      <c r="J27" s="9"/>
      <c r="K27" s="9"/>
      <c r="L27" s="9"/>
      <c r="M27" s="9"/>
      <c r="N27" s="41"/>
      <c r="O27" s="41"/>
      <c r="P27" s="14"/>
      <c r="Q27" s="14"/>
      <c r="R27" s="220"/>
      <c r="S27" s="220"/>
      <c r="T27" s="220"/>
      <c r="U27" s="14"/>
      <c r="V27" s="14"/>
    </row>
    <row r="28" spans="2:28" ht="9" customHeight="1" x14ac:dyDescent="0.3">
      <c r="B28" s="57"/>
      <c r="C28" s="19"/>
      <c r="D28" s="19"/>
      <c r="E28" s="19"/>
      <c r="F28" s="42"/>
      <c r="G28" s="42"/>
      <c r="H28" s="53"/>
      <c r="I28" s="42"/>
      <c r="J28" s="9"/>
      <c r="K28" s="9"/>
      <c r="L28" s="9"/>
      <c r="M28" s="9"/>
      <c r="N28" s="41"/>
      <c r="O28" s="41"/>
      <c r="P28" s="14"/>
      <c r="Q28" s="14"/>
      <c r="R28" s="220"/>
      <c r="S28" s="220"/>
      <c r="T28" s="220"/>
      <c r="U28" s="14"/>
      <c r="V28" s="14"/>
    </row>
    <row r="29" spans="2:28" ht="21" customHeight="1" thickBot="1" x14ac:dyDescent="0.35">
      <c r="B29" s="263" t="s">
        <v>168</v>
      </c>
      <c r="C29" s="264"/>
      <c r="D29" s="264"/>
      <c r="E29" s="264"/>
      <c r="F29" s="264"/>
      <c r="G29" s="264"/>
      <c r="H29" s="264"/>
      <c r="I29" s="264"/>
      <c r="J29" s="280" t="s">
        <v>45</v>
      </c>
      <c r="K29" s="244"/>
      <c r="L29" s="244"/>
      <c r="M29" s="244"/>
      <c r="N29" s="41"/>
      <c r="O29" s="41"/>
      <c r="P29" s="14"/>
      <c r="Q29" s="261" t="s">
        <v>98</v>
      </c>
      <c r="R29" s="261"/>
      <c r="S29" s="220"/>
      <c r="T29" s="220"/>
      <c r="U29" s="14"/>
      <c r="V29" s="14"/>
      <c r="X29" s="261" t="s">
        <v>166</v>
      </c>
      <c r="Y29" s="261"/>
    </row>
    <row r="30" spans="2:28" ht="21" customHeight="1" thickBot="1" x14ac:dyDescent="0.35">
      <c r="B30" s="265" t="s">
        <v>164</v>
      </c>
      <c r="C30" s="266"/>
      <c r="D30" s="267"/>
      <c r="E30" s="268"/>
      <c r="F30" s="268"/>
      <c r="G30" s="268"/>
      <c r="H30" s="268"/>
      <c r="I30" s="269"/>
      <c r="J30" s="40"/>
      <c r="K30" s="40"/>
      <c r="N30" s="41"/>
      <c r="O30" s="41"/>
      <c r="P30" s="14"/>
      <c r="Q30" s="234" t="s">
        <v>163</v>
      </c>
      <c r="R30" s="235"/>
      <c r="S30" s="235"/>
      <c r="T30" s="235"/>
      <c r="U30" s="235"/>
      <c r="V30" s="14"/>
      <c r="W30" s="100"/>
      <c r="X30" s="260" t="s">
        <v>165</v>
      </c>
      <c r="Y30" s="244"/>
      <c r="Z30" s="244"/>
      <c r="AA30" s="244"/>
      <c r="AB30" s="244"/>
    </row>
    <row r="31" spans="2:28" ht="17.25" x14ac:dyDescent="0.3">
      <c r="J31" s="40"/>
      <c r="K31" s="40"/>
      <c r="N31" s="41"/>
      <c r="O31" s="41"/>
      <c r="P31" s="14"/>
      <c r="Q31" s="14"/>
      <c r="R31" s="220"/>
      <c r="S31" s="220"/>
      <c r="T31" s="220"/>
      <c r="U31" s="14"/>
      <c r="V31" s="14"/>
      <c r="X31" s="235" t="s">
        <v>167</v>
      </c>
      <c r="Y31" s="235"/>
      <c r="Z31" s="101" t="s">
        <v>97</v>
      </c>
    </row>
    <row r="32" spans="2:28" x14ac:dyDescent="0.25">
      <c r="C32" s="14"/>
      <c r="D32" s="14"/>
      <c r="J32" s="40"/>
      <c r="K32" s="40"/>
      <c r="P32" s="14"/>
      <c r="Q32" s="14"/>
      <c r="R32" s="220"/>
      <c r="S32" s="220"/>
      <c r="T32" s="220"/>
      <c r="U32" s="14"/>
      <c r="V32" s="14"/>
    </row>
    <row r="33" spans="7:23" x14ac:dyDescent="0.25">
      <c r="Q33" s="14"/>
      <c r="R33" s="220"/>
      <c r="S33" s="220"/>
    </row>
    <row r="34" spans="7:23" x14ac:dyDescent="0.25">
      <c r="G34" s="47"/>
      <c r="R34" s="220"/>
      <c r="S34" s="220"/>
    </row>
    <row r="35" spans="7:23" x14ac:dyDescent="0.25">
      <c r="G35" s="47"/>
    </row>
    <row r="37" spans="7:23" x14ac:dyDescent="0.25">
      <c r="W37" s="14"/>
    </row>
  </sheetData>
  <mergeCells count="20">
    <mergeCell ref="B29:I29"/>
    <mergeCell ref="B30:I30"/>
    <mergeCell ref="Q30:U30"/>
    <mergeCell ref="B8:M8"/>
    <mergeCell ref="C9:M9"/>
    <mergeCell ref="Q9:S9"/>
    <mergeCell ref="P22:U22"/>
    <mergeCell ref="P24:U24"/>
    <mergeCell ref="B27:I27"/>
    <mergeCell ref="J29:M29"/>
    <mergeCell ref="B2:M2"/>
    <mergeCell ref="B4:M4"/>
    <mergeCell ref="B6:M6"/>
    <mergeCell ref="B7:E7"/>
    <mergeCell ref="F7:M7"/>
    <mergeCell ref="X30:AB30"/>
    <mergeCell ref="X29:Y29"/>
    <mergeCell ref="X31:Y31"/>
    <mergeCell ref="Q29:R29"/>
    <mergeCell ref="P7:U7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7EF2-8CEA-4381-B794-B376FD82D93B}">
  <dimension ref="A2:U53"/>
  <sheetViews>
    <sheetView topLeftCell="B1" zoomScale="86" zoomScaleNormal="86" workbookViewId="0">
      <selection activeCell="J24" sqref="J2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1.140625" customWidth="1"/>
    <col min="4" max="4" width="10" customWidth="1"/>
    <col min="5" max="5" width="12.5703125" customWidth="1"/>
    <col min="6" max="6" width="11.85546875" customWidth="1"/>
    <col min="7" max="7" width="15.5703125" customWidth="1"/>
    <col min="8" max="8" width="23" customWidth="1"/>
    <col min="9" max="9" width="24.7109375" style="47" customWidth="1"/>
    <col min="10" max="10" width="32.28515625" customWidth="1"/>
    <col min="11" max="12" width="3.7109375" customWidth="1"/>
    <col min="13" max="13" width="10.7109375" style="11" customWidth="1"/>
    <col min="14" max="14" width="12.42578125" style="11" customWidth="1"/>
    <col min="15" max="15" width="12.5703125" customWidth="1"/>
    <col min="16" max="16" width="13" customWidth="1"/>
    <col min="17" max="17" width="15.5703125" customWidth="1"/>
    <col min="18" max="18" width="11.5703125" customWidth="1"/>
    <col min="19" max="19" width="25.85546875" customWidth="1"/>
    <col min="20" max="20" width="23.7109375" style="47" customWidth="1"/>
    <col min="21" max="21" width="24.85546875" customWidth="1"/>
  </cols>
  <sheetData>
    <row r="2" spans="1:21" ht="31.5" customHeight="1" x14ac:dyDescent="0.3">
      <c r="A2" s="14"/>
      <c r="B2" s="242" t="s">
        <v>61</v>
      </c>
      <c r="C2" s="242"/>
      <c r="D2" s="242"/>
      <c r="E2" s="242"/>
      <c r="F2" s="243"/>
      <c r="G2" s="243"/>
      <c r="H2" s="243"/>
      <c r="I2" s="243"/>
      <c r="J2" s="244"/>
    </row>
    <row r="3" spans="1:21" ht="11.25" customHeight="1" x14ac:dyDescent="0.3">
      <c r="B3" s="1"/>
      <c r="C3" s="1"/>
      <c r="D3" s="1"/>
      <c r="E3" s="1"/>
    </row>
    <row r="4" spans="1:21" ht="18.75" customHeight="1" x14ac:dyDescent="0.3">
      <c r="B4" s="247" t="s">
        <v>69</v>
      </c>
      <c r="C4" s="248"/>
      <c r="D4" s="248"/>
      <c r="E4" s="248"/>
      <c r="F4" s="248"/>
      <c r="G4" s="248"/>
      <c r="H4" s="248"/>
      <c r="I4" s="244"/>
      <c r="J4" s="244"/>
      <c r="M4" s="247" t="s">
        <v>68</v>
      </c>
      <c r="N4" s="248"/>
      <c r="O4" s="248"/>
      <c r="P4" s="248"/>
      <c r="Q4" s="248"/>
      <c r="R4" s="248"/>
      <c r="S4" s="248"/>
      <c r="T4" s="244"/>
      <c r="U4" s="244"/>
    </row>
    <row r="5" spans="1:21" ht="9.75" customHeight="1" x14ac:dyDescent="0.3">
      <c r="B5" s="76"/>
      <c r="C5" s="77"/>
      <c r="D5" s="77"/>
      <c r="E5" s="77"/>
      <c r="F5" s="77"/>
      <c r="G5" s="77"/>
      <c r="H5" s="77"/>
      <c r="I5" s="136"/>
    </row>
    <row r="6" spans="1:21" ht="17.25" x14ac:dyDescent="0.3">
      <c r="B6" s="257" t="s">
        <v>1</v>
      </c>
      <c r="C6" s="258"/>
      <c r="D6" s="258"/>
      <c r="E6" s="258"/>
      <c r="F6" s="258"/>
      <c r="G6" s="258"/>
      <c r="H6" s="78"/>
      <c r="M6" s="257" t="s">
        <v>1</v>
      </c>
      <c r="N6" s="258"/>
      <c r="O6" s="258"/>
      <c r="P6" s="258"/>
      <c r="Q6" s="258"/>
      <c r="R6" s="258"/>
      <c r="S6" s="78"/>
    </row>
    <row r="7" spans="1:21" ht="17.25" customHeight="1" x14ac:dyDescent="0.3">
      <c r="B7" s="259" t="s">
        <v>65</v>
      </c>
      <c r="C7" s="259"/>
      <c r="D7" s="259"/>
      <c r="E7" s="249" t="s">
        <v>66</v>
      </c>
      <c r="F7" s="250"/>
      <c r="G7" s="250"/>
      <c r="H7" s="250"/>
      <c r="I7" s="244"/>
      <c r="J7" s="244"/>
      <c r="M7" s="259" t="s">
        <v>65</v>
      </c>
      <c r="N7" s="259"/>
      <c r="O7" s="259"/>
      <c r="P7" s="249" t="s">
        <v>125</v>
      </c>
      <c r="Q7" s="250"/>
      <c r="R7" s="250"/>
      <c r="S7" s="250"/>
      <c r="T7" s="244"/>
      <c r="U7" s="244"/>
    </row>
    <row r="8" spans="1:21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M8" s="245" t="s">
        <v>33</v>
      </c>
      <c r="N8" s="246"/>
      <c r="O8" s="246"/>
      <c r="P8" s="246"/>
      <c r="Q8" s="246"/>
      <c r="R8" s="246"/>
      <c r="S8" s="246"/>
      <c r="T8" s="246"/>
      <c r="U8" s="244"/>
    </row>
    <row r="9" spans="1:21" s="5" customFormat="1" ht="9" customHeight="1" x14ac:dyDescent="0.25">
      <c r="B9" s="74"/>
      <c r="C9" s="75"/>
      <c r="D9" s="75"/>
      <c r="E9" s="75"/>
      <c r="F9" s="75"/>
      <c r="G9" s="75"/>
      <c r="H9" s="75"/>
      <c r="I9" s="88"/>
      <c r="T9" s="122"/>
    </row>
    <row r="10" spans="1:21" ht="17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2"/>
      <c r="N10" s="254" t="s">
        <v>21</v>
      </c>
      <c r="O10" s="255"/>
      <c r="P10" s="255"/>
      <c r="Q10" s="256"/>
      <c r="R10" s="251" t="s">
        <v>18</v>
      </c>
      <c r="S10" s="252"/>
      <c r="T10" s="253"/>
      <c r="U10" s="34" t="s">
        <v>22</v>
      </c>
    </row>
    <row r="11" spans="1:21" ht="37.5" x14ac:dyDescent="0.25">
      <c r="B11" s="15" t="s">
        <v>62</v>
      </c>
      <c r="C11" s="32" t="s">
        <v>63</v>
      </c>
      <c r="D11" s="33" t="s">
        <v>64</v>
      </c>
      <c r="E11" s="33" t="s">
        <v>5</v>
      </c>
      <c r="F11" s="33" t="s">
        <v>6</v>
      </c>
      <c r="G11" s="33" t="s">
        <v>7</v>
      </c>
      <c r="H11" s="33" t="s">
        <v>20</v>
      </c>
      <c r="I11" s="50" t="s">
        <v>19</v>
      </c>
      <c r="J11" s="33" t="s">
        <v>23</v>
      </c>
      <c r="K11" s="8"/>
      <c r="L11" s="5"/>
      <c r="M11" s="15" t="s">
        <v>62</v>
      </c>
      <c r="N11" s="32" t="s">
        <v>63</v>
      </c>
      <c r="O11" s="33" t="s">
        <v>64</v>
      </c>
      <c r="P11" s="33" t="s">
        <v>5</v>
      </c>
      <c r="Q11" s="33" t="s">
        <v>6</v>
      </c>
      <c r="R11" s="33" t="s">
        <v>7</v>
      </c>
      <c r="S11" s="33" t="s">
        <v>20</v>
      </c>
      <c r="T11" s="50" t="s">
        <v>19</v>
      </c>
      <c r="U11" s="33" t="s">
        <v>23</v>
      </c>
    </row>
    <row r="12" spans="1:21" ht="15" customHeight="1" x14ac:dyDescent="0.25">
      <c r="B12" s="16">
        <v>1</v>
      </c>
      <c r="C12" s="16">
        <v>7</v>
      </c>
      <c r="D12" s="16">
        <v>41</v>
      </c>
      <c r="E12" s="16">
        <f>C12*D12</f>
        <v>287</v>
      </c>
      <c r="F12" s="16">
        <f>C12*C12</f>
        <v>49</v>
      </c>
      <c r="G12" s="16">
        <f>14.117+3.736*C12</f>
        <v>40.269000000000005</v>
      </c>
      <c r="H12" s="16">
        <f xml:space="preserve"> (D12-G12)*(D12-G12)</f>
        <v>0.53436099999999198</v>
      </c>
      <c r="I12" s="35">
        <f>(D12-34.3)*(D12-34.3)</f>
        <v>44.890000000000036</v>
      </c>
      <c r="J12" s="16">
        <f>(G12-34.3)*(G12-34.3)</f>
        <v>35.628961000000096</v>
      </c>
      <c r="K12" s="7"/>
      <c r="L12" s="5"/>
      <c r="M12" s="16">
        <v>1</v>
      </c>
      <c r="N12" s="16">
        <v>5</v>
      </c>
      <c r="O12" s="16">
        <v>41</v>
      </c>
      <c r="P12" s="16">
        <f>N12*O12</f>
        <v>205</v>
      </c>
      <c r="Q12" s="16">
        <f>N12*N12</f>
        <v>25</v>
      </c>
      <c r="R12" s="16">
        <f>15.164+3.479*N12</f>
        <v>32.558999999999997</v>
      </c>
      <c r="S12" s="16">
        <f xml:space="preserve"> (O12-R12)*(O12-R12)</f>
        <v>71.250481000000036</v>
      </c>
      <c r="T12" s="35">
        <f>(O12-34.3)*(O12-34.3)</f>
        <v>44.890000000000036</v>
      </c>
      <c r="U12" s="16">
        <f>(R12-34.3)*(R12-34.3)</f>
        <v>3.031080999999999</v>
      </c>
    </row>
    <row r="13" spans="1:21" ht="18" x14ac:dyDescent="0.25">
      <c r="B13" s="16">
        <v>2</v>
      </c>
      <c r="C13" s="16">
        <v>3</v>
      </c>
      <c r="D13" s="16">
        <v>27</v>
      </c>
      <c r="E13" s="16">
        <f t="shared" ref="E13:E21" si="0">C13*D13</f>
        <v>81</v>
      </c>
      <c r="F13" s="16">
        <f t="shared" ref="F13:F21" si="1">C13*C13</f>
        <v>9</v>
      </c>
      <c r="G13" s="16">
        <f t="shared" ref="G13:G21" si="2">14.117+3.736*C13</f>
        <v>25.325000000000003</v>
      </c>
      <c r="H13" s="16">
        <f t="shared" ref="H13:H21" si="3" xml:space="preserve"> (D13-G13)*(D13-G13)</f>
        <v>2.8056249999999903</v>
      </c>
      <c r="I13" s="35">
        <f t="shared" ref="I13:I21" si="4">(D13-34.3)*(D13-34.3)</f>
        <v>53.289999999999957</v>
      </c>
      <c r="J13" s="16">
        <f t="shared" ref="J13:J21" si="5">(G13-34.3)*(G13-34.3)</f>
        <v>80.550624999999897</v>
      </c>
      <c r="K13" s="7"/>
      <c r="L13" s="5"/>
      <c r="M13" s="16">
        <v>2</v>
      </c>
      <c r="N13" s="16">
        <v>4</v>
      </c>
      <c r="O13" s="16">
        <v>27</v>
      </c>
      <c r="P13" s="16">
        <f t="shared" ref="P13:P21" si="6">N13*O13</f>
        <v>108</v>
      </c>
      <c r="Q13" s="16">
        <f t="shared" ref="Q13:Q21" si="7">N13*N13</f>
        <v>16</v>
      </c>
      <c r="R13" s="16">
        <f t="shared" ref="R13:R21" si="8">15.164+3.479*N13</f>
        <v>29.08</v>
      </c>
      <c r="S13" s="16">
        <f t="shared" ref="S13:S21" si="9" xml:space="preserve"> (O13-R13)*(O13-R13)</f>
        <v>4.3263999999999925</v>
      </c>
      <c r="T13" s="35">
        <f t="shared" ref="T13:T21" si="10">(O13-34.3)*(O13-34.3)</f>
        <v>53.289999999999957</v>
      </c>
      <c r="U13" s="16">
        <f t="shared" ref="U13:U21" si="11">(R13-34.3)*(R13-34.3)</f>
        <v>27.24839999999999</v>
      </c>
    </row>
    <row r="14" spans="1:21" ht="15" customHeight="1" x14ac:dyDescent="0.25">
      <c r="B14" s="16">
        <v>3</v>
      </c>
      <c r="C14" s="16">
        <v>5</v>
      </c>
      <c r="D14" s="16">
        <v>35</v>
      </c>
      <c r="E14" s="16">
        <f t="shared" si="0"/>
        <v>175</v>
      </c>
      <c r="F14" s="16">
        <f t="shared" si="1"/>
        <v>25</v>
      </c>
      <c r="G14" s="16">
        <f t="shared" si="2"/>
        <v>32.796999999999997</v>
      </c>
      <c r="H14" s="16">
        <f t="shared" si="3"/>
        <v>4.853209000000013</v>
      </c>
      <c r="I14" s="35">
        <f t="shared" si="4"/>
        <v>0.49000000000000399</v>
      </c>
      <c r="J14" s="16">
        <f t="shared" si="5"/>
        <v>2.2590090000000003</v>
      </c>
      <c r="L14" s="5"/>
      <c r="M14" s="16">
        <v>3</v>
      </c>
      <c r="N14" s="16">
        <v>5</v>
      </c>
      <c r="O14" s="16">
        <v>35</v>
      </c>
      <c r="P14" s="16">
        <f t="shared" si="6"/>
        <v>175</v>
      </c>
      <c r="Q14" s="16">
        <f t="shared" si="7"/>
        <v>25</v>
      </c>
      <c r="R14" s="16">
        <f t="shared" si="8"/>
        <v>32.558999999999997</v>
      </c>
      <c r="S14" s="16">
        <f t="shared" si="9"/>
        <v>5.9584810000000124</v>
      </c>
      <c r="T14" s="35">
        <f t="shared" si="10"/>
        <v>0.49000000000000399</v>
      </c>
      <c r="U14" s="16">
        <f t="shared" si="11"/>
        <v>3.031080999999999</v>
      </c>
    </row>
    <row r="15" spans="1:21" ht="15" customHeight="1" x14ac:dyDescent="0.25">
      <c r="B15" s="16">
        <v>4</v>
      </c>
      <c r="C15" s="16">
        <v>3</v>
      </c>
      <c r="D15" s="16">
        <v>26</v>
      </c>
      <c r="E15" s="16">
        <f t="shared" si="0"/>
        <v>78</v>
      </c>
      <c r="F15" s="16">
        <f t="shared" si="1"/>
        <v>9</v>
      </c>
      <c r="G15" s="16">
        <f t="shared" si="2"/>
        <v>25.325000000000003</v>
      </c>
      <c r="H15" s="16">
        <f t="shared" si="3"/>
        <v>0.45562499999999617</v>
      </c>
      <c r="I15" s="35">
        <f t="shared" si="4"/>
        <v>68.889999999999958</v>
      </c>
      <c r="J15" s="16">
        <f t="shared" si="5"/>
        <v>80.550624999999897</v>
      </c>
      <c r="K15" s="7"/>
      <c r="L15" s="5"/>
      <c r="M15" s="16">
        <v>4</v>
      </c>
      <c r="N15" s="16">
        <v>3</v>
      </c>
      <c r="O15" s="16">
        <v>26</v>
      </c>
      <c r="P15" s="16">
        <f t="shared" si="6"/>
        <v>78</v>
      </c>
      <c r="Q15" s="16">
        <f t="shared" si="7"/>
        <v>9</v>
      </c>
      <c r="R15" s="16">
        <f t="shared" si="8"/>
        <v>25.600999999999999</v>
      </c>
      <c r="S15" s="16">
        <f t="shared" si="9"/>
        <v>0.15920100000000073</v>
      </c>
      <c r="T15" s="35">
        <f t="shared" si="10"/>
        <v>68.889999999999958</v>
      </c>
      <c r="U15" s="16">
        <f t="shared" si="11"/>
        <v>75.672600999999972</v>
      </c>
    </row>
    <row r="16" spans="1:21" ht="15" customHeight="1" x14ac:dyDescent="0.25">
      <c r="B16" s="16">
        <v>5</v>
      </c>
      <c r="C16" s="16">
        <v>8</v>
      </c>
      <c r="D16" s="16">
        <v>48</v>
      </c>
      <c r="E16" s="16">
        <f t="shared" si="0"/>
        <v>384</v>
      </c>
      <c r="F16" s="16">
        <f t="shared" si="1"/>
        <v>64</v>
      </c>
      <c r="G16" s="16">
        <f t="shared" si="2"/>
        <v>44.005000000000003</v>
      </c>
      <c r="H16" s="16">
        <f t="shared" si="3"/>
        <v>15.96002499999998</v>
      </c>
      <c r="I16" s="35">
        <f t="shared" si="4"/>
        <v>187.69000000000008</v>
      </c>
      <c r="J16" s="16">
        <f t="shared" si="5"/>
        <v>94.187025000000105</v>
      </c>
      <c r="K16" s="7"/>
      <c r="L16" s="5"/>
      <c r="M16" s="16">
        <v>5</v>
      </c>
      <c r="N16" s="16">
        <v>9</v>
      </c>
      <c r="O16" s="16">
        <v>48</v>
      </c>
      <c r="P16" s="16">
        <f t="shared" si="6"/>
        <v>432</v>
      </c>
      <c r="Q16" s="16">
        <f t="shared" si="7"/>
        <v>81</v>
      </c>
      <c r="R16" s="16">
        <f t="shared" si="8"/>
        <v>46.475000000000001</v>
      </c>
      <c r="S16" s="16">
        <f t="shared" si="9"/>
        <v>2.3256249999999956</v>
      </c>
      <c r="T16" s="35">
        <f t="shared" si="10"/>
        <v>187.69000000000008</v>
      </c>
      <c r="U16" s="16">
        <f t="shared" si="11"/>
        <v>148.23062500000012</v>
      </c>
    </row>
    <row r="17" spans="2:21" ht="15" customHeight="1" x14ac:dyDescent="0.25">
      <c r="B17" s="16">
        <v>6</v>
      </c>
      <c r="C17" s="16">
        <v>7</v>
      </c>
      <c r="D17" s="16">
        <v>45</v>
      </c>
      <c r="E17" s="16">
        <f t="shared" si="0"/>
        <v>315</v>
      </c>
      <c r="F17" s="16">
        <f t="shared" si="1"/>
        <v>49</v>
      </c>
      <c r="G17" s="16">
        <f t="shared" si="2"/>
        <v>40.269000000000005</v>
      </c>
      <c r="H17" s="16">
        <f t="shared" si="3"/>
        <v>22.38236099999995</v>
      </c>
      <c r="I17" s="35">
        <f t="shared" si="4"/>
        <v>114.49000000000007</v>
      </c>
      <c r="J17" s="16">
        <f t="shared" si="5"/>
        <v>35.628961000000096</v>
      </c>
      <c r="K17" s="7"/>
      <c r="L17" s="5"/>
      <c r="M17" s="16">
        <v>6</v>
      </c>
      <c r="N17" s="16">
        <v>8</v>
      </c>
      <c r="O17" s="16">
        <v>45</v>
      </c>
      <c r="P17" s="16">
        <f t="shared" si="6"/>
        <v>360</v>
      </c>
      <c r="Q17" s="16">
        <f t="shared" si="7"/>
        <v>64</v>
      </c>
      <c r="R17" s="16">
        <f t="shared" si="8"/>
        <v>42.996000000000002</v>
      </c>
      <c r="S17" s="16">
        <f t="shared" si="9"/>
        <v>4.0160159999999907</v>
      </c>
      <c r="T17" s="35">
        <f t="shared" si="10"/>
        <v>114.49000000000007</v>
      </c>
      <c r="U17" s="16">
        <f t="shared" si="11"/>
        <v>75.620416000000091</v>
      </c>
    </row>
    <row r="18" spans="2:21" ht="15" customHeight="1" x14ac:dyDescent="0.25">
      <c r="B18" s="16">
        <v>7</v>
      </c>
      <c r="C18" s="16">
        <v>10</v>
      </c>
      <c r="D18" s="16">
        <v>46</v>
      </c>
      <c r="E18" s="16">
        <f t="shared" si="0"/>
        <v>460</v>
      </c>
      <c r="F18" s="16">
        <f t="shared" si="1"/>
        <v>100</v>
      </c>
      <c r="G18" s="16">
        <f t="shared" si="2"/>
        <v>51.477000000000004</v>
      </c>
      <c r="H18" s="16">
        <f t="shared" si="3"/>
        <v>29.997529000000043</v>
      </c>
      <c r="I18" s="35">
        <f t="shared" si="4"/>
        <v>136.89000000000007</v>
      </c>
      <c r="J18" s="16">
        <f t="shared" si="5"/>
        <v>295.04932900000023</v>
      </c>
      <c r="K18" s="7"/>
      <c r="L18" s="5"/>
      <c r="M18" s="16">
        <v>7</v>
      </c>
      <c r="N18" s="16">
        <v>10</v>
      </c>
      <c r="O18" s="16">
        <v>46</v>
      </c>
      <c r="P18" s="16">
        <f t="shared" si="6"/>
        <v>460</v>
      </c>
      <c r="Q18" s="16">
        <f t="shared" si="7"/>
        <v>100</v>
      </c>
      <c r="R18" s="16">
        <f t="shared" si="8"/>
        <v>49.954000000000001</v>
      </c>
      <c r="S18" s="16">
        <f t="shared" si="9"/>
        <v>15.634116000000004</v>
      </c>
      <c r="T18" s="35">
        <f t="shared" si="10"/>
        <v>136.89000000000007</v>
      </c>
      <c r="U18" s="16">
        <f t="shared" si="11"/>
        <v>245.04771600000012</v>
      </c>
    </row>
    <row r="19" spans="2:21" ht="18.75" customHeight="1" x14ac:dyDescent="0.25">
      <c r="B19" s="16">
        <v>8</v>
      </c>
      <c r="C19" s="16">
        <v>3</v>
      </c>
      <c r="D19" s="16">
        <v>27</v>
      </c>
      <c r="E19" s="16">
        <f t="shared" si="0"/>
        <v>81</v>
      </c>
      <c r="F19" s="16">
        <f t="shared" si="1"/>
        <v>9</v>
      </c>
      <c r="G19" s="16">
        <f t="shared" si="2"/>
        <v>25.325000000000003</v>
      </c>
      <c r="H19" s="16">
        <f t="shared" si="3"/>
        <v>2.8056249999999903</v>
      </c>
      <c r="I19" s="35">
        <f t="shared" si="4"/>
        <v>53.289999999999957</v>
      </c>
      <c r="J19" s="16">
        <f t="shared" si="5"/>
        <v>80.550624999999897</v>
      </c>
      <c r="K19" s="7"/>
      <c r="L19" s="5"/>
      <c r="M19" s="16">
        <v>8</v>
      </c>
      <c r="N19" s="16">
        <v>5</v>
      </c>
      <c r="O19" s="16">
        <v>27</v>
      </c>
      <c r="P19" s="16">
        <f t="shared" si="6"/>
        <v>135</v>
      </c>
      <c r="Q19" s="16">
        <f t="shared" si="7"/>
        <v>25</v>
      </c>
      <c r="R19" s="16">
        <f t="shared" si="8"/>
        <v>32.558999999999997</v>
      </c>
      <c r="S19" s="16">
        <f t="shared" si="9"/>
        <v>30.902480999999973</v>
      </c>
      <c r="T19" s="35">
        <f t="shared" si="10"/>
        <v>53.289999999999957</v>
      </c>
      <c r="U19" s="16">
        <f t="shared" si="11"/>
        <v>3.031080999999999</v>
      </c>
    </row>
    <row r="20" spans="2:21" ht="15" customHeight="1" x14ac:dyDescent="0.25">
      <c r="B20" s="16">
        <v>9</v>
      </c>
      <c r="C20" s="16">
        <v>5</v>
      </c>
      <c r="D20" s="16">
        <v>29</v>
      </c>
      <c r="E20" s="16">
        <f t="shared" si="0"/>
        <v>145</v>
      </c>
      <c r="F20" s="16">
        <f t="shared" si="1"/>
        <v>25</v>
      </c>
      <c r="G20" s="16">
        <f t="shared" si="2"/>
        <v>32.796999999999997</v>
      </c>
      <c r="H20" s="16">
        <f t="shared" si="3"/>
        <v>14.417208999999978</v>
      </c>
      <c r="I20" s="35">
        <f t="shared" si="4"/>
        <v>28.089999999999971</v>
      </c>
      <c r="J20" s="16">
        <f t="shared" si="5"/>
        <v>2.2590090000000003</v>
      </c>
      <c r="K20" s="7"/>
      <c r="L20" s="5"/>
      <c r="M20" s="16">
        <v>9</v>
      </c>
      <c r="N20" s="16">
        <v>3</v>
      </c>
      <c r="O20" s="16">
        <v>29</v>
      </c>
      <c r="P20" s="16">
        <f t="shared" si="6"/>
        <v>87</v>
      </c>
      <c r="Q20" s="16">
        <f t="shared" si="7"/>
        <v>9</v>
      </c>
      <c r="R20" s="16">
        <f t="shared" si="8"/>
        <v>25.600999999999999</v>
      </c>
      <c r="S20" s="16">
        <f t="shared" si="9"/>
        <v>11.553201000000007</v>
      </c>
      <c r="T20" s="35">
        <f t="shared" si="10"/>
        <v>28.089999999999971</v>
      </c>
      <c r="U20" s="16">
        <f t="shared" si="11"/>
        <v>75.672600999999972</v>
      </c>
    </row>
    <row r="21" spans="2:21" ht="18" x14ac:dyDescent="0.25">
      <c r="B21" s="16">
        <v>10</v>
      </c>
      <c r="C21" s="16">
        <v>3</v>
      </c>
      <c r="D21" s="16">
        <v>19</v>
      </c>
      <c r="E21" s="16">
        <f t="shared" si="0"/>
        <v>57</v>
      </c>
      <c r="F21" s="16">
        <f t="shared" si="1"/>
        <v>9</v>
      </c>
      <c r="G21" s="16">
        <f t="shared" si="2"/>
        <v>25.325000000000003</v>
      </c>
      <c r="H21" s="16">
        <f t="shared" si="3"/>
        <v>40.005625000000038</v>
      </c>
      <c r="I21" s="35">
        <f t="shared" si="4"/>
        <v>234.08999999999992</v>
      </c>
      <c r="J21" s="16">
        <f t="shared" si="5"/>
        <v>80.550624999999897</v>
      </c>
      <c r="K21" s="7"/>
      <c r="L21" s="5"/>
      <c r="M21" s="16">
        <v>10</v>
      </c>
      <c r="N21" s="16">
        <v>3</v>
      </c>
      <c r="O21" s="16">
        <v>19</v>
      </c>
      <c r="P21" s="16">
        <f t="shared" si="6"/>
        <v>57</v>
      </c>
      <c r="Q21" s="16">
        <f t="shared" si="7"/>
        <v>9</v>
      </c>
      <c r="R21" s="16">
        <f t="shared" si="8"/>
        <v>25.600999999999999</v>
      </c>
      <c r="S21" s="16">
        <f t="shared" si="9"/>
        <v>43.57320099999999</v>
      </c>
      <c r="T21" s="35">
        <f t="shared" si="10"/>
        <v>234.08999999999992</v>
      </c>
      <c r="U21" s="16">
        <f t="shared" si="11"/>
        <v>75.672600999999972</v>
      </c>
    </row>
    <row r="22" spans="2:21" ht="15.75" x14ac:dyDescent="0.25">
      <c r="B22" s="17" t="s">
        <v>0</v>
      </c>
      <c r="C22" s="17">
        <f>SUM(C12:C21)</f>
        <v>54</v>
      </c>
      <c r="D22" s="17">
        <f t="shared" ref="D22:F22" si="12">SUM(D12:D21)</f>
        <v>343</v>
      </c>
      <c r="E22" s="17">
        <f t="shared" si="12"/>
        <v>2063</v>
      </c>
      <c r="F22" s="17">
        <f t="shared" si="12"/>
        <v>348</v>
      </c>
      <c r="G22" s="17"/>
      <c r="H22" s="17">
        <f>SUM(H12:H21)</f>
        <v>134.21719399999998</v>
      </c>
      <c r="I22" s="233">
        <f>SUM(I12:I21)</f>
        <v>922.09999999999991</v>
      </c>
      <c r="J22" s="17">
        <f>SUM(J12:J21)</f>
        <v>787.2147940000001</v>
      </c>
      <c r="K22" s="6"/>
      <c r="L22" s="5"/>
      <c r="M22" s="17" t="s">
        <v>0</v>
      </c>
      <c r="N22" s="17">
        <f>SUM(N12:N21)</f>
        <v>55</v>
      </c>
      <c r="O22" s="17">
        <f t="shared" ref="O22:Q22" si="13">SUM(O12:O21)</f>
        <v>343</v>
      </c>
      <c r="P22" s="17">
        <f t="shared" si="13"/>
        <v>2097</v>
      </c>
      <c r="Q22" s="17">
        <f t="shared" si="13"/>
        <v>363</v>
      </c>
      <c r="R22" s="17"/>
      <c r="S22" s="17">
        <f>SUM(S12:S21)</f>
        <v>189.69920299999998</v>
      </c>
      <c r="T22" s="233">
        <f>SUM(T12:T21)</f>
        <v>922.09999999999991</v>
      </c>
      <c r="U22" s="17">
        <f>SUM(U12:U21)</f>
        <v>732.25820300000021</v>
      </c>
    </row>
    <row r="23" spans="2:21" ht="20.25" customHeight="1" x14ac:dyDescent="0.25">
      <c r="C23" s="14"/>
      <c r="J23" s="161" t="s">
        <v>129</v>
      </c>
      <c r="L23" s="5"/>
      <c r="M23"/>
      <c r="N23" s="14"/>
      <c r="U23" s="162" t="s">
        <v>129</v>
      </c>
    </row>
    <row r="24" spans="2:21" ht="17.25" x14ac:dyDescent="0.3">
      <c r="B24" s="4" t="s">
        <v>11</v>
      </c>
      <c r="C24" s="9"/>
      <c r="D24" s="9"/>
      <c r="E24" s="9"/>
      <c r="F24" s="9"/>
      <c r="G24" s="9"/>
      <c r="H24" s="79" t="s">
        <v>58</v>
      </c>
      <c r="I24" s="52"/>
      <c r="J24">
        <f>H22+J22</f>
        <v>921.43198800000005</v>
      </c>
      <c r="L24" s="5"/>
      <c r="M24" s="4" t="s">
        <v>11</v>
      </c>
      <c r="N24" s="9"/>
      <c r="O24" s="9"/>
      <c r="P24" s="9"/>
      <c r="Q24" s="9"/>
      <c r="R24" s="9"/>
      <c r="S24" s="79" t="s">
        <v>58</v>
      </c>
      <c r="T24" s="52"/>
      <c r="U24">
        <f>S22+U22</f>
        <v>921.95740600000022</v>
      </c>
    </row>
    <row r="25" spans="2:21" ht="8.25" customHeight="1" x14ac:dyDescent="0.3">
      <c r="B25" s="4"/>
      <c r="C25" s="9"/>
      <c r="D25" s="9"/>
      <c r="E25" s="9"/>
      <c r="F25" s="9"/>
      <c r="G25" s="9"/>
      <c r="H25" s="9"/>
      <c r="I25" s="52"/>
      <c r="J25" s="14"/>
      <c r="L25" s="5"/>
      <c r="M25" s="4"/>
      <c r="N25" s="9"/>
      <c r="O25" s="9"/>
      <c r="P25" s="9"/>
      <c r="Q25" s="9"/>
      <c r="R25" s="9"/>
      <c r="S25" s="9"/>
      <c r="T25" s="52"/>
      <c r="U25" s="14"/>
    </row>
    <row r="26" spans="2:21" ht="36.75" customHeight="1" x14ac:dyDescent="0.3">
      <c r="B26" s="247" t="s">
        <v>67</v>
      </c>
      <c r="C26" s="244"/>
      <c r="D26" s="244"/>
      <c r="E26" s="244"/>
      <c r="F26" s="244"/>
      <c r="G26" s="9"/>
      <c r="H26" s="80" t="s">
        <v>142</v>
      </c>
      <c r="I26" s="52"/>
      <c r="J26" s="3"/>
      <c r="L26" s="5"/>
      <c r="M26" s="247" t="s">
        <v>126</v>
      </c>
      <c r="N26" s="244"/>
      <c r="O26" s="244"/>
      <c r="P26" s="244"/>
      <c r="Q26" s="244"/>
      <c r="R26" s="9"/>
      <c r="S26" s="80" t="s">
        <v>149</v>
      </c>
      <c r="T26" s="52"/>
      <c r="U26" s="3"/>
    </row>
    <row r="27" spans="2:21" ht="17.25" x14ac:dyDescent="0.3">
      <c r="B27" s="4" t="s">
        <v>144</v>
      </c>
      <c r="C27" s="9"/>
      <c r="D27" s="9"/>
      <c r="E27" s="9"/>
      <c r="F27" s="9"/>
      <c r="G27" s="9"/>
      <c r="H27" s="79" t="s">
        <v>143</v>
      </c>
      <c r="I27" s="52"/>
      <c r="J27" s="3"/>
      <c r="L27" s="5"/>
      <c r="M27" s="4" t="s">
        <v>127</v>
      </c>
      <c r="N27" s="9"/>
      <c r="O27" s="9"/>
      <c r="P27" s="9"/>
      <c r="Q27" s="9"/>
      <c r="R27" s="9"/>
      <c r="S27" s="79" t="s">
        <v>150</v>
      </c>
      <c r="T27" s="52"/>
      <c r="U27" s="3"/>
    </row>
    <row r="28" spans="2:21" ht="18" thickBot="1" x14ac:dyDescent="0.35">
      <c r="B28" s="9"/>
      <c r="C28" s="10"/>
      <c r="D28" s="9"/>
      <c r="E28" s="9"/>
      <c r="L28" s="5"/>
      <c r="M28" s="9"/>
      <c r="N28" s="10"/>
      <c r="O28" s="9"/>
      <c r="P28" s="9"/>
    </row>
    <row r="29" spans="2:21" ht="19.5" thickBot="1" x14ac:dyDescent="0.35">
      <c r="B29" s="239" t="s">
        <v>145</v>
      </c>
      <c r="C29" s="240"/>
      <c r="D29" s="240"/>
      <c r="E29" s="240"/>
      <c r="F29" s="241"/>
      <c r="M29" s="239" t="s">
        <v>128</v>
      </c>
      <c r="N29" s="240"/>
      <c r="O29" s="240"/>
      <c r="P29" s="240"/>
      <c r="Q29" s="241"/>
    </row>
    <row r="30" spans="2:21" ht="22.5" customHeight="1" thickBot="1" x14ac:dyDescent="0.35">
      <c r="B30" s="18"/>
      <c r="C30" s="19"/>
      <c r="D30" s="43"/>
      <c r="E30" s="19"/>
      <c r="M30" s="18"/>
      <c r="N30" s="19"/>
      <c r="O30" s="43"/>
      <c r="P30" s="19"/>
    </row>
    <row r="31" spans="2:21" ht="36" customHeight="1" thickBot="1" x14ac:dyDescent="0.35">
      <c r="B31" s="236" t="s">
        <v>130</v>
      </c>
      <c r="C31" s="237"/>
      <c r="D31" s="237"/>
      <c r="E31" s="237"/>
      <c r="F31" s="238"/>
      <c r="H31" s="80" t="s">
        <v>141</v>
      </c>
      <c r="M31" s="236" t="s">
        <v>131</v>
      </c>
      <c r="N31" s="237"/>
      <c r="O31" s="237"/>
      <c r="P31" s="237"/>
      <c r="Q31" s="238"/>
      <c r="S31" s="80" t="s">
        <v>148</v>
      </c>
    </row>
    <row r="32" spans="2:21" ht="18" customHeight="1" x14ac:dyDescent="0.25">
      <c r="D32" s="14"/>
      <c r="E32" s="14"/>
      <c r="F32" s="14"/>
    </row>
    <row r="34" spans="2:20" ht="17.25" customHeight="1" x14ac:dyDescent="0.25">
      <c r="B34" t="s">
        <v>138</v>
      </c>
      <c r="H34" s="14"/>
      <c r="M34" t="s">
        <v>139</v>
      </c>
    </row>
    <row r="35" spans="2:20" ht="15.75" x14ac:dyDescent="0.25">
      <c r="B35" t="s">
        <v>146</v>
      </c>
      <c r="H35" s="184" t="s">
        <v>147</v>
      </c>
      <c r="M35" t="s">
        <v>140</v>
      </c>
      <c r="S35" s="185" t="s">
        <v>151</v>
      </c>
    </row>
    <row r="36" spans="2:20" x14ac:dyDescent="0.25">
      <c r="B36" s="210" t="s">
        <v>158</v>
      </c>
      <c r="C36" s="3"/>
      <c r="D36" s="3"/>
      <c r="E36" s="3"/>
      <c r="F36" s="3"/>
      <c r="G36" s="3"/>
      <c r="H36" s="3"/>
      <c r="I36" s="70"/>
      <c r="M36" s="210" t="s">
        <v>159</v>
      </c>
    </row>
    <row r="38" spans="2:20" ht="17.25" customHeight="1" x14ac:dyDescent="0.25">
      <c r="B38" s="234" t="s">
        <v>132</v>
      </c>
      <c r="C38" s="235"/>
      <c r="D38" s="235"/>
      <c r="E38" s="235"/>
      <c r="F38" s="235"/>
      <c r="G38" s="244"/>
      <c r="H38" s="244"/>
      <c r="I38" s="244"/>
      <c r="M38" s="234" t="s">
        <v>133</v>
      </c>
      <c r="N38" s="235"/>
      <c r="O38" s="235"/>
      <c r="P38" s="235"/>
      <c r="Q38" s="235"/>
      <c r="R38" s="244"/>
      <c r="S38" s="244"/>
      <c r="T38" s="244"/>
    </row>
    <row r="41" spans="2:20" ht="17.25" x14ac:dyDescent="0.3">
      <c r="B41" s="2"/>
      <c r="C41" s="254" t="s">
        <v>21</v>
      </c>
      <c r="D41" s="255"/>
      <c r="E41" s="255"/>
      <c r="F41" s="255"/>
      <c r="G41" s="174"/>
    </row>
    <row r="42" spans="2:20" ht="37.5" x14ac:dyDescent="0.25">
      <c r="B42" s="15" t="s">
        <v>62</v>
      </c>
      <c r="C42" s="32" t="s">
        <v>137</v>
      </c>
      <c r="D42" s="33" t="s">
        <v>64</v>
      </c>
      <c r="E42" s="33" t="s">
        <v>5</v>
      </c>
      <c r="F42" s="171" t="s">
        <v>6</v>
      </c>
      <c r="G42" s="175" t="s">
        <v>136</v>
      </c>
    </row>
    <row r="43" spans="2:20" ht="15.75" x14ac:dyDescent="0.25">
      <c r="B43" s="16">
        <v>1</v>
      </c>
      <c r="C43" s="16">
        <v>7</v>
      </c>
      <c r="D43" s="16">
        <v>41</v>
      </c>
      <c r="E43" s="16">
        <f>C43*D43</f>
        <v>287</v>
      </c>
      <c r="F43" s="172">
        <f>C43*C43</f>
        <v>49</v>
      </c>
      <c r="G43" s="176">
        <v>2</v>
      </c>
    </row>
    <row r="44" spans="2:20" ht="15.75" x14ac:dyDescent="0.25">
      <c r="B44" s="16">
        <v>2</v>
      </c>
      <c r="C44" s="16">
        <v>3</v>
      </c>
      <c r="D44" s="16">
        <v>27</v>
      </c>
      <c r="E44" s="16">
        <f t="shared" ref="E44:E52" si="14">C44*D44</f>
        <v>81</v>
      </c>
      <c r="F44" s="172">
        <f t="shared" ref="F44:F52" si="15">C44*C44</f>
        <v>9</v>
      </c>
      <c r="G44" s="176">
        <v>3.7</v>
      </c>
    </row>
    <row r="45" spans="2:20" ht="15.75" x14ac:dyDescent="0.25">
      <c r="B45" s="16">
        <v>3</v>
      </c>
      <c r="C45" s="16">
        <v>5</v>
      </c>
      <c r="D45" s="16">
        <v>35</v>
      </c>
      <c r="E45" s="16">
        <f t="shared" si="14"/>
        <v>175</v>
      </c>
      <c r="F45" s="172">
        <f t="shared" si="15"/>
        <v>25</v>
      </c>
      <c r="G45" s="176">
        <v>2.8</v>
      </c>
    </row>
    <row r="46" spans="2:20" ht="15.75" x14ac:dyDescent="0.25">
      <c r="B46" s="16">
        <v>4</v>
      </c>
      <c r="C46" s="16">
        <v>3</v>
      </c>
      <c r="D46" s="16">
        <v>26</v>
      </c>
      <c r="E46" s="16">
        <f t="shared" si="14"/>
        <v>78</v>
      </c>
      <c r="F46" s="172">
        <f t="shared" si="15"/>
        <v>9</v>
      </c>
      <c r="G46" s="176">
        <v>3.8</v>
      </c>
    </row>
    <row r="47" spans="2:20" ht="15.75" x14ac:dyDescent="0.25">
      <c r="B47" s="16">
        <v>5</v>
      </c>
      <c r="C47" s="16">
        <v>8</v>
      </c>
      <c r="D47" s="16">
        <v>48</v>
      </c>
      <c r="E47" s="16">
        <f t="shared" si="14"/>
        <v>384</v>
      </c>
      <c r="F47" s="172">
        <f t="shared" si="15"/>
        <v>64</v>
      </c>
      <c r="G47" s="176">
        <v>1.2</v>
      </c>
    </row>
    <row r="48" spans="2:20" ht="15.75" x14ac:dyDescent="0.25">
      <c r="B48" s="16">
        <v>6</v>
      </c>
      <c r="C48" s="16">
        <v>7</v>
      </c>
      <c r="D48" s="16">
        <v>45</v>
      </c>
      <c r="E48" s="16">
        <f t="shared" si="14"/>
        <v>315</v>
      </c>
      <c r="F48" s="172">
        <f t="shared" si="15"/>
        <v>49</v>
      </c>
      <c r="G48" s="176">
        <v>1.6</v>
      </c>
    </row>
    <row r="49" spans="2:7" ht="15.75" x14ac:dyDescent="0.25">
      <c r="B49" s="16">
        <v>7</v>
      </c>
      <c r="C49" s="16">
        <v>10</v>
      </c>
      <c r="D49" s="16">
        <v>46</v>
      </c>
      <c r="E49" s="16">
        <f t="shared" si="14"/>
        <v>460</v>
      </c>
      <c r="F49" s="172">
        <f t="shared" si="15"/>
        <v>100</v>
      </c>
      <c r="G49" s="176">
        <v>1.4</v>
      </c>
    </row>
    <row r="50" spans="2:7" ht="15.75" x14ac:dyDescent="0.25">
      <c r="B50" s="16">
        <v>8</v>
      </c>
      <c r="C50" s="16">
        <v>3</v>
      </c>
      <c r="D50" s="16">
        <v>27</v>
      </c>
      <c r="E50" s="16">
        <f t="shared" si="14"/>
        <v>81</v>
      </c>
      <c r="F50" s="172">
        <f t="shared" si="15"/>
        <v>9</v>
      </c>
      <c r="G50" s="176">
        <v>3.7</v>
      </c>
    </row>
    <row r="51" spans="2:7" ht="15.75" x14ac:dyDescent="0.25">
      <c r="B51" s="16">
        <v>9</v>
      </c>
      <c r="C51" s="16">
        <v>5</v>
      </c>
      <c r="D51" s="16">
        <v>29</v>
      </c>
      <c r="E51" s="16">
        <f t="shared" si="14"/>
        <v>145</v>
      </c>
      <c r="F51" s="172">
        <f t="shared" si="15"/>
        <v>25</v>
      </c>
      <c r="G51" s="176">
        <v>3.5</v>
      </c>
    </row>
    <row r="52" spans="2:7" ht="15.75" x14ac:dyDescent="0.25">
      <c r="B52" s="16">
        <v>10</v>
      </c>
      <c r="C52" s="16">
        <v>3</v>
      </c>
      <c r="D52" s="16">
        <v>19</v>
      </c>
      <c r="E52" s="16">
        <f t="shared" si="14"/>
        <v>57</v>
      </c>
      <c r="F52" s="172">
        <f t="shared" si="15"/>
        <v>9</v>
      </c>
      <c r="G52" s="177">
        <v>4.7</v>
      </c>
    </row>
    <row r="53" spans="2:7" ht="15.75" x14ac:dyDescent="0.25">
      <c r="B53" s="17" t="s">
        <v>0</v>
      </c>
      <c r="C53" s="17">
        <f>SUM(C43:C52)</f>
        <v>54</v>
      </c>
      <c r="D53" s="17">
        <f t="shared" ref="D53:F53" si="16">SUM(D43:D52)</f>
        <v>343</v>
      </c>
      <c r="E53" s="17">
        <f t="shared" si="16"/>
        <v>2063</v>
      </c>
      <c r="F53" s="173">
        <f t="shared" si="16"/>
        <v>348</v>
      </c>
      <c r="G53" s="178">
        <f>SUM(G43:G52)/10</f>
        <v>2.84</v>
      </c>
    </row>
  </sheetData>
  <mergeCells count="24">
    <mergeCell ref="M26:Q26"/>
    <mergeCell ref="M31:Q31"/>
    <mergeCell ref="M6:R6"/>
    <mergeCell ref="M7:O7"/>
    <mergeCell ref="P7:U7"/>
    <mergeCell ref="M8:U8"/>
    <mergeCell ref="N10:Q10"/>
    <mergeCell ref="R10:T10"/>
    <mergeCell ref="B38:I38"/>
    <mergeCell ref="M38:T38"/>
    <mergeCell ref="C41:F41"/>
    <mergeCell ref="B31:F31"/>
    <mergeCell ref="B2:J2"/>
    <mergeCell ref="B4:J4"/>
    <mergeCell ref="B6:G6"/>
    <mergeCell ref="B7:D7"/>
    <mergeCell ref="E7:J7"/>
    <mergeCell ref="B8:J8"/>
    <mergeCell ref="C10:F10"/>
    <mergeCell ref="G10:I10"/>
    <mergeCell ref="B26:F26"/>
    <mergeCell ref="B29:F29"/>
    <mergeCell ref="M29:Q29"/>
    <mergeCell ref="M4:U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7"/>
  <sheetViews>
    <sheetView zoomScale="78" zoomScaleNormal="78" workbookViewId="0">
      <selection activeCell="T33" sqref="T33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1" spans="1:27" x14ac:dyDescent="0.25">
      <c r="B1" s="47"/>
      <c r="C1" s="47"/>
      <c r="D1" s="47"/>
      <c r="E1" s="47"/>
      <c r="F1" s="47"/>
      <c r="G1" s="47"/>
      <c r="I1" s="47"/>
      <c r="L1" s="47"/>
      <c r="M1" s="47"/>
    </row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28"/>
      <c r="O2" s="29"/>
      <c r="P2" s="29"/>
      <c r="Q2" s="29"/>
      <c r="R2" s="29"/>
      <c r="S2" s="29"/>
      <c r="T2" s="29"/>
      <c r="U2" s="29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3">
      <c r="B30" s="47"/>
      <c r="C30" s="47"/>
      <c r="D30" s="47"/>
      <c r="E30" s="47"/>
      <c r="F30" s="47"/>
      <c r="G30" s="47"/>
      <c r="I30" s="47"/>
      <c r="L30" s="47"/>
      <c r="M30" s="47"/>
      <c r="N30" s="41"/>
      <c r="O30" s="41"/>
      <c r="P30" s="14"/>
      <c r="Q30" s="281"/>
      <c r="R30" s="244"/>
      <c r="S30" s="244"/>
      <c r="T30" s="244"/>
      <c r="U30" s="244"/>
      <c r="V30" s="14"/>
    </row>
    <row r="31" spans="2:25" ht="17.25" x14ac:dyDescent="0.3">
      <c r="B31" s="47"/>
      <c r="C31" s="47"/>
      <c r="D31" s="47"/>
      <c r="E31" s="47"/>
      <c r="F31" s="47"/>
      <c r="G31" s="47"/>
      <c r="I31" s="47"/>
      <c r="L31" s="47"/>
      <c r="M31" s="47"/>
      <c r="N31" s="41"/>
      <c r="O31" s="41"/>
      <c r="P31" s="14"/>
      <c r="Q31" s="14"/>
      <c r="R31" s="14"/>
      <c r="S31" s="14"/>
      <c r="T31" s="14"/>
      <c r="U31" s="14"/>
      <c r="V31" s="14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P32" s="14"/>
      <c r="Q32" s="14"/>
      <c r="R32" s="14"/>
      <c r="S32" s="14"/>
      <c r="T32" s="14"/>
      <c r="U32" s="14"/>
      <c r="V32" s="14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Q33" s="14"/>
      <c r="R33" s="14"/>
      <c r="S33" s="14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R34" s="14"/>
      <c r="S34" s="14"/>
    </row>
    <row r="35" spans="2:23" x14ac:dyDescent="0.25">
      <c r="B35" s="47"/>
      <c r="C35" s="47"/>
      <c r="D35" s="47"/>
      <c r="E35" s="47"/>
      <c r="F35" s="47"/>
      <c r="G35" s="47"/>
      <c r="I35" s="47"/>
      <c r="L35" s="47"/>
      <c r="M35" s="47"/>
    </row>
    <row r="37" spans="2:23" x14ac:dyDescent="0.25">
      <c r="W37" s="14"/>
    </row>
  </sheetData>
  <mergeCells count="1">
    <mergeCell ref="Q30:U30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771C0-E9A5-4EE7-A7D3-BBCE6BD8B621}">
  <dimension ref="A2:AB37"/>
  <sheetViews>
    <sheetView topLeftCell="A2" zoomScale="77" zoomScaleNormal="77" workbookViewId="0">
      <selection activeCell="Y34" sqref="Y34"/>
    </sheetView>
  </sheetViews>
  <sheetFormatPr baseColWidth="10" defaultColWidth="9.140625" defaultRowHeight="15" x14ac:dyDescent="0.25"/>
  <cols>
    <col min="1" max="1" width="3.5703125" customWidth="1"/>
    <col min="2" max="2" width="7.42578125" customWidth="1"/>
    <col min="3" max="3" width="11.140625" customWidth="1"/>
    <col min="4" max="4" width="10" customWidth="1"/>
    <col min="5" max="5" width="10.140625" customWidth="1"/>
    <col min="6" max="6" width="14.140625" style="187" customWidth="1"/>
    <col min="7" max="7" width="13.7109375" style="197" customWidth="1"/>
    <col min="8" max="8" width="14" style="197" customWidth="1"/>
    <col min="9" max="9" width="12.85546875" style="47" customWidth="1"/>
    <col min="10" max="10" width="11.5703125" style="197" customWidth="1"/>
    <col min="11" max="11" width="12.28515625" style="197" customWidth="1"/>
    <col min="12" max="12" width="11.7109375" style="47" customWidth="1"/>
    <col min="13" max="13" width="10.7109375" style="209" customWidth="1"/>
    <col min="14" max="14" width="5.28515625" style="11" customWidth="1"/>
    <col min="15" max="15" width="3.85546875" customWidth="1"/>
    <col min="16" max="16" width="6" customWidth="1"/>
    <col min="17" max="17" width="18.140625" customWidth="1"/>
    <col min="18" max="18" width="21.42578125" customWidth="1"/>
    <col min="19" max="19" width="22.140625" customWidth="1"/>
    <col min="20" max="20" width="25" customWidth="1"/>
    <col min="22" max="22" width="2.140625" customWidth="1"/>
    <col min="23" max="23" width="2.85546875" customWidth="1"/>
    <col min="25" max="25" width="27.7109375" style="47" customWidth="1"/>
  </cols>
  <sheetData>
    <row r="2" spans="1:28" ht="21" x14ac:dyDescent="0.35">
      <c r="A2" s="282" t="s">
        <v>43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</row>
    <row r="3" spans="1:28" ht="18.75" x14ac:dyDescent="0.3">
      <c r="A3" s="179"/>
      <c r="B3" s="180"/>
      <c r="C3" s="180"/>
      <c r="D3" s="180"/>
      <c r="E3" s="180"/>
      <c r="F3" s="188"/>
      <c r="G3" s="198"/>
      <c r="H3" s="198"/>
      <c r="I3" s="136"/>
      <c r="J3" s="198"/>
      <c r="K3" s="198"/>
      <c r="L3" s="136"/>
    </row>
    <row r="4" spans="1:28" ht="41.25" customHeight="1" x14ac:dyDescent="0.3">
      <c r="A4" s="14"/>
      <c r="B4" s="284" t="s">
        <v>152</v>
      </c>
      <c r="C4" s="285"/>
      <c r="D4" s="285"/>
      <c r="E4" s="285"/>
      <c r="F4" s="285"/>
      <c r="G4" s="285"/>
      <c r="H4" s="285"/>
      <c r="I4" s="285"/>
      <c r="J4" s="285"/>
      <c r="K4" s="285"/>
      <c r="L4" s="286"/>
    </row>
    <row r="5" spans="1:28" ht="17.25" customHeight="1" x14ac:dyDescent="0.3">
      <c r="B5" s="30"/>
      <c r="C5" s="30"/>
      <c r="D5" s="30"/>
      <c r="E5" s="30"/>
      <c r="F5" s="189"/>
      <c r="G5" s="199"/>
      <c r="H5" s="199"/>
      <c r="I5" s="186"/>
      <c r="J5" s="199"/>
    </row>
    <row r="6" spans="1:28" ht="18.75" customHeight="1" x14ac:dyDescent="0.3">
      <c r="B6" s="257" t="s">
        <v>1</v>
      </c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44"/>
      <c r="N6" s="182"/>
    </row>
    <row r="7" spans="1:28" ht="19.5" customHeight="1" x14ac:dyDescent="0.3">
      <c r="B7" s="259" t="s">
        <v>65</v>
      </c>
      <c r="C7" s="259"/>
      <c r="D7" s="259"/>
      <c r="E7" s="259"/>
      <c r="F7" s="249" t="s">
        <v>153</v>
      </c>
      <c r="G7" s="244"/>
      <c r="H7" s="244"/>
      <c r="I7" s="244"/>
      <c r="J7" s="244"/>
      <c r="K7" s="244"/>
      <c r="L7" s="244"/>
      <c r="M7" s="244"/>
      <c r="N7" s="180"/>
      <c r="P7" s="262" t="s">
        <v>55</v>
      </c>
      <c r="Q7" s="262"/>
      <c r="R7" s="262"/>
      <c r="S7" s="262"/>
      <c r="T7" s="262"/>
      <c r="U7" s="262"/>
      <c r="V7" s="180"/>
      <c r="X7" s="11"/>
      <c r="Y7" s="209"/>
    </row>
    <row r="8" spans="1:28" ht="33" customHeight="1" x14ac:dyDescent="0.3">
      <c r="B8" s="270" t="s">
        <v>48</v>
      </c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  <c r="N8" s="183"/>
      <c r="O8" s="30"/>
      <c r="P8" s="183"/>
      <c r="Q8" s="183"/>
      <c r="R8" s="215"/>
      <c r="S8" s="215"/>
      <c r="T8" s="215"/>
      <c r="U8" s="181"/>
      <c r="V8" s="180"/>
      <c r="W8" s="26"/>
      <c r="X8" s="11"/>
      <c r="Y8" s="209"/>
      <c r="AB8" s="5"/>
    </row>
    <row r="9" spans="1:28" ht="17.25" customHeight="1" x14ac:dyDescent="0.3">
      <c r="B9" s="55"/>
      <c r="C9" s="272" t="s">
        <v>24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62"/>
      <c r="O9" s="30"/>
      <c r="P9" s="41"/>
      <c r="Q9" s="274" t="s">
        <v>18</v>
      </c>
      <c r="R9" s="274"/>
      <c r="S9" s="275"/>
      <c r="T9" s="222" t="s">
        <v>39</v>
      </c>
      <c r="Y9" s="209"/>
    </row>
    <row r="10" spans="1:28" s="5" customFormat="1" ht="29.25" customHeight="1" x14ac:dyDescent="0.3">
      <c r="B10" s="56" t="s">
        <v>8</v>
      </c>
      <c r="C10" s="33" t="s">
        <v>96</v>
      </c>
      <c r="D10" s="33" t="s">
        <v>4</v>
      </c>
      <c r="E10" s="33" t="s">
        <v>17</v>
      </c>
      <c r="F10" s="190" t="s">
        <v>25</v>
      </c>
      <c r="G10" s="200" t="s">
        <v>26</v>
      </c>
      <c r="H10" s="200" t="s">
        <v>27</v>
      </c>
      <c r="I10" s="50" t="s">
        <v>29</v>
      </c>
      <c r="J10" s="200" t="s">
        <v>28</v>
      </c>
      <c r="K10" s="200" t="s">
        <v>41</v>
      </c>
      <c r="L10" s="50" t="s">
        <v>30</v>
      </c>
      <c r="M10" s="50" t="s">
        <v>31</v>
      </c>
      <c r="N10" s="41"/>
      <c r="O10" s="30"/>
      <c r="P10" s="41"/>
      <c r="Q10" s="228" t="s">
        <v>42</v>
      </c>
      <c r="R10" s="229" t="s">
        <v>37</v>
      </c>
      <c r="S10" s="229" t="s">
        <v>38</v>
      </c>
      <c r="T10" s="229" t="s">
        <v>40</v>
      </c>
      <c r="U10"/>
      <c r="V10"/>
      <c r="W10"/>
      <c r="X10" s="226" t="s">
        <v>95</v>
      </c>
      <c r="Y10" s="230" t="s">
        <v>169</v>
      </c>
      <c r="Z10"/>
      <c r="AA10"/>
      <c r="AB10"/>
    </row>
    <row r="11" spans="1:28" s="5" customFormat="1" ht="24.75" customHeight="1" x14ac:dyDescent="0.3">
      <c r="B11" s="39">
        <v>1</v>
      </c>
      <c r="C11" s="16">
        <v>7</v>
      </c>
      <c r="D11" s="16">
        <v>5</v>
      </c>
      <c r="E11" s="16">
        <v>41</v>
      </c>
      <c r="F11" s="191">
        <f>C11-5.4</f>
        <v>1.5999999999999996</v>
      </c>
      <c r="G11" s="201">
        <f>D11-5.5</f>
        <v>-0.5</v>
      </c>
      <c r="H11" s="201">
        <f>E11-34.3</f>
        <v>6.7000000000000028</v>
      </c>
      <c r="I11" s="35">
        <f>F11*G11</f>
        <v>-0.79999999999999982</v>
      </c>
      <c r="J11" s="201">
        <f>F11*H11</f>
        <v>10.720000000000002</v>
      </c>
      <c r="K11" s="201">
        <f>G11*H11</f>
        <v>-3.3500000000000014</v>
      </c>
      <c r="L11" s="35">
        <f>F11*F11</f>
        <v>2.5599999999999987</v>
      </c>
      <c r="M11" s="35">
        <f>G11*G11</f>
        <v>0.25</v>
      </c>
      <c r="N11" s="41"/>
      <c r="O11" s="30"/>
      <c r="P11" s="41"/>
      <c r="Q11" s="16">
        <f>13.264+2.488*C11+1.382*D11</f>
        <v>37.589999999999996</v>
      </c>
      <c r="R11" s="217">
        <f>(E11-Q11)*(E11-Q11)</f>
        <v>11.628100000000025</v>
      </c>
      <c r="S11" s="217">
        <f>(E11-34.3)*(E11-34.3)</f>
        <v>44.890000000000036</v>
      </c>
      <c r="T11" s="217">
        <f>(Q11-34.3)*(Q11-34.3)</f>
        <v>10.824099999999994</v>
      </c>
      <c r="U11"/>
      <c r="V11"/>
      <c r="W11"/>
      <c r="X11" s="227">
        <f>C11*D11</f>
        <v>35</v>
      </c>
      <c r="Y11" s="231">
        <f>F11*G11</f>
        <v>-0.79999999999999982</v>
      </c>
      <c r="Z11"/>
      <c r="AA11"/>
      <c r="AB11"/>
    </row>
    <row r="12" spans="1:28" ht="17.25" customHeight="1" x14ac:dyDescent="0.3">
      <c r="B12" s="39">
        <v>2</v>
      </c>
      <c r="C12" s="16">
        <v>3</v>
      </c>
      <c r="D12" s="16">
        <v>4</v>
      </c>
      <c r="E12" s="16">
        <v>27</v>
      </c>
      <c r="F12" s="191">
        <f t="shared" ref="F12:F20" si="0">C12-5.4</f>
        <v>-2.4000000000000004</v>
      </c>
      <c r="G12" s="201">
        <f t="shared" ref="G12:G20" si="1">D12-5.5</f>
        <v>-1.5</v>
      </c>
      <c r="H12" s="201">
        <f t="shared" ref="H12:H20" si="2">E12-34.3</f>
        <v>-7.2999999999999972</v>
      </c>
      <c r="I12" s="35">
        <f t="shared" ref="I12:I20" si="3">F12*G12</f>
        <v>3.6000000000000005</v>
      </c>
      <c r="J12" s="201">
        <f t="shared" ref="J12:J20" si="4">F12*H12</f>
        <v>17.519999999999996</v>
      </c>
      <c r="K12" s="201">
        <f t="shared" ref="K12:K20" si="5">G12*H12</f>
        <v>10.949999999999996</v>
      </c>
      <c r="L12" s="35">
        <f t="shared" ref="L12:M20" si="6">F12*F12</f>
        <v>5.7600000000000016</v>
      </c>
      <c r="M12" s="35">
        <f t="shared" si="6"/>
        <v>2.25</v>
      </c>
      <c r="N12" s="41"/>
      <c r="O12" s="30"/>
      <c r="P12" s="41"/>
      <c r="Q12" s="16">
        <f t="shared" ref="Q12:Q20" si="7">13.264+2.488*C12+1.382*D12</f>
        <v>26.256</v>
      </c>
      <c r="R12" s="217">
        <f t="shared" ref="R12:R20" si="8">(E12-Q12)*(E12-Q12)</f>
        <v>0.55353599999999969</v>
      </c>
      <c r="S12" s="217">
        <f t="shared" ref="S12:S20" si="9">(E12-34.3)*(E12-34.3)</f>
        <v>53.289999999999957</v>
      </c>
      <c r="T12" s="217">
        <f t="shared" ref="T12:T20" si="10">(Q12-34.3)*(Q12-34.3)</f>
        <v>64.705935999999951</v>
      </c>
      <c r="X12" s="225">
        <f t="shared" ref="X12:X20" si="11">C12*D12</f>
        <v>12</v>
      </c>
      <c r="Y12" s="231">
        <f t="shared" ref="Y12:Y20" si="12">F12*G12</f>
        <v>3.6000000000000005</v>
      </c>
    </row>
    <row r="13" spans="1:28" ht="18.75" x14ac:dyDescent="0.3">
      <c r="B13" s="39">
        <v>3</v>
      </c>
      <c r="C13" s="16">
        <v>5</v>
      </c>
      <c r="D13" s="16">
        <v>5</v>
      </c>
      <c r="E13" s="16">
        <v>35</v>
      </c>
      <c r="F13" s="191">
        <f t="shared" si="0"/>
        <v>-0.40000000000000036</v>
      </c>
      <c r="G13" s="201">
        <f t="shared" si="1"/>
        <v>-0.5</v>
      </c>
      <c r="H13" s="201">
        <f t="shared" si="2"/>
        <v>0.70000000000000284</v>
      </c>
      <c r="I13" s="35">
        <f t="shared" si="3"/>
        <v>0.20000000000000018</v>
      </c>
      <c r="J13" s="201">
        <f t="shared" si="4"/>
        <v>-0.28000000000000136</v>
      </c>
      <c r="K13" s="201">
        <f t="shared" si="5"/>
        <v>-0.35000000000000142</v>
      </c>
      <c r="L13" s="35">
        <f t="shared" si="6"/>
        <v>0.16000000000000028</v>
      </c>
      <c r="M13" s="35">
        <f t="shared" si="6"/>
        <v>0.25</v>
      </c>
      <c r="N13" s="41"/>
      <c r="O13" s="30"/>
      <c r="P13" s="41"/>
      <c r="Q13" s="16">
        <f t="shared" si="7"/>
        <v>32.613999999999997</v>
      </c>
      <c r="R13" s="217">
        <f t="shared" si="8"/>
        <v>5.6929960000000133</v>
      </c>
      <c r="S13" s="217">
        <f t="shared" si="9"/>
        <v>0.49000000000000399</v>
      </c>
      <c r="T13" s="217">
        <f t="shared" si="10"/>
        <v>2.8425959999999999</v>
      </c>
      <c r="X13" s="225">
        <f t="shared" si="11"/>
        <v>25</v>
      </c>
      <c r="Y13" s="231">
        <f t="shared" si="12"/>
        <v>0.20000000000000018</v>
      </c>
    </row>
    <row r="14" spans="1:28" ht="15" customHeight="1" x14ac:dyDescent="0.3">
      <c r="B14" s="39">
        <v>4</v>
      </c>
      <c r="C14" s="16">
        <v>3</v>
      </c>
      <c r="D14" s="16">
        <v>3</v>
      </c>
      <c r="E14" s="16">
        <v>26</v>
      </c>
      <c r="F14" s="191">
        <f t="shared" si="0"/>
        <v>-2.4000000000000004</v>
      </c>
      <c r="G14" s="201">
        <f t="shared" si="1"/>
        <v>-2.5</v>
      </c>
      <c r="H14" s="201">
        <f t="shared" si="2"/>
        <v>-8.2999999999999972</v>
      </c>
      <c r="I14" s="35">
        <f t="shared" si="3"/>
        <v>6.0000000000000009</v>
      </c>
      <c r="J14" s="201">
        <f t="shared" si="4"/>
        <v>19.919999999999995</v>
      </c>
      <c r="K14" s="201">
        <f t="shared" si="5"/>
        <v>20.749999999999993</v>
      </c>
      <c r="L14" s="35">
        <f t="shared" si="6"/>
        <v>5.7600000000000016</v>
      </c>
      <c r="M14" s="35">
        <f t="shared" si="6"/>
        <v>6.25</v>
      </c>
      <c r="N14" s="41"/>
      <c r="O14" s="30"/>
      <c r="P14" s="41"/>
      <c r="Q14" s="16">
        <f t="shared" si="7"/>
        <v>24.874000000000002</v>
      </c>
      <c r="R14" s="217">
        <f t="shared" si="8"/>
        <v>1.2678759999999947</v>
      </c>
      <c r="S14" s="217">
        <f t="shared" si="9"/>
        <v>68.889999999999958</v>
      </c>
      <c r="T14" s="217">
        <f t="shared" si="10"/>
        <v>88.849475999999896</v>
      </c>
      <c r="X14" s="225">
        <f t="shared" si="11"/>
        <v>9</v>
      </c>
      <c r="Y14" s="231">
        <f t="shared" si="12"/>
        <v>6.0000000000000009</v>
      </c>
    </row>
    <row r="15" spans="1:28" ht="18.75" x14ac:dyDescent="0.3">
      <c r="B15" s="39">
        <v>5</v>
      </c>
      <c r="C15" s="16">
        <v>8</v>
      </c>
      <c r="D15" s="16">
        <v>9</v>
      </c>
      <c r="E15" s="16">
        <v>48</v>
      </c>
      <c r="F15" s="191">
        <f t="shared" si="0"/>
        <v>2.5999999999999996</v>
      </c>
      <c r="G15" s="201">
        <f t="shared" si="1"/>
        <v>3.5</v>
      </c>
      <c r="H15" s="201">
        <f t="shared" si="2"/>
        <v>13.700000000000003</v>
      </c>
      <c r="I15" s="35">
        <f t="shared" si="3"/>
        <v>9.0999999999999979</v>
      </c>
      <c r="J15" s="201">
        <f t="shared" si="4"/>
        <v>35.620000000000005</v>
      </c>
      <c r="K15" s="201">
        <f t="shared" si="5"/>
        <v>47.95000000000001</v>
      </c>
      <c r="L15" s="35">
        <f t="shared" si="6"/>
        <v>6.759999999999998</v>
      </c>
      <c r="M15" s="35">
        <f t="shared" si="6"/>
        <v>12.25</v>
      </c>
      <c r="N15" s="41"/>
      <c r="O15" s="30"/>
      <c r="P15" s="41"/>
      <c r="Q15" s="16">
        <f t="shared" si="7"/>
        <v>45.605999999999995</v>
      </c>
      <c r="R15" s="217">
        <f t="shared" si="8"/>
        <v>5.7312360000000258</v>
      </c>
      <c r="S15" s="217">
        <f t="shared" si="9"/>
        <v>187.69000000000008</v>
      </c>
      <c r="T15" s="217">
        <f t="shared" si="10"/>
        <v>127.82563599999995</v>
      </c>
      <c r="X15" s="225">
        <f t="shared" si="11"/>
        <v>72</v>
      </c>
      <c r="Y15" s="231">
        <f t="shared" si="12"/>
        <v>9.0999999999999979</v>
      </c>
    </row>
    <row r="16" spans="1:28" ht="15" customHeight="1" x14ac:dyDescent="0.3">
      <c r="B16" s="39">
        <v>6</v>
      </c>
      <c r="C16" s="16">
        <v>7</v>
      </c>
      <c r="D16" s="16">
        <v>8</v>
      </c>
      <c r="E16" s="16">
        <v>45</v>
      </c>
      <c r="F16" s="191">
        <f t="shared" si="0"/>
        <v>1.5999999999999996</v>
      </c>
      <c r="G16" s="201">
        <f t="shared" si="1"/>
        <v>2.5</v>
      </c>
      <c r="H16" s="201">
        <f t="shared" si="2"/>
        <v>10.700000000000003</v>
      </c>
      <c r="I16" s="35">
        <f t="shared" si="3"/>
        <v>3.9999999999999991</v>
      </c>
      <c r="J16" s="201">
        <f t="shared" si="4"/>
        <v>17.12</v>
      </c>
      <c r="K16" s="201">
        <f t="shared" si="5"/>
        <v>26.750000000000007</v>
      </c>
      <c r="L16" s="35">
        <f t="shared" si="6"/>
        <v>2.5599999999999987</v>
      </c>
      <c r="M16" s="35">
        <f t="shared" si="6"/>
        <v>6.25</v>
      </c>
      <c r="N16" s="41"/>
      <c r="O16" s="30"/>
      <c r="P16" s="41"/>
      <c r="Q16" s="16">
        <f t="shared" si="7"/>
        <v>41.735999999999997</v>
      </c>
      <c r="R16" s="217">
        <f t="shared" si="8"/>
        <v>10.65369600000002</v>
      </c>
      <c r="S16" s="217">
        <f t="shared" si="9"/>
        <v>114.49000000000007</v>
      </c>
      <c r="T16" s="217">
        <f t="shared" si="10"/>
        <v>55.294095999999996</v>
      </c>
      <c r="X16" s="225">
        <f t="shared" si="11"/>
        <v>56</v>
      </c>
      <c r="Y16" s="231">
        <f t="shared" si="12"/>
        <v>3.9999999999999991</v>
      </c>
    </row>
    <row r="17" spans="2:28" ht="15" customHeight="1" x14ac:dyDescent="0.3">
      <c r="B17" s="39">
        <v>7</v>
      </c>
      <c r="C17" s="16">
        <v>10</v>
      </c>
      <c r="D17" s="16">
        <v>10</v>
      </c>
      <c r="E17" s="16">
        <v>46</v>
      </c>
      <c r="F17" s="191">
        <f t="shared" si="0"/>
        <v>4.5999999999999996</v>
      </c>
      <c r="G17" s="201">
        <f t="shared" si="1"/>
        <v>4.5</v>
      </c>
      <c r="H17" s="201">
        <f t="shared" si="2"/>
        <v>11.700000000000003</v>
      </c>
      <c r="I17" s="35">
        <f t="shared" si="3"/>
        <v>20.7</v>
      </c>
      <c r="J17" s="201">
        <f t="shared" si="4"/>
        <v>53.820000000000007</v>
      </c>
      <c r="K17" s="201">
        <f t="shared" si="5"/>
        <v>52.650000000000013</v>
      </c>
      <c r="L17" s="35">
        <f t="shared" si="6"/>
        <v>21.159999999999997</v>
      </c>
      <c r="M17" s="35">
        <f t="shared" si="6"/>
        <v>20.25</v>
      </c>
      <c r="N17" s="41"/>
      <c r="O17" s="30"/>
      <c r="P17" s="41"/>
      <c r="Q17" s="16">
        <f t="shared" si="7"/>
        <v>51.963999999999999</v>
      </c>
      <c r="R17" s="217">
        <f t="shared" si="8"/>
        <v>35.569295999999987</v>
      </c>
      <c r="S17" s="217">
        <f t="shared" si="9"/>
        <v>136.89000000000007</v>
      </c>
      <c r="T17" s="217">
        <f t="shared" si="10"/>
        <v>312.01689600000003</v>
      </c>
      <c r="X17" s="225">
        <f t="shared" si="11"/>
        <v>100</v>
      </c>
      <c r="Y17" s="231">
        <f t="shared" si="12"/>
        <v>20.7</v>
      </c>
    </row>
    <row r="18" spans="2:28" ht="15" customHeight="1" x14ac:dyDescent="0.3">
      <c r="B18" s="39">
        <v>8</v>
      </c>
      <c r="C18" s="16">
        <v>3</v>
      </c>
      <c r="D18" s="16">
        <v>5</v>
      </c>
      <c r="E18" s="16">
        <v>27</v>
      </c>
      <c r="F18" s="191">
        <f t="shared" si="0"/>
        <v>-2.4000000000000004</v>
      </c>
      <c r="G18" s="201">
        <f t="shared" si="1"/>
        <v>-0.5</v>
      </c>
      <c r="H18" s="201">
        <f t="shared" si="2"/>
        <v>-7.2999999999999972</v>
      </c>
      <c r="I18" s="35">
        <f t="shared" si="3"/>
        <v>1.2000000000000002</v>
      </c>
      <c r="J18" s="201">
        <f t="shared" si="4"/>
        <v>17.519999999999996</v>
      </c>
      <c r="K18" s="201">
        <f t="shared" si="5"/>
        <v>3.6499999999999986</v>
      </c>
      <c r="L18" s="35">
        <f t="shared" si="6"/>
        <v>5.7600000000000016</v>
      </c>
      <c r="M18" s="35">
        <f t="shared" si="6"/>
        <v>0.25</v>
      </c>
      <c r="N18" s="41"/>
      <c r="O18" s="30"/>
      <c r="P18" s="41"/>
      <c r="Q18" s="16">
        <f t="shared" si="7"/>
        <v>27.638000000000002</v>
      </c>
      <c r="R18" s="217">
        <f t="shared" si="8"/>
        <v>0.40704400000000213</v>
      </c>
      <c r="S18" s="217">
        <f t="shared" si="9"/>
        <v>53.289999999999957</v>
      </c>
      <c r="T18" s="217">
        <f t="shared" si="10"/>
        <v>44.382243999999943</v>
      </c>
      <c r="X18" s="225">
        <f t="shared" si="11"/>
        <v>15</v>
      </c>
      <c r="Y18" s="231">
        <f t="shared" si="12"/>
        <v>1.2000000000000002</v>
      </c>
    </row>
    <row r="19" spans="2:28" ht="15" customHeight="1" x14ac:dyDescent="0.3">
      <c r="B19" s="39">
        <v>9</v>
      </c>
      <c r="C19" s="16">
        <v>5</v>
      </c>
      <c r="D19" s="16">
        <v>3</v>
      </c>
      <c r="E19" s="16">
        <v>29</v>
      </c>
      <c r="F19" s="191">
        <f t="shared" si="0"/>
        <v>-0.40000000000000036</v>
      </c>
      <c r="G19" s="201">
        <f t="shared" si="1"/>
        <v>-2.5</v>
      </c>
      <c r="H19" s="201">
        <f t="shared" si="2"/>
        <v>-5.2999999999999972</v>
      </c>
      <c r="I19" s="35">
        <f t="shared" si="3"/>
        <v>1.0000000000000009</v>
      </c>
      <c r="J19" s="201">
        <f t="shared" si="4"/>
        <v>2.1200000000000006</v>
      </c>
      <c r="K19" s="201">
        <f t="shared" si="5"/>
        <v>13.249999999999993</v>
      </c>
      <c r="L19" s="35">
        <f t="shared" si="6"/>
        <v>0.16000000000000028</v>
      </c>
      <c r="M19" s="35">
        <f t="shared" si="6"/>
        <v>6.25</v>
      </c>
      <c r="N19" s="41"/>
      <c r="O19" s="30"/>
      <c r="P19" s="41"/>
      <c r="Q19" s="16">
        <f t="shared" si="7"/>
        <v>29.85</v>
      </c>
      <c r="R19" s="217">
        <f t="shared" si="8"/>
        <v>0.72250000000000236</v>
      </c>
      <c r="S19" s="217">
        <f t="shared" si="9"/>
        <v>28.089999999999971</v>
      </c>
      <c r="T19" s="217">
        <f t="shared" si="10"/>
        <v>19.802499999999963</v>
      </c>
      <c r="X19" s="225">
        <f t="shared" si="11"/>
        <v>15</v>
      </c>
      <c r="Y19" s="231">
        <f t="shared" si="12"/>
        <v>1.0000000000000009</v>
      </c>
    </row>
    <row r="20" spans="2:28" ht="18.75" customHeight="1" x14ac:dyDescent="0.3">
      <c r="B20" s="39">
        <v>10</v>
      </c>
      <c r="C20" s="16">
        <v>3</v>
      </c>
      <c r="D20" s="16">
        <v>3</v>
      </c>
      <c r="E20" s="16">
        <v>19</v>
      </c>
      <c r="F20" s="191">
        <f t="shared" si="0"/>
        <v>-2.4000000000000004</v>
      </c>
      <c r="G20" s="201">
        <f t="shared" si="1"/>
        <v>-2.5</v>
      </c>
      <c r="H20" s="201">
        <f t="shared" si="2"/>
        <v>-15.299999999999997</v>
      </c>
      <c r="I20" s="35">
        <f t="shared" si="3"/>
        <v>6.0000000000000009</v>
      </c>
      <c r="J20" s="201">
        <f t="shared" si="4"/>
        <v>36.72</v>
      </c>
      <c r="K20" s="201">
        <f t="shared" si="5"/>
        <v>38.249999999999993</v>
      </c>
      <c r="L20" s="35">
        <f t="shared" si="6"/>
        <v>5.7600000000000016</v>
      </c>
      <c r="M20" s="35">
        <f t="shared" si="6"/>
        <v>6.25</v>
      </c>
      <c r="N20" s="41"/>
      <c r="O20" s="30"/>
      <c r="P20" s="41"/>
      <c r="Q20" s="16">
        <f t="shared" si="7"/>
        <v>24.874000000000002</v>
      </c>
      <c r="R20" s="217">
        <f t="shared" si="8"/>
        <v>34.503876000000027</v>
      </c>
      <c r="S20" s="217">
        <f t="shared" si="9"/>
        <v>234.08999999999992</v>
      </c>
      <c r="T20" s="217">
        <f t="shared" si="10"/>
        <v>88.849475999999896</v>
      </c>
      <c r="X20" s="225">
        <f t="shared" si="11"/>
        <v>9</v>
      </c>
      <c r="Y20" s="231">
        <f t="shared" si="12"/>
        <v>6.0000000000000009</v>
      </c>
    </row>
    <row r="21" spans="2:28" ht="15" customHeight="1" x14ac:dyDescent="0.3">
      <c r="B21" s="58" t="s">
        <v>14</v>
      </c>
      <c r="C21" s="45">
        <f>SUM(C11:C20)</f>
        <v>54</v>
      </c>
      <c r="D21" s="45">
        <f>SUM(D11:D20)</f>
        <v>55</v>
      </c>
      <c r="E21" s="45">
        <f t="shared" ref="E21:M21" si="13">SUM(E11:E20)</f>
        <v>343</v>
      </c>
      <c r="F21" s="192">
        <f t="shared" si="13"/>
        <v>-3.5527136788005009E-15</v>
      </c>
      <c r="G21" s="202">
        <f t="shared" si="13"/>
        <v>0</v>
      </c>
      <c r="H21" s="202">
        <f t="shared" si="13"/>
        <v>2.8421709430404007E-14</v>
      </c>
      <c r="I21" s="51">
        <f t="shared" si="13"/>
        <v>51</v>
      </c>
      <c r="J21" s="202">
        <f t="shared" si="13"/>
        <v>210.79999999999998</v>
      </c>
      <c r="K21" s="202">
        <f t="shared" si="13"/>
        <v>210.5</v>
      </c>
      <c r="L21" s="51">
        <f t="shared" si="13"/>
        <v>56.400000000000006</v>
      </c>
      <c r="M21" s="51">
        <f t="shared" si="13"/>
        <v>60.5</v>
      </c>
      <c r="N21" s="41"/>
      <c r="O21" s="30"/>
      <c r="P21" s="41"/>
      <c r="Q21" s="45"/>
      <c r="R21" s="218">
        <f>SUM(R11:R20)</f>
        <v>106.73015600000008</v>
      </c>
      <c r="S21" s="218">
        <f>SUM(S11:S20)</f>
        <v>922.09999999999991</v>
      </c>
      <c r="T21" s="218">
        <f>SUM(T11:T20)</f>
        <v>815.39295599999946</v>
      </c>
      <c r="U21" s="13"/>
      <c r="X21" s="45">
        <f>SUM(X11:X20)</f>
        <v>348</v>
      </c>
      <c r="Y21" s="51">
        <f>SUM(Y11:Y20)</f>
        <v>51</v>
      </c>
    </row>
    <row r="22" spans="2:28" ht="18" thickBot="1" x14ac:dyDescent="0.35">
      <c r="B22" s="40"/>
      <c r="C22" s="12"/>
      <c r="D22" s="14"/>
      <c r="M22" s="47"/>
      <c r="N22" s="41"/>
      <c r="O22" s="30"/>
      <c r="P22" s="30"/>
      <c r="R22" s="212"/>
      <c r="S22" s="223" t="s">
        <v>162</v>
      </c>
      <c r="T22" s="224">
        <f>R21+T21</f>
        <v>922.12311199999954</v>
      </c>
      <c r="U22" s="30"/>
      <c r="V22" s="14"/>
      <c r="X22" s="11"/>
      <c r="Y22" s="209"/>
    </row>
    <row r="23" spans="2:28" ht="19.5" thickBot="1" x14ac:dyDescent="0.35">
      <c r="B23" s="67" t="s">
        <v>44</v>
      </c>
      <c r="C23" s="9"/>
      <c r="D23" s="9"/>
      <c r="E23" s="9"/>
      <c r="F23" s="193"/>
      <c r="G23" s="203"/>
      <c r="H23" s="203"/>
      <c r="I23" s="52"/>
      <c r="J23" s="207" t="s">
        <v>49</v>
      </c>
      <c r="K23" s="207"/>
      <c r="L23" s="60"/>
      <c r="M23" s="60"/>
      <c r="N23" s="41"/>
      <c r="O23" s="30"/>
      <c r="P23" s="276" t="s">
        <v>174</v>
      </c>
      <c r="Q23" s="240"/>
      <c r="R23" s="240"/>
      <c r="S23" s="240"/>
      <c r="T23" s="240"/>
      <c r="U23" s="241"/>
      <c r="V23" s="3"/>
      <c r="X23" s="11"/>
      <c r="Y23" s="209"/>
    </row>
    <row r="24" spans="2:28" ht="20.25" customHeight="1" thickBot="1" x14ac:dyDescent="0.35">
      <c r="B24" s="63" t="s">
        <v>170</v>
      </c>
      <c r="C24" s="59"/>
      <c r="D24" s="59"/>
      <c r="E24" s="59"/>
      <c r="F24" s="194"/>
      <c r="G24" s="204"/>
      <c r="H24" s="204"/>
      <c r="I24" s="65"/>
      <c r="J24" s="208" t="s">
        <v>154</v>
      </c>
      <c r="K24" s="207"/>
      <c r="L24" s="60"/>
      <c r="M24" s="60"/>
      <c r="N24" s="41"/>
      <c r="O24" s="30"/>
      <c r="P24" s="277" t="s">
        <v>175</v>
      </c>
      <c r="Q24" s="278"/>
      <c r="R24" s="279"/>
      <c r="S24" s="240"/>
      <c r="T24" s="240"/>
      <c r="U24" s="241"/>
      <c r="V24" s="3"/>
      <c r="X24" s="11"/>
      <c r="Y24" s="209"/>
    </row>
    <row r="25" spans="2:28" ht="17.25" x14ac:dyDescent="0.3">
      <c r="B25" s="63" t="s">
        <v>173</v>
      </c>
      <c r="C25" s="59"/>
      <c r="D25" s="59"/>
      <c r="E25" s="59"/>
      <c r="F25" s="194"/>
      <c r="G25" s="204"/>
      <c r="H25" s="204"/>
      <c r="I25" s="65"/>
      <c r="J25" s="208" t="s">
        <v>155</v>
      </c>
      <c r="K25" s="207"/>
      <c r="L25" s="60"/>
      <c r="M25" s="60"/>
      <c r="N25" s="41"/>
      <c r="O25" s="30"/>
      <c r="P25" s="41"/>
      <c r="Q25" s="9"/>
      <c r="R25" s="219"/>
      <c r="S25" s="219"/>
      <c r="T25" s="219"/>
      <c r="U25" s="3"/>
      <c r="V25" s="3"/>
      <c r="X25" s="11"/>
      <c r="Y25" s="209"/>
    </row>
    <row r="26" spans="2:28" ht="22.5" customHeight="1" x14ac:dyDescent="0.3">
      <c r="B26" s="63" t="s">
        <v>171</v>
      </c>
      <c r="C26" s="3"/>
      <c r="D26" s="3"/>
      <c r="E26" s="3"/>
      <c r="F26" s="195"/>
      <c r="G26" s="205"/>
      <c r="H26" s="205"/>
      <c r="I26" s="70"/>
      <c r="J26" s="203"/>
      <c r="K26" s="203"/>
      <c r="L26" s="203"/>
      <c r="M26" s="203"/>
      <c r="N26" s="41"/>
      <c r="O26" s="30"/>
      <c r="P26" s="14"/>
      <c r="Q26" s="261" t="s">
        <v>98</v>
      </c>
      <c r="R26" s="261"/>
      <c r="S26" s="220"/>
      <c r="T26" s="220"/>
      <c r="U26" s="14"/>
      <c r="V26" s="14"/>
      <c r="X26" s="261" t="s">
        <v>166</v>
      </c>
      <c r="Y26" s="261"/>
    </row>
    <row r="27" spans="2:28" ht="21" customHeight="1" x14ac:dyDescent="0.3">
      <c r="B27" s="63" t="s">
        <v>172</v>
      </c>
      <c r="C27" s="59"/>
      <c r="D27" s="59"/>
      <c r="E27" s="59"/>
      <c r="F27" s="194"/>
      <c r="G27" s="204"/>
      <c r="H27" s="204"/>
      <c r="I27" s="65"/>
      <c r="J27" s="203"/>
      <c r="K27" s="203"/>
      <c r="L27" s="52"/>
      <c r="M27" s="52"/>
      <c r="N27" s="52"/>
      <c r="O27" s="30"/>
      <c r="P27" s="14"/>
      <c r="Q27" s="234" t="s">
        <v>178</v>
      </c>
      <c r="R27" s="235"/>
      <c r="S27" s="235"/>
      <c r="T27" s="235"/>
      <c r="U27" s="235"/>
      <c r="V27" s="14"/>
      <c r="X27" s="260" t="s">
        <v>165</v>
      </c>
      <c r="Y27" s="244"/>
      <c r="Z27" s="244"/>
      <c r="AA27" s="244"/>
      <c r="AB27" s="244"/>
    </row>
    <row r="28" spans="2:28" ht="18" thickBot="1" x14ac:dyDescent="0.35">
      <c r="B28" s="41"/>
      <c r="C28" s="10"/>
      <c r="D28" s="10"/>
      <c r="E28" s="9"/>
      <c r="F28" s="193"/>
      <c r="G28" s="203"/>
      <c r="H28" s="203"/>
      <c r="I28" s="52"/>
      <c r="J28" s="203"/>
      <c r="K28" s="203"/>
      <c r="L28" s="52"/>
      <c r="M28" s="52"/>
      <c r="N28" s="52"/>
      <c r="O28" s="30"/>
      <c r="P28" s="14"/>
      <c r="Q28" s="14"/>
      <c r="R28" s="220"/>
      <c r="S28" s="220"/>
      <c r="T28" s="220"/>
      <c r="U28" s="14"/>
      <c r="V28" s="14"/>
      <c r="X28" s="235" t="s">
        <v>179</v>
      </c>
      <c r="Y28" s="235"/>
      <c r="Z28" s="101" t="s">
        <v>97</v>
      </c>
    </row>
    <row r="29" spans="2:28" ht="19.5" thickBot="1" x14ac:dyDescent="0.35">
      <c r="B29" s="276" t="s">
        <v>157</v>
      </c>
      <c r="C29" s="240"/>
      <c r="D29" s="240"/>
      <c r="E29" s="240"/>
      <c r="F29" s="240"/>
      <c r="G29" s="240"/>
      <c r="H29" s="240"/>
      <c r="I29" s="241"/>
      <c r="J29" s="203"/>
      <c r="K29" s="203"/>
      <c r="L29" s="52"/>
      <c r="M29" s="52"/>
      <c r="N29" s="41"/>
      <c r="O29" s="30"/>
      <c r="P29" s="14"/>
      <c r="Q29" s="261"/>
      <c r="R29" s="261"/>
      <c r="S29" s="220"/>
      <c r="T29" s="220"/>
      <c r="U29" s="14"/>
      <c r="V29" s="14"/>
      <c r="W29" s="14"/>
      <c r="X29" s="14"/>
      <c r="Y29" s="232"/>
      <c r="Z29" s="14"/>
      <c r="AA29" s="14"/>
      <c r="AB29" s="14"/>
    </row>
    <row r="30" spans="2:28" ht="18.75" x14ac:dyDescent="0.3">
      <c r="B30" s="57"/>
      <c r="C30" s="19"/>
      <c r="D30" s="19"/>
      <c r="E30" s="19"/>
      <c r="F30" s="196"/>
      <c r="G30" s="206"/>
      <c r="H30" s="206"/>
      <c r="I30" s="53"/>
      <c r="J30" s="203"/>
      <c r="K30" s="203"/>
      <c r="L30" s="52"/>
      <c r="M30" s="52"/>
      <c r="N30" s="41"/>
      <c r="O30" s="30"/>
      <c r="P30" s="14"/>
      <c r="Q30" s="234"/>
      <c r="R30" s="235"/>
      <c r="S30" s="235"/>
      <c r="T30" s="235"/>
      <c r="U30" s="235"/>
      <c r="V30" s="14"/>
      <c r="W30" s="14"/>
      <c r="X30" s="14"/>
      <c r="Y30" s="232"/>
      <c r="Z30" s="14"/>
      <c r="AA30" s="14"/>
      <c r="AB30" s="14"/>
    </row>
    <row r="31" spans="2:28" ht="22.5" customHeight="1" thickBot="1" x14ac:dyDescent="0.35">
      <c r="B31" s="263" t="s">
        <v>176</v>
      </c>
      <c r="C31" s="264"/>
      <c r="D31" s="264"/>
      <c r="E31" s="264"/>
      <c r="F31" s="264"/>
      <c r="G31" s="264"/>
      <c r="H31" s="264"/>
      <c r="I31" s="264"/>
      <c r="J31" s="60" t="s">
        <v>156</v>
      </c>
      <c r="K31" s="60"/>
      <c r="L31" s="60"/>
      <c r="M31" s="60"/>
      <c r="N31" s="41"/>
      <c r="O31" s="30"/>
      <c r="P31" s="14"/>
      <c r="Q31" s="14"/>
      <c r="R31" s="220"/>
      <c r="S31" s="220"/>
      <c r="T31" s="220"/>
      <c r="U31" s="14"/>
      <c r="V31" s="14"/>
      <c r="W31" s="14"/>
      <c r="X31" s="14"/>
      <c r="Y31" s="232"/>
      <c r="Z31" s="14"/>
      <c r="AA31" s="14"/>
      <c r="AB31" s="14"/>
    </row>
    <row r="32" spans="2:28" ht="27" customHeight="1" thickBot="1" x14ac:dyDescent="0.35">
      <c r="B32" s="265" t="s">
        <v>177</v>
      </c>
      <c r="C32" s="266"/>
      <c r="D32" s="267"/>
      <c r="E32" s="268"/>
      <c r="F32" s="268"/>
      <c r="G32" s="268"/>
      <c r="H32" s="268"/>
      <c r="I32" s="269"/>
      <c r="J32" s="199"/>
      <c r="K32" s="199"/>
      <c r="L32" s="199"/>
      <c r="M32" s="199"/>
      <c r="N32" s="41"/>
      <c r="O32" s="30"/>
      <c r="P32" s="30"/>
      <c r="Q32" s="30"/>
      <c r="V32" s="14"/>
      <c r="W32" s="14"/>
      <c r="X32" s="14"/>
      <c r="Y32" s="232"/>
      <c r="Z32" s="14"/>
      <c r="AA32" s="14"/>
      <c r="AB32" s="14"/>
    </row>
    <row r="33" spans="2:28" ht="18" customHeight="1" x14ac:dyDescent="0.3">
      <c r="B33" s="30"/>
      <c r="C33" s="30"/>
      <c r="D33" s="30"/>
      <c r="E33" s="30"/>
      <c r="F33" s="189"/>
      <c r="G33" s="199"/>
      <c r="H33" s="199"/>
      <c r="I33" s="186"/>
      <c r="J33" s="199"/>
      <c r="K33" s="199"/>
      <c r="L33" s="186"/>
      <c r="M33" s="186"/>
      <c r="N33" s="30"/>
      <c r="O33" s="30"/>
      <c r="P33" s="30"/>
      <c r="Q33" s="30"/>
      <c r="W33" s="14"/>
      <c r="X33" s="14"/>
      <c r="Y33" s="232"/>
      <c r="Z33" s="14"/>
      <c r="AA33" s="14"/>
      <c r="AB33" s="14"/>
    </row>
    <row r="34" spans="2:28" ht="17.25" x14ac:dyDescent="0.3">
      <c r="B34" s="30"/>
      <c r="C34" s="30"/>
      <c r="D34" s="30"/>
      <c r="E34" s="30"/>
      <c r="F34" s="189"/>
      <c r="G34" s="199"/>
      <c r="H34" s="199"/>
      <c r="I34" s="186"/>
      <c r="J34" s="199"/>
      <c r="K34" s="199"/>
      <c r="L34" s="186"/>
      <c r="M34" s="186"/>
      <c r="N34" s="30"/>
      <c r="O34" s="30"/>
      <c r="P34" s="30"/>
      <c r="Q34" s="30"/>
    </row>
    <row r="35" spans="2:28" ht="17.25" customHeight="1" x14ac:dyDescent="0.3">
      <c r="B35" s="30"/>
      <c r="C35" s="30"/>
      <c r="D35" s="30"/>
      <c r="E35" s="30"/>
      <c r="F35" s="189"/>
      <c r="G35" s="199"/>
      <c r="H35" s="199"/>
      <c r="I35" s="186"/>
      <c r="J35" s="199"/>
      <c r="K35" s="199"/>
      <c r="L35" s="186"/>
      <c r="M35" s="186"/>
      <c r="N35" s="30"/>
      <c r="O35" s="30"/>
      <c r="P35" s="30"/>
      <c r="Q35" s="30"/>
    </row>
    <row r="37" spans="2:28" ht="17.25" customHeight="1" x14ac:dyDescent="0.25"/>
  </sheetData>
  <mergeCells count="21">
    <mergeCell ref="B31:I31"/>
    <mergeCell ref="B32:I32"/>
    <mergeCell ref="P23:U23"/>
    <mergeCell ref="A2:L2"/>
    <mergeCell ref="B4:L4"/>
    <mergeCell ref="B6:M6"/>
    <mergeCell ref="B7:E7"/>
    <mergeCell ref="F7:M7"/>
    <mergeCell ref="B8:M8"/>
    <mergeCell ref="C9:M9"/>
    <mergeCell ref="B29:I29"/>
    <mergeCell ref="Q29:R29"/>
    <mergeCell ref="Q30:U30"/>
    <mergeCell ref="Q26:R26"/>
    <mergeCell ref="Q27:U27"/>
    <mergeCell ref="X26:Y26"/>
    <mergeCell ref="X27:AB27"/>
    <mergeCell ref="X28:Y28"/>
    <mergeCell ref="P7:U7"/>
    <mergeCell ref="Q9:S9"/>
    <mergeCell ref="P24:U2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B2DD5-B265-415B-AB65-991782F3D983}">
  <dimension ref="A2:AA37"/>
  <sheetViews>
    <sheetView zoomScale="78" zoomScaleNormal="78" workbookViewId="0">
      <selection activeCell="M37" sqref="M37"/>
    </sheetView>
  </sheetViews>
  <sheetFormatPr baseColWidth="10" defaultColWidth="9.140625" defaultRowHeight="15" x14ac:dyDescent="0.25"/>
  <cols>
    <col min="1" max="1" width="2" customWidth="1"/>
    <col min="2" max="2" width="8" style="40" customWidth="1"/>
    <col min="3" max="3" width="9.85546875" customWidth="1"/>
    <col min="4" max="4" width="9.42578125" customWidth="1"/>
    <col min="5" max="5" width="9.28515625" customWidth="1"/>
    <col min="6" max="6" width="14" style="40" customWidth="1"/>
    <col min="7" max="7" width="14.28515625" style="40" customWidth="1"/>
    <col min="8" max="8" width="15.28515625" style="47" customWidth="1"/>
    <col min="9" max="9" width="14.5703125" style="40" customWidth="1"/>
    <col min="10" max="11" width="11" style="47" customWidth="1"/>
    <col min="12" max="12" width="11.85546875" style="40" customWidth="1"/>
    <col min="13" max="13" width="13" style="40" customWidth="1"/>
    <col min="14" max="14" width="7" style="40" customWidth="1"/>
    <col min="15" max="15" width="4.42578125" style="40" customWidth="1"/>
    <col min="16" max="16" width="8.28515625" style="40" customWidth="1"/>
    <col min="17" max="17" width="10" customWidth="1"/>
    <col min="18" max="18" width="25.42578125" customWidth="1"/>
    <col min="19" max="19" width="22.28515625" customWidth="1"/>
    <col min="20" max="20" width="33.140625" customWidth="1"/>
    <col min="21" max="21" width="11.85546875" customWidth="1"/>
    <col min="22" max="22" width="2.5703125" customWidth="1"/>
    <col min="23" max="23" width="15.85546875" customWidth="1"/>
    <col min="24" max="24" width="19.7109375" customWidth="1"/>
    <col min="25" max="25" width="21.7109375" customWidth="1"/>
    <col min="26" max="26" width="16.28515625" customWidth="1"/>
  </cols>
  <sheetData>
    <row r="2" spans="1:27" x14ac:dyDescent="0.25">
      <c r="A2" s="14"/>
      <c r="B2" s="47"/>
      <c r="C2" s="47"/>
      <c r="D2" s="47"/>
      <c r="E2" s="47"/>
      <c r="F2" s="47"/>
      <c r="G2" s="47"/>
      <c r="I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</row>
    <row r="3" spans="1:27" ht="11.25" customHeight="1" x14ac:dyDescent="0.25">
      <c r="B3" s="47"/>
      <c r="C3" s="47"/>
      <c r="D3" s="47"/>
      <c r="E3" s="47"/>
      <c r="F3" s="47"/>
      <c r="G3" s="47"/>
      <c r="I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</row>
    <row r="4" spans="1:27" ht="48.75" customHeight="1" x14ac:dyDescent="0.25">
      <c r="B4" s="47"/>
      <c r="C4" s="47"/>
      <c r="D4" s="47"/>
      <c r="E4" s="47"/>
      <c r="F4" s="47"/>
      <c r="G4" s="47"/>
      <c r="I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</row>
    <row r="5" spans="1:27" ht="9.75" customHeight="1" x14ac:dyDescent="0.25">
      <c r="B5" s="47"/>
      <c r="C5" s="47"/>
      <c r="D5" s="47"/>
      <c r="E5" s="47"/>
      <c r="F5" s="47"/>
      <c r="G5" s="47"/>
      <c r="I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</row>
    <row r="6" spans="1:27" x14ac:dyDescent="0.25">
      <c r="B6" s="47"/>
      <c r="C6" s="47"/>
      <c r="D6" s="47"/>
      <c r="E6" s="47"/>
      <c r="F6" s="47"/>
      <c r="G6" s="47"/>
      <c r="I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</row>
    <row r="7" spans="1:27" ht="17.25" customHeight="1" x14ac:dyDescent="0.25">
      <c r="B7" s="47"/>
      <c r="C7" s="47"/>
      <c r="D7" s="47"/>
      <c r="E7" s="47"/>
      <c r="F7" s="47"/>
      <c r="G7" s="47"/>
      <c r="I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</row>
    <row r="8" spans="1:27" s="5" customFormat="1" ht="20.25" customHeight="1" x14ac:dyDescent="0.25"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/>
      <c r="Y8"/>
      <c r="Z8"/>
      <c r="AA8"/>
    </row>
    <row r="9" spans="1:27" ht="19.5" customHeight="1" x14ac:dyDescent="0.25">
      <c r="B9" s="47"/>
      <c r="C9" s="47"/>
      <c r="D9" s="47"/>
      <c r="E9" s="47"/>
      <c r="F9" s="47"/>
      <c r="G9" s="47"/>
      <c r="I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</row>
    <row r="10" spans="1:27" ht="51.75" customHeight="1" x14ac:dyDescent="0.25">
      <c r="B10" s="47"/>
      <c r="C10" s="47"/>
      <c r="D10" s="47"/>
      <c r="E10" s="47"/>
      <c r="F10" s="47"/>
      <c r="G10" s="47"/>
      <c r="I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</row>
    <row r="11" spans="1:27" ht="15" customHeight="1" x14ac:dyDescent="0.25">
      <c r="B11" s="47"/>
      <c r="C11" s="47"/>
      <c r="D11" s="47"/>
      <c r="E11" s="47"/>
      <c r="F11" s="47"/>
      <c r="G11" s="47"/>
      <c r="I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</row>
    <row r="12" spans="1:27" x14ac:dyDescent="0.25">
      <c r="B12" s="47"/>
      <c r="C12" s="47"/>
      <c r="D12" s="47"/>
      <c r="E12" s="47"/>
      <c r="F12" s="47"/>
      <c r="G12" s="47"/>
      <c r="I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</row>
    <row r="13" spans="1:27" ht="15" customHeight="1" x14ac:dyDescent="0.25">
      <c r="B13" s="47"/>
      <c r="C13" s="47"/>
      <c r="D13" s="47"/>
      <c r="E13" s="47"/>
      <c r="F13" s="47"/>
      <c r="G13" s="47"/>
      <c r="I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</row>
    <row r="14" spans="1:27" ht="15" customHeight="1" x14ac:dyDescent="0.25">
      <c r="B14" s="47"/>
      <c r="C14" s="47"/>
      <c r="D14" s="47"/>
      <c r="E14" s="47"/>
      <c r="F14" s="47"/>
      <c r="G14" s="47"/>
      <c r="I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</row>
    <row r="15" spans="1:27" ht="18.75" customHeight="1" x14ac:dyDescent="0.25">
      <c r="B15" s="47"/>
      <c r="C15" s="47"/>
      <c r="D15" s="47"/>
      <c r="E15" s="47"/>
      <c r="F15" s="47"/>
      <c r="G15" s="47"/>
      <c r="I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</row>
    <row r="16" spans="1:27" ht="18.75" customHeight="1" x14ac:dyDescent="0.25">
      <c r="B16" s="47"/>
      <c r="C16" s="47"/>
      <c r="D16" s="47"/>
      <c r="E16" s="47"/>
      <c r="F16" s="47"/>
      <c r="G16" s="47"/>
      <c r="I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</row>
    <row r="17" spans="2:25" ht="15" customHeight="1" x14ac:dyDescent="0.25">
      <c r="B17" s="47"/>
      <c r="C17" s="47"/>
      <c r="D17" s="47"/>
      <c r="E17" s="47"/>
      <c r="F17" s="47"/>
      <c r="G17" s="47"/>
      <c r="I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</row>
    <row r="18" spans="2:25" x14ac:dyDescent="0.25">
      <c r="B18" s="47"/>
      <c r="C18" s="47"/>
      <c r="D18" s="47"/>
      <c r="E18" s="47"/>
      <c r="F18" s="47"/>
      <c r="G18" s="47"/>
      <c r="I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</row>
    <row r="19" spans="2:25" ht="25.5" customHeight="1" x14ac:dyDescent="0.25">
      <c r="B19" s="47"/>
      <c r="C19" s="47"/>
      <c r="D19" s="47"/>
      <c r="E19" s="47"/>
      <c r="F19" s="47"/>
      <c r="G19" s="47"/>
      <c r="I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</row>
    <row r="20" spans="2:25" ht="20.25" customHeight="1" x14ac:dyDescent="0.25">
      <c r="B20" s="47"/>
      <c r="C20" s="47"/>
      <c r="D20" s="47"/>
      <c r="E20" s="47"/>
      <c r="F20" s="47"/>
      <c r="G20" s="47"/>
      <c r="I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</row>
    <row r="21" spans="2:25" x14ac:dyDescent="0.25">
      <c r="B21" s="47"/>
      <c r="C21" s="47"/>
      <c r="D21" s="47"/>
      <c r="E21" s="47"/>
      <c r="F21" s="47"/>
      <c r="G21" s="47"/>
      <c r="I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</row>
    <row r="22" spans="2:25" ht="21" customHeight="1" x14ac:dyDescent="0.25">
      <c r="B22" s="47"/>
      <c r="C22" s="47"/>
      <c r="D22" s="47"/>
      <c r="E22" s="47"/>
      <c r="F22" s="47"/>
      <c r="G22" s="47"/>
      <c r="I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</row>
    <row r="23" spans="2:25" x14ac:dyDescent="0.25">
      <c r="B23" s="47"/>
      <c r="C23" s="47"/>
      <c r="D23" s="47"/>
      <c r="E23" s="47"/>
      <c r="F23" s="47"/>
      <c r="G23" s="47"/>
      <c r="I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</row>
    <row r="24" spans="2:25" x14ac:dyDescent="0.25">
      <c r="B24" s="47"/>
      <c r="C24" s="47"/>
      <c r="D24" s="47"/>
      <c r="E24" s="47"/>
      <c r="F24" s="47"/>
      <c r="G24" s="47"/>
      <c r="I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Y24" s="11"/>
    </row>
    <row r="25" spans="2:25" x14ac:dyDescent="0.25">
      <c r="B25" s="47"/>
      <c r="C25" s="47"/>
      <c r="D25" s="47"/>
      <c r="E25" s="47"/>
      <c r="F25" s="47"/>
      <c r="G25" s="47"/>
      <c r="I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</row>
    <row r="26" spans="2:25" x14ac:dyDescent="0.25">
      <c r="B26" s="47"/>
      <c r="C26" s="47"/>
      <c r="D26" s="47"/>
      <c r="E26" s="47"/>
      <c r="F26" s="47"/>
      <c r="G26" s="47"/>
      <c r="I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</row>
    <row r="27" spans="2:25" ht="18" customHeight="1" x14ac:dyDescent="0.25">
      <c r="B27" s="47"/>
      <c r="C27" s="47"/>
      <c r="D27" s="47"/>
      <c r="E27" s="47"/>
      <c r="F27" s="47"/>
      <c r="G27" s="47"/>
      <c r="I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</row>
    <row r="28" spans="2:25" ht="9" customHeight="1" x14ac:dyDescent="0.25">
      <c r="B28" s="47"/>
      <c r="C28" s="47"/>
      <c r="D28" s="47"/>
      <c r="E28" s="47"/>
      <c r="F28" s="47"/>
      <c r="G28" s="47"/>
      <c r="I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</row>
    <row r="29" spans="2:25" ht="21" customHeight="1" x14ac:dyDescent="0.25">
      <c r="B29" s="47"/>
      <c r="C29" s="47"/>
      <c r="D29" s="47"/>
      <c r="E29" s="47"/>
      <c r="F29" s="47"/>
      <c r="G29" s="47"/>
      <c r="I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</row>
    <row r="30" spans="2:25" ht="21" customHeight="1" x14ac:dyDescent="0.25">
      <c r="B30" s="47"/>
      <c r="C30" s="47"/>
      <c r="D30" s="47"/>
      <c r="E30" s="47"/>
      <c r="F30" s="47"/>
      <c r="G30" s="47"/>
      <c r="I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</row>
    <row r="31" spans="2:25" x14ac:dyDescent="0.25">
      <c r="B31" s="47"/>
      <c r="C31" s="47"/>
      <c r="D31" s="47"/>
      <c r="E31" s="47"/>
      <c r="F31" s="47"/>
      <c r="G31" s="47"/>
      <c r="I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</row>
    <row r="32" spans="2:25" x14ac:dyDescent="0.25">
      <c r="B32" s="47"/>
      <c r="C32" s="47"/>
      <c r="D32" s="47"/>
      <c r="E32" s="47"/>
      <c r="F32" s="47"/>
      <c r="G32" s="47"/>
      <c r="I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</row>
    <row r="33" spans="2:23" x14ac:dyDescent="0.25">
      <c r="B33" s="47"/>
      <c r="C33" s="47"/>
      <c r="D33" s="47"/>
      <c r="E33" s="47"/>
      <c r="F33" s="47"/>
      <c r="G33" s="47"/>
      <c r="I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</row>
    <row r="34" spans="2:23" x14ac:dyDescent="0.25">
      <c r="B34" s="47"/>
      <c r="C34" s="47"/>
      <c r="D34" s="47"/>
      <c r="E34" s="47"/>
      <c r="F34" s="47"/>
      <c r="G34" s="47"/>
      <c r="I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2:23" x14ac:dyDescent="0.25">
      <c r="G35" s="47"/>
    </row>
    <row r="37" spans="2:23" x14ac:dyDescent="0.25">
      <c r="W37" s="14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86E57-C379-4A39-8279-606112C16158}">
  <dimension ref="A2:AA31"/>
  <sheetViews>
    <sheetView zoomScale="75" zoomScaleNormal="75" workbookViewId="0">
      <selection activeCell="I34" sqref="I34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17" customWidth="1"/>
    <col min="4" max="4" width="13.7109375" customWidth="1"/>
    <col min="5" max="5" width="19.28515625" customWidth="1"/>
    <col min="6" max="6" width="18.28515625" customWidth="1"/>
    <col min="7" max="7" width="13.28515625" style="47" customWidth="1"/>
    <col min="8" max="8" width="25.140625" style="124" customWidth="1"/>
    <col min="9" max="9" width="24.7109375" style="124" customWidth="1"/>
    <col min="10" max="10" width="12" style="124" customWidth="1"/>
    <col min="11" max="11" width="29.5703125" style="124" customWidth="1"/>
    <col min="12" max="12" width="13.42578125" style="124" customWidth="1"/>
    <col min="13" max="13" width="4.140625" style="124" customWidth="1"/>
    <col min="14" max="14" width="23.140625" style="124" customWidth="1"/>
    <col min="15" max="15" width="25" style="132" customWidth="1"/>
    <col min="16" max="16" width="26.42578125" style="132" customWidth="1"/>
    <col min="17" max="17" width="9.42578125" style="132" customWidth="1"/>
    <col min="18" max="18" width="28.85546875" style="132" customWidth="1"/>
    <col min="19" max="19" width="14.42578125" style="132" customWidth="1"/>
    <col min="20" max="20" width="18.5703125" style="132" customWidth="1"/>
    <col min="21" max="22" width="18.5703125" customWidth="1"/>
    <col min="23" max="23" width="28.28515625" customWidth="1"/>
    <col min="24" max="24" width="11.5703125" customWidth="1"/>
    <col min="25" max="25" width="25.85546875" customWidth="1"/>
    <col min="26" max="26" width="23.7109375" customWidth="1"/>
    <col min="27" max="27" width="24.85546875" customWidth="1"/>
  </cols>
  <sheetData>
    <row r="2" spans="1:27" ht="26.25" customHeight="1" x14ac:dyDescent="0.3">
      <c r="A2" s="14"/>
      <c r="B2" s="242" t="s">
        <v>122</v>
      </c>
      <c r="C2" s="242"/>
      <c r="D2" s="242"/>
      <c r="E2" s="242"/>
      <c r="F2" s="293"/>
      <c r="G2" s="293"/>
      <c r="H2" s="293"/>
      <c r="I2" s="293"/>
      <c r="J2" s="293"/>
      <c r="K2" s="294"/>
      <c r="L2" s="244"/>
    </row>
    <row r="3" spans="1:27" ht="11.25" customHeight="1" x14ac:dyDescent="0.3">
      <c r="B3" s="1"/>
      <c r="C3" s="1"/>
      <c r="D3" s="1"/>
      <c r="E3" s="1"/>
    </row>
    <row r="4" spans="1:27" ht="18.75" customHeight="1" x14ac:dyDescent="0.3">
      <c r="B4" s="259" t="s">
        <v>108</v>
      </c>
      <c r="C4" s="244"/>
      <c r="D4" s="244"/>
      <c r="E4" s="244"/>
      <c r="F4" s="244"/>
      <c r="G4" s="244"/>
      <c r="H4" s="244"/>
      <c r="I4" s="113"/>
      <c r="J4" s="113"/>
      <c r="K4" s="296" t="s">
        <v>123</v>
      </c>
      <c r="L4" s="297"/>
      <c r="O4" s="124"/>
      <c r="P4" s="124"/>
      <c r="Q4" s="124"/>
      <c r="R4" s="124"/>
      <c r="S4" s="124"/>
      <c r="T4" s="124"/>
      <c r="U4" s="117"/>
      <c r="V4" s="117"/>
      <c r="W4" s="117"/>
      <c r="X4" s="117"/>
      <c r="Y4" s="117"/>
      <c r="Z4" s="113"/>
      <c r="AA4" s="113"/>
    </row>
    <row r="5" spans="1:27" ht="9.75" customHeight="1" x14ac:dyDescent="0.3">
      <c r="B5" s="116"/>
      <c r="C5" s="117"/>
      <c r="D5" s="117"/>
      <c r="E5" s="117"/>
      <c r="F5" s="117"/>
      <c r="G5" s="49"/>
      <c r="H5" s="125"/>
      <c r="I5" s="131"/>
      <c r="J5" s="131"/>
      <c r="K5" s="297"/>
      <c r="L5" s="297"/>
      <c r="O5" s="124"/>
      <c r="P5" s="124"/>
      <c r="Q5" s="124"/>
      <c r="R5" s="124"/>
      <c r="S5" s="124"/>
      <c r="T5" s="124"/>
    </row>
    <row r="6" spans="1:27" ht="17.25" customHeight="1" x14ac:dyDescent="0.3">
      <c r="B6" s="257" t="s">
        <v>1</v>
      </c>
      <c r="C6" s="258"/>
      <c r="D6" s="258"/>
      <c r="E6" s="258"/>
      <c r="F6" s="258"/>
      <c r="G6" s="258"/>
      <c r="H6" s="126"/>
      <c r="K6" s="297"/>
      <c r="L6" s="297"/>
      <c r="O6" s="124"/>
      <c r="P6" s="124"/>
      <c r="Q6" s="124"/>
      <c r="R6" s="124"/>
      <c r="S6" s="124"/>
      <c r="T6" s="124"/>
      <c r="U6" s="120"/>
      <c r="V6" s="120"/>
      <c r="W6" s="120"/>
      <c r="X6" s="120"/>
      <c r="Y6" s="120"/>
      <c r="Z6" s="113"/>
      <c r="AA6" s="113"/>
    </row>
    <row r="7" spans="1:27" ht="17.25" customHeight="1" x14ac:dyDescent="0.3">
      <c r="B7" s="121" t="s">
        <v>71</v>
      </c>
      <c r="C7" s="121"/>
      <c r="D7" s="121"/>
      <c r="E7" s="118" t="s">
        <v>75</v>
      </c>
      <c r="F7" s="119"/>
      <c r="G7" s="119"/>
      <c r="H7" s="119"/>
      <c r="I7" s="113"/>
      <c r="J7" s="113"/>
      <c r="K7" s="297"/>
      <c r="L7" s="297"/>
      <c r="O7" s="124"/>
      <c r="P7" s="124"/>
      <c r="Q7" s="124"/>
      <c r="R7" s="124"/>
      <c r="S7" s="124"/>
      <c r="T7" s="124"/>
      <c r="U7" s="121"/>
      <c r="V7" s="118"/>
      <c r="W7" s="119"/>
      <c r="X7" s="119"/>
      <c r="Y7" s="119"/>
      <c r="Z7" s="113"/>
      <c r="AA7" s="113"/>
    </row>
    <row r="8" spans="1:27" s="5" customFormat="1" ht="18.75" customHeight="1" x14ac:dyDescent="0.25">
      <c r="B8" s="245" t="s">
        <v>105</v>
      </c>
      <c r="C8" s="295"/>
      <c r="D8" s="295"/>
      <c r="E8" s="295"/>
      <c r="F8" s="295"/>
      <c r="G8" s="295"/>
      <c r="H8" s="295"/>
      <c r="I8" s="295"/>
      <c r="J8" s="115"/>
      <c r="K8" s="297"/>
      <c r="L8" s="297"/>
      <c r="M8" s="124"/>
      <c r="N8" s="124"/>
      <c r="O8" s="124"/>
      <c r="P8" s="124"/>
      <c r="Q8" s="124"/>
      <c r="R8" s="124"/>
      <c r="S8" s="124"/>
      <c r="T8" s="124"/>
      <c r="U8" s="115"/>
      <c r="V8" s="110"/>
      <c r="W8" s="115"/>
      <c r="X8" s="115"/>
      <c r="Y8" s="115"/>
      <c r="Z8" s="115"/>
      <c r="AA8" s="113"/>
    </row>
    <row r="9" spans="1:27" s="5" customFormat="1" ht="9" customHeight="1" x14ac:dyDescent="0.25">
      <c r="B9" s="114"/>
      <c r="C9" s="115"/>
      <c r="D9" s="115"/>
      <c r="E9" s="115"/>
      <c r="F9" s="115"/>
      <c r="G9" s="88"/>
      <c r="H9" s="127"/>
      <c r="I9" s="127"/>
      <c r="J9" s="127"/>
      <c r="K9" s="133"/>
      <c r="L9" s="133"/>
      <c r="M9" s="124"/>
      <c r="N9" s="124"/>
      <c r="O9" s="124"/>
      <c r="P9" s="124"/>
      <c r="Q9" s="124"/>
      <c r="R9" s="124"/>
      <c r="S9" s="124"/>
      <c r="T9" s="124"/>
    </row>
    <row r="10" spans="1:27" ht="26.25" customHeight="1" x14ac:dyDescent="0.3">
      <c r="B10" s="2"/>
      <c r="C10" s="254" t="s">
        <v>107</v>
      </c>
      <c r="D10" s="255"/>
      <c r="E10" s="255"/>
      <c r="F10" s="256"/>
      <c r="G10" s="287" t="s">
        <v>106</v>
      </c>
      <c r="H10" s="288"/>
      <c r="I10" s="288"/>
      <c r="J10" s="252"/>
      <c r="K10" s="289" t="s">
        <v>22</v>
      </c>
      <c r="L10" s="290"/>
      <c r="O10" s="124"/>
      <c r="P10" s="124"/>
      <c r="Q10" s="124"/>
      <c r="R10" s="124"/>
      <c r="S10" s="124"/>
      <c r="T10" s="124"/>
      <c r="U10" s="5"/>
      <c r="V10" s="5"/>
      <c r="W10" s="5"/>
      <c r="X10" s="5"/>
    </row>
    <row r="11" spans="1:27" ht="33.75" customHeight="1" x14ac:dyDescent="0.25">
      <c r="B11" s="15" t="s">
        <v>8</v>
      </c>
      <c r="C11" s="32" t="s">
        <v>96</v>
      </c>
      <c r="D11" s="32" t="s">
        <v>102</v>
      </c>
      <c r="E11" s="33" t="s">
        <v>5</v>
      </c>
      <c r="F11" s="33" t="s">
        <v>6</v>
      </c>
      <c r="G11" s="123" t="s">
        <v>7</v>
      </c>
      <c r="H11" s="128" t="s">
        <v>20</v>
      </c>
      <c r="I11" s="128" t="s">
        <v>19</v>
      </c>
      <c r="J11" s="139" t="s">
        <v>109</v>
      </c>
      <c r="K11" s="142" t="s">
        <v>23</v>
      </c>
      <c r="L11" s="158" t="s">
        <v>109</v>
      </c>
      <c r="O11" s="124"/>
      <c r="P11" s="124"/>
      <c r="Q11" s="124"/>
      <c r="R11" s="124"/>
      <c r="S11" s="124"/>
      <c r="T11" s="124"/>
    </row>
    <row r="12" spans="1:27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>
        <f>1.5+0.5*C12</f>
        <v>2</v>
      </c>
      <c r="H12" s="129">
        <f>(D12-G12)*(D12-G12)</f>
        <v>0</v>
      </c>
      <c r="I12" s="129">
        <f>(D12-7/3)*(D12-7/3)</f>
        <v>0.11111111111111122</v>
      </c>
      <c r="J12" s="137">
        <f xml:space="preserve"> 1-H12/G12</f>
        <v>1</v>
      </c>
      <c r="K12" s="129">
        <f>POWER(G12-7/3, 2)</f>
        <v>0.11111111111111122</v>
      </c>
      <c r="L12" s="129"/>
      <c r="O12" s="124"/>
      <c r="P12" s="124"/>
      <c r="Q12" s="124"/>
      <c r="R12" s="124"/>
      <c r="S12" s="124"/>
      <c r="T12" s="124"/>
    </row>
    <row r="13" spans="1:27" ht="15.75" x14ac:dyDescent="0.25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>
        <f t="shared" ref="G13:G14" si="2">1.5+0.5*C13</f>
        <v>3</v>
      </c>
      <c r="H13" s="129">
        <f t="shared" ref="H13:H14" si="3">(D13-G13)*(D13-G13)</f>
        <v>0</v>
      </c>
      <c r="I13" s="129">
        <f t="shared" ref="I13:I14" si="4">(D13-7/3)*(D13-7/3)</f>
        <v>0.44444444444444425</v>
      </c>
      <c r="J13" s="137">
        <f t="shared" ref="J13:J14" si="5" xml:space="preserve"> 1-H13/G13</f>
        <v>1</v>
      </c>
      <c r="K13" s="129">
        <f t="shared" ref="K13:K14" si="6">POWER(G13-7/3, 2)</f>
        <v>0.44444444444444425</v>
      </c>
      <c r="L13" s="129"/>
      <c r="O13" s="124"/>
      <c r="P13" s="124"/>
      <c r="Q13" s="124"/>
      <c r="R13" s="124"/>
      <c r="S13" s="124"/>
      <c r="T13" s="124"/>
    </row>
    <row r="14" spans="1:27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>
        <f t="shared" si="2"/>
        <v>2.5</v>
      </c>
      <c r="H14" s="129">
        <f t="shared" si="3"/>
        <v>0.25</v>
      </c>
      <c r="I14" s="129">
        <f t="shared" si="4"/>
        <v>0.11111111111111122</v>
      </c>
      <c r="J14" s="137">
        <f t="shared" si="5"/>
        <v>0.9</v>
      </c>
      <c r="K14" s="129">
        <f t="shared" si="6"/>
        <v>2.7777777777777728E-2</v>
      </c>
      <c r="L14" s="129"/>
      <c r="O14" s="124"/>
      <c r="P14" s="124"/>
      <c r="Q14" s="124"/>
      <c r="R14" s="124"/>
      <c r="S14" s="124"/>
      <c r="T14" s="124"/>
    </row>
    <row r="15" spans="1:27" ht="15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/>
      <c r="H15" s="130">
        <f>SUM(H12:H14)</f>
        <v>0.25</v>
      </c>
      <c r="I15" s="130">
        <f t="shared" ref="I15:K15" si="7">SUM(I12:I14)</f>
        <v>0.66666666666666674</v>
      </c>
      <c r="J15" s="140">
        <f xml:space="preserve"> 1-H15/I15</f>
        <v>0.625</v>
      </c>
      <c r="K15" s="130">
        <f t="shared" si="7"/>
        <v>0.58333333333333315</v>
      </c>
      <c r="L15" s="135">
        <f xml:space="preserve"> K15/I15</f>
        <v>0.87499999999999967</v>
      </c>
      <c r="O15" s="124"/>
      <c r="P15" s="124"/>
      <c r="Q15" s="124"/>
      <c r="R15" s="124"/>
      <c r="S15" s="124"/>
      <c r="T15" s="124"/>
    </row>
    <row r="16" spans="1:27" ht="20.25" customHeight="1" x14ac:dyDescent="0.25">
      <c r="C16" s="14"/>
      <c r="K16" s="143">
        <f>K15+H15</f>
        <v>0.83333333333333315</v>
      </c>
      <c r="L16" s="145" t="s">
        <v>110</v>
      </c>
      <c r="O16" s="124"/>
      <c r="P16" s="124"/>
      <c r="Q16" s="124"/>
      <c r="R16" s="124"/>
      <c r="S16" s="124"/>
      <c r="T16" s="124"/>
    </row>
    <row r="17" spans="2:24" ht="21" x14ac:dyDescent="0.35">
      <c r="B17" s="4"/>
      <c r="C17" s="9"/>
      <c r="D17" s="9"/>
      <c r="E17" s="9"/>
      <c r="F17" s="9"/>
      <c r="G17" s="298" t="s">
        <v>106</v>
      </c>
      <c r="H17" s="299"/>
      <c r="I17" s="299"/>
      <c r="J17" s="300"/>
      <c r="K17" s="301" t="s">
        <v>22</v>
      </c>
      <c r="L17" s="290"/>
      <c r="O17" s="124"/>
      <c r="P17" s="124"/>
      <c r="Q17" s="124"/>
      <c r="R17" s="124"/>
      <c r="S17" s="124"/>
      <c r="T17" s="124"/>
      <c r="X17" s="27"/>
    </row>
    <row r="18" spans="2:24" ht="27.75" customHeight="1" x14ac:dyDescent="0.35">
      <c r="B18" s="121"/>
      <c r="C18" s="117"/>
      <c r="D18" s="117"/>
      <c r="E18" s="117"/>
      <c r="F18" s="117"/>
      <c r="G18" s="138" t="s">
        <v>7</v>
      </c>
      <c r="H18" s="138" t="s">
        <v>20</v>
      </c>
      <c r="I18" s="138" t="s">
        <v>19</v>
      </c>
      <c r="J18" s="141" t="s">
        <v>109</v>
      </c>
      <c r="K18" s="138" t="s">
        <v>23</v>
      </c>
      <c r="L18" s="159" t="s">
        <v>109</v>
      </c>
      <c r="O18" s="124"/>
      <c r="P18" s="124"/>
      <c r="Q18" s="124"/>
      <c r="R18" s="124"/>
      <c r="S18" s="124"/>
      <c r="T18" s="124"/>
      <c r="X18" s="27"/>
    </row>
    <row r="19" spans="2:24" ht="21.75" customHeight="1" x14ac:dyDescent="0.35">
      <c r="B19" s="136"/>
      <c r="C19" s="136"/>
      <c r="D19" s="136"/>
      <c r="E19" s="136"/>
      <c r="F19" s="136"/>
      <c r="G19" s="89">
        <f>1.25+0.5*C12</f>
        <v>1.75</v>
      </c>
      <c r="H19" s="129">
        <f>(D12-G19)*(D12-G19)</f>
        <v>6.25E-2</v>
      </c>
      <c r="I19" s="129">
        <f>(D12-7/3)*(D12-7/3)</f>
        <v>0.11111111111111122</v>
      </c>
      <c r="J19" s="137"/>
      <c r="K19" s="129">
        <f>POWER(G19-7/3, 2)</f>
        <v>0.34027777777777796</v>
      </c>
      <c r="L19" s="129"/>
      <c r="O19" s="124"/>
      <c r="P19" s="124"/>
      <c r="Q19" s="124"/>
      <c r="R19" s="124"/>
      <c r="S19" s="124"/>
      <c r="T19" s="124"/>
      <c r="X19" s="27"/>
    </row>
    <row r="20" spans="2:24" ht="21" x14ac:dyDescent="0.35">
      <c r="B20" s="136"/>
      <c r="C20" s="136"/>
      <c r="D20" s="136"/>
      <c r="E20" s="136"/>
      <c r="F20" s="136"/>
      <c r="G20" s="89">
        <f t="shared" ref="G20:G21" si="8">1.25+0.5*C13</f>
        <v>2.75</v>
      </c>
      <c r="H20" s="129">
        <f t="shared" ref="H20:H21" si="9">(D13-G20)*(D13-G20)</f>
        <v>6.25E-2</v>
      </c>
      <c r="I20" s="129">
        <f t="shared" ref="I20:I21" si="10">(D13-7/3)*(D13-7/3)</f>
        <v>0.44444444444444425</v>
      </c>
      <c r="J20" s="137"/>
      <c r="K20" s="129">
        <f t="shared" ref="K20:K21" si="11">POWER(G20-7/3, 2)</f>
        <v>0.17361111111111099</v>
      </c>
      <c r="L20" s="129"/>
      <c r="O20" s="124"/>
      <c r="P20" s="124"/>
      <c r="Q20" s="124"/>
      <c r="R20" s="124"/>
      <c r="S20" s="124"/>
      <c r="T20" s="124"/>
      <c r="X20" s="27"/>
    </row>
    <row r="21" spans="2:24" ht="15.75" x14ac:dyDescent="0.25">
      <c r="B21" s="136"/>
      <c r="C21" s="136"/>
      <c r="D21" s="136"/>
      <c r="E21" s="136"/>
      <c r="F21" s="136"/>
      <c r="G21" s="89">
        <f t="shared" si="8"/>
        <v>2.25</v>
      </c>
      <c r="H21" s="129">
        <f t="shared" si="9"/>
        <v>6.25E-2</v>
      </c>
      <c r="I21" s="129">
        <f t="shared" si="10"/>
        <v>0.11111111111111122</v>
      </c>
      <c r="J21" s="137"/>
      <c r="K21" s="129">
        <f t="shared" si="11"/>
        <v>6.9444444444444692E-3</v>
      </c>
      <c r="L21" s="134"/>
      <c r="O21" s="124"/>
      <c r="P21" s="124"/>
      <c r="Q21" s="124"/>
      <c r="R21" s="124"/>
      <c r="S21" s="124"/>
      <c r="T21" s="124"/>
    </row>
    <row r="22" spans="2:24" ht="15.75" x14ac:dyDescent="0.25">
      <c r="B22" s="136"/>
      <c r="C22" s="136"/>
      <c r="D22" s="136"/>
      <c r="E22" s="136"/>
      <c r="F22" s="136"/>
      <c r="G22" s="130"/>
      <c r="H22" s="130">
        <f>SUM(H19:H21)</f>
        <v>0.1875</v>
      </c>
      <c r="I22" s="130">
        <f t="shared" ref="I22:K22" si="12">SUM(I19:I21)</f>
        <v>0.66666666666666674</v>
      </c>
      <c r="J22" s="144">
        <f xml:space="preserve"> 1-H22/I22</f>
        <v>0.71875</v>
      </c>
      <c r="K22" s="130">
        <f t="shared" si="12"/>
        <v>0.52083333333333337</v>
      </c>
      <c r="L22" s="135">
        <f xml:space="preserve"> K22/I22</f>
        <v>0.78125</v>
      </c>
      <c r="O22" s="124"/>
      <c r="P22" s="124"/>
      <c r="Q22" s="124"/>
      <c r="R22" s="124"/>
      <c r="S22" s="124"/>
      <c r="T22" s="124"/>
    </row>
    <row r="23" spans="2:24" ht="22.5" customHeight="1" x14ac:dyDescent="0.3">
      <c r="B23" s="136"/>
      <c r="C23" s="136"/>
      <c r="D23" s="136"/>
      <c r="E23" s="136"/>
      <c r="F23" s="136"/>
      <c r="G23" s="136"/>
      <c r="H23" s="49"/>
      <c r="K23" s="124">
        <f>H22+K22</f>
        <v>0.70833333333333337</v>
      </c>
      <c r="L23" s="145" t="s">
        <v>110</v>
      </c>
      <c r="O23" s="124"/>
      <c r="P23" s="124"/>
      <c r="Q23" s="124"/>
      <c r="R23" s="124"/>
      <c r="S23" s="124"/>
      <c r="T23" s="124"/>
    </row>
    <row r="24" spans="2:24" ht="18.75" customHeight="1" x14ac:dyDescent="0.3">
      <c r="B24" s="136"/>
      <c r="C24" s="136"/>
      <c r="D24" s="136"/>
      <c r="E24" s="136"/>
      <c r="F24" s="136"/>
      <c r="G24" s="152" t="s">
        <v>113</v>
      </c>
      <c r="H24" s="152"/>
      <c r="I24" s="153"/>
      <c r="O24" s="124"/>
      <c r="P24" s="124"/>
      <c r="Q24" s="124"/>
      <c r="R24" s="124"/>
      <c r="S24" s="124"/>
      <c r="T24" s="124"/>
    </row>
    <row r="25" spans="2:24" ht="18" customHeight="1" x14ac:dyDescent="0.3">
      <c r="B25" s="136"/>
      <c r="C25" s="136"/>
      <c r="D25" s="136"/>
      <c r="E25" s="136"/>
      <c r="F25" s="136"/>
      <c r="G25" s="291" t="s">
        <v>18</v>
      </c>
      <c r="H25" s="292"/>
      <c r="I25" s="292"/>
      <c r="J25" s="252"/>
      <c r="K25" s="150" t="s">
        <v>22</v>
      </c>
      <c r="L25" s="150"/>
      <c r="O25" s="124"/>
      <c r="P25" s="124"/>
      <c r="Q25" s="124"/>
      <c r="R25" s="124"/>
      <c r="S25" s="124"/>
      <c r="T25" s="124"/>
    </row>
    <row r="26" spans="2:24" ht="18.75" x14ac:dyDescent="0.25">
      <c r="B26" s="136"/>
      <c r="C26" s="136"/>
      <c r="D26" s="136"/>
      <c r="E26" s="136"/>
      <c r="F26" s="136"/>
      <c r="G26" s="146" t="s">
        <v>111</v>
      </c>
      <c r="H26" s="147" t="s">
        <v>112</v>
      </c>
      <c r="I26" s="147" t="s">
        <v>19</v>
      </c>
      <c r="J26" s="148" t="s">
        <v>109</v>
      </c>
      <c r="K26" s="151" t="s">
        <v>23</v>
      </c>
      <c r="L26" s="160" t="s">
        <v>109</v>
      </c>
      <c r="O26" s="124"/>
      <c r="P26" s="124"/>
      <c r="Q26" s="124"/>
      <c r="R26" s="124"/>
      <c r="S26" s="124"/>
      <c r="T26" s="124"/>
    </row>
    <row r="27" spans="2:24" ht="17.25" customHeight="1" x14ac:dyDescent="0.25">
      <c r="B27" s="136"/>
      <c r="C27" s="136"/>
      <c r="D27" s="136"/>
      <c r="E27" s="136"/>
      <c r="F27" s="136"/>
      <c r="G27" s="89" t="s">
        <v>80</v>
      </c>
      <c r="H27" s="87" t="s">
        <v>83</v>
      </c>
      <c r="I27" s="87" t="s">
        <v>86</v>
      </c>
      <c r="J27" s="149"/>
      <c r="K27" s="89" t="s">
        <v>92</v>
      </c>
      <c r="L27" s="89"/>
      <c r="O27" s="124"/>
      <c r="P27" s="124"/>
      <c r="Q27" s="124"/>
      <c r="R27" s="124"/>
      <c r="S27" s="124"/>
      <c r="T27" s="124"/>
    </row>
    <row r="28" spans="2:24" ht="15.75" x14ac:dyDescent="0.25">
      <c r="B28" s="136"/>
      <c r="C28" s="136"/>
      <c r="D28" s="136"/>
      <c r="E28" s="136"/>
      <c r="F28" s="136"/>
      <c r="G28" s="89" t="s">
        <v>79</v>
      </c>
      <c r="H28" s="87" t="s">
        <v>83</v>
      </c>
      <c r="I28" s="87" t="s">
        <v>85</v>
      </c>
      <c r="J28" s="149"/>
      <c r="K28" s="89" t="s">
        <v>92</v>
      </c>
      <c r="L28" s="89"/>
      <c r="O28" s="124"/>
      <c r="P28" s="124"/>
      <c r="Q28" s="124"/>
      <c r="R28" s="124"/>
      <c r="S28" s="124"/>
      <c r="T28" s="124"/>
    </row>
    <row r="29" spans="2:24" ht="17.25" customHeight="1" x14ac:dyDescent="0.25">
      <c r="B29" s="113"/>
      <c r="C29" s="113"/>
      <c r="D29" s="113"/>
      <c r="E29" s="113"/>
      <c r="F29" s="113"/>
      <c r="G29" s="89" t="s">
        <v>81</v>
      </c>
      <c r="H29" s="87" t="s">
        <v>89</v>
      </c>
      <c r="I29" s="87" t="s">
        <v>87</v>
      </c>
      <c r="J29" s="149"/>
      <c r="K29" s="92" t="s">
        <v>93</v>
      </c>
      <c r="L29" s="92"/>
      <c r="O29" s="234"/>
      <c r="P29" s="234"/>
      <c r="Q29" s="234"/>
      <c r="R29" s="235"/>
      <c r="S29" s="235"/>
      <c r="T29" s="235"/>
      <c r="U29" s="235"/>
      <c r="V29" s="235"/>
      <c r="W29" s="235"/>
    </row>
    <row r="30" spans="2:24" ht="15.75" x14ac:dyDescent="0.25">
      <c r="B30" s="113"/>
      <c r="C30" s="113"/>
      <c r="D30" s="113"/>
      <c r="E30" s="113"/>
      <c r="F30" s="113"/>
      <c r="G30" s="91" t="s">
        <v>84</v>
      </c>
      <c r="H30" s="90" t="s">
        <v>90</v>
      </c>
      <c r="I30" s="90" t="s">
        <v>88</v>
      </c>
      <c r="J30" s="154">
        <f xml:space="preserve"> 1-(1/6)/(2/3)</f>
        <v>0.75</v>
      </c>
      <c r="K30" s="91" t="s">
        <v>94</v>
      </c>
      <c r="L30" s="154">
        <f xml:space="preserve"> (1/2)/(2/3)</f>
        <v>0.75</v>
      </c>
    </row>
    <row r="31" spans="2:24" ht="15.75" x14ac:dyDescent="0.25">
      <c r="G31" s="124"/>
      <c r="K31" s="124">
        <f>1/6+1/2</f>
        <v>0.66666666666666663</v>
      </c>
      <c r="L31" s="145" t="s">
        <v>110</v>
      </c>
    </row>
  </sheetData>
  <mergeCells count="12">
    <mergeCell ref="B2:L2"/>
    <mergeCell ref="B4:H4"/>
    <mergeCell ref="B8:I8"/>
    <mergeCell ref="K4:L8"/>
    <mergeCell ref="G17:J17"/>
    <mergeCell ref="K17:L17"/>
    <mergeCell ref="O29:W29"/>
    <mergeCell ref="G10:J10"/>
    <mergeCell ref="K10:L10"/>
    <mergeCell ref="C10:F10"/>
    <mergeCell ref="B6:G6"/>
    <mergeCell ref="G25:J25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7F64A-C0A7-4843-BE88-AE144A7C843B}">
  <dimension ref="A2:T29"/>
  <sheetViews>
    <sheetView zoomScale="90" zoomScaleNormal="90" workbookViewId="0">
      <selection activeCell="M29" sqref="M29:P29"/>
    </sheetView>
  </sheetViews>
  <sheetFormatPr baseColWidth="10" defaultColWidth="9.140625" defaultRowHeight="15" x14ac:dyDescent="0.25"/>
  <cols>
    <col min="1" max="1" width="3.5703125" customWidth="1"/>
    <col min="2" max="2" width="9.7109375" customWidth="1"/>
    <col min="3" max="3" width="9.140625" customWidth="1"/>
    <col min="4" max="4" width="6.85546875" customWidth="1"/>
    <col min="5" max="5" width="12.5703125" customWidth="1"/>
    <col min="6" max="6" width="18.28515625" customWidth="1"/>
    <col min="7" max="7" width="13.28515625" style="47" customWidth="1"/>
    <col min="8" max="8" width="32.7109375" customWidth="1"/>
    <col min="9" max="9" width="24.7109375" customWidth="1"/>
    <col min="10" max="10" width="32.28515625" customWidth="1"/>
    <col min="11" max="12" width="3.7109375" customWidth="1"/>
    <col min="13" max="13" width="10.7109375" style="11" customWidth="1"/>
    <col min="14" max="14" width="12.5703125" customWidth="1"/>
    <col min="15" max="15" width="23.85546875" customWidth="1"/>
    <col min="16" max="16" width="28.28515625" customWidth="1"/>
    <col min="17" max="17" width="11.5703125" customWidth="1"/>
    <col min="18" max="18" width="25.85546875" customWidth="1"/>
    <col min="19" max="19" width="23.7109375" customWidth="1"/>
    <col min="20" max="20" width="24.85546875" customWidth="1"/>
  </cols>
  <sheetData>
    <row r="2" spans="1:20" ht="26.25" customHeight="1" x14ac:dyDescent="0.3">
      <c r="A2" s="14"/>
      <c r="B2" s="242" t="s">
        <v>70</v>
      </c>
      <c r="C2" s="242"/>
      <c r="D2" s="242"/>
      <c r="E2" s="242"/>
      <c r="F2" s="243"/>
      <c r="G2" s="243"/>
      <c r="H2" s="243"/>
      <c r="I2" s="243"/>
      <c r="J2" s="244"/>
      <c r="N2" s="157" t="s">
        <v>114</v>
      </c>
    </row>
    <row r="3" spans="1:20" ht="11.25" customHeight="1" x14ac:dyDescent="0.3">
      <c r="B3" s="1"/>
      <c r="C3" s="1"/>
      <c r="D3" s="1"/>
      <c r="E3" s="1"/>
    </row>
    <row r="4" spans="1:20" ht="18.75" customHeight="1" x14ac:dyDescent="0.3">
      <c r="B4" s="247" t="s">
        <v>121</v>
      </c>
      <c r="C4" s="248"/>
      <c r="D4" s="248"/>
      <c r="E4" s="248"/>
      <c r="F4" s="248"/>
      <c r="G4" s="248"/>
      <c r="H4" s="248"/>
      <c r="I4" s="244"/>
      <c r="J4" s="244"/>
      <c r="M4" s="247"/>
      <c r="N4" s="248"/>
      <c r="O4" s="248"/>
      <c r="P4" s="248"/>
      <c r="Q4" s="248"/>
      <c r="R4" s="248"/>
      <c r="S4" s="244"/>
      <c r="T4" s="244"/>
    </row>
    <row r="5" spans="1:20" ht="9.75" customHeight="1" x14ac:dyDescent="0.3">
      <c r="B5" s="84"/>
      <c r="C5" s="85"/>
      <c r="D5" s="85"/>
      <c r="E5" s="85"/>
      <c r="F5" s="85"/>
      <c r="G5" s="49"/>
      <c r="H5" s="85"/>
      <c r="I5" s="81"/>
    </row>
    <row r="6" spans="1:20" ht="18.75" x14ac:dyDescent="0.3">
      <c r="B6" s="257" t="s">
        <v>1</v>
      </c>
      <c r="C6" s="258"/>
      <c r="D6" s="258"/>
      <c r="E6" s="258"/>
      <c r="F6" s="258"/>
      <c r="G6" s="258"/>
      <c r="H6" s="86"/>
      <c r="M6" s="97"/>
      <c r="N6" s="157"/>
      <c r="O6" s="155"/>
      <c r="P6" s="155"/>
      <c r="Q6" s="155"/>
      <c r="R6" s="120"/>
      <c r="S6" s="93"/>
      <c r="T6" s="93"/>
    </row>
    <row r="7" spans="1:20" ht="17.25" customHeight="1" x14ac:dyDescent="0.3">
      <c r="B7" s="259" t="s">
        <v>71</v>
      </c>
      <c r="C7" s="259"/>
      <c r="D7" s="259"/>
      <c r="E7" s="249" t="s">
        <v>75</v>
      </c>
      <c r="F7" s="250"/>
      <c r="G7" s="250"/>
      <c r="H7" s="250"/>
      <c r="I7" s="244"/>
      <c r="J7" s="244"/>
      <c r="M7" s="98"/>
      <c r="N7" s="98"/>
      <c r="O7" s="95"/>
      <c r="P7" s="96"/>
      <c r="Q7" s="96"/>
      <c r="R7" s="96"/>
      <c r="S7" s="93"/>
      <c r="T7" s="93"/>
    </row>
    <row r="8" spans="1:20" s="5" customFormat="1" ht="18.75" customHeight="1" x14ac:dyDescent="0.25">
      <c r="B8" s="245" t="s">
        <v>33</v>
      </c>
      <c r="C8" s="246"/>
      <c r="D8" s="246"/>
      <c r="E8" s="246"/>
      <c r="F8" s="246"/>
      <c r="G8" s="246"/>
      <c r="H8" s="246"/>
      <c r="I8" s="246"/>
      <c r="J8" s="244"/>
      <c r="M8" s="109"/>
      <c r="N8" s="94">
        <v>2</v>
      </c>
      <c r="O8" s="110" t="s">
        <v>103</v>
      </c>
      <c r="P8" s="94"/>
      <c r="Q8" s="94"/>
      <c r="R8" s="94"/>
      <c r="S8" s="94"/>
      <c r="T8" s="93"/>
    </row>
    <row r="9" spans="1:20" s="5" customFormat="1" ht="9" customHeight="1" x14ac:dyDescent="0.25">
      <c r="B9" s="82"/>
      <c r="C9" s="83"/>
      <c r="D9" s="83"/>
      <c r="E9" s="83"/>
      <c r="F9" s="83"/>
      <c r="G9" s="88"/>
      <c r="H9" s="83"/>
      <c r="I9" s="83"/>
    </row>
    <row r="10" spans="1:20" ht="26.25" customHeight="1" x14ac:dyDescent="0.3">
      <c r="B10" s="2"/>
      <c r="C10" s="254" t="s">
        <v>21</v>
      </c>
      <c r="D10" s="255"/>
      <c r="E10" s="255"/>
      <c r="F10" s="256"/>
      <c r="G10" s="251" t="s">
        <v>18</v>
      </c>
      <c r="H10" s="252"/>
      <c r="I10" s="253"/>
      <c r="J10" s="34" t="s">
        <v>22</v>
      </c>
      <c r="L10" s="5"/>
      <c r="M10" s="5"/>
      <c r="N10" s="5"/>
      <c r="O10" s="5"/>
      <c r="P10" s="5"/>
      <c r="Q10" s="5"/>
    </row>
    <row r="11" spans="1:20" ht="28.5" customHeight="1" x14ac:dyDescent="0.25">
      <c r="B11" s="15" t="s">
        <v>116</v>
      </c>
      <c r="C11" s="32" t="s">
        <v>96</v>
      </c>
      <c r="D11" s="32" t="s">
        <v>102</v>
      </c>
      <c r="E11" s="33" t="s">
        <v>5</v>
      </c>
      <c r="F11" s="33" t="s">
        <v>6</v>
      </c>
      <c r="G11" s="50" t="s">
        <v>7</v>
      </c>
      <c r="H11" s="33" t="s">
        <v>20</v>
      </c>
      <c r="I11" s="33" t="s">
        <v>19</v>
      </c>
      <c r="J11" s="33" t="s">
        <v>23</v>
      </c>
      <c r="K11" s="8"/>
      <c r="L11" s="5"/>
      <c r="M11" s="89">
        <v>0.25</v>
      </c>
      <c r="N11" s="102" t="s">
        <v>99</v>
      </c>
      <c r="O11" s="102" t="s">
        <v>100</v>
      </c>
      <c r="P11" s="102" t="s">
        <v>101</v>
      </c>
    </row>
    <row r="12" spans="1:20" ht="15" customHeight="1" x14ac:dyDescent="0.25">
      <c r="B12" s="16">
        <v>1</v>
      </c>
      <c r="C12" s="16">
        <v>1</v>
      </c>
      <c r="D12" s="16">
        <v>2</v>
      </c>
      <c r="E12" s="16">
        <f>C12*D12</f>
        <v>2</v>
      </c>
      <c r="F12" s="16">
        <f>C12*C12</f>
        <v>1</v>
      </c>
      <c r="G12" s="89" t="s">
        <v>80</v>
      </c>
      <c r="H12" s="87" t="s">
        <v>83</v>
      </c>
      <c r="I12" s="87" t="s">
        <v>86</v>
      </c>
      <c r="J12" s="89" t="s">
        <v>92</v>
      </c>
      <c r="K12" s="7"/>
      <c r="L12" s="5"/>
      <c r="M12" s="89">
        <v>0.25</v>
      </c>
      <c r="N12" s="105">
        <f>C12-2</f>
        <v>-1</v>
      </c>
      <c r="O12" s="105">
        <f>D12-7/3</f>
        <v>-0.33333333333333348</v>
      </c>
      <c r="P12" s="99">
        <f>N12*O12</f>
        <v>0.33333333333333348</v>
      </c>
    </row>
    <row r="13" spans="1:20" ht="18.75" x14ac:dyDescent="0.3">
      <c r="B13" s="16">
        <v>2</v>
      </c>
      <c r="C13" s="16">
        <v>3</v>
      </c>
      <c r="D13" s="16">
        <v>3</v>
      </c>
      <c r="E13" s="16">
        <f t="shared" ref="E13:E14" si="0">C13*D13</f>
        <v>9</v>
      </c>
      <c r="F13" s="16">
        <f t="shared" ref="F13:F14" si="1">C13*C13</f>
        <v>9</v>
      </c>
      <c r="G13" s="89" t="s">
        <v>79</v>
      </c>
      <c r="H13" s="87" t="s">
        <v>83</v>
      </c>
      <c r="I13" s="87" t="s">
        <v>85</v>
      </c>
      <c r="J13" s="89" t="s">
        <v>92</v>
      </c>
      <c r="K13" s="7"/>
      <c r="L13" s="5"/>
      <c r="M13" s="5"/>
      <c r="N13" s="105">
        <f>C13-2</f>
        <v>1</v>
      </c>
      <c r="O13" s="105">
        <f>D13-7/3</f>
        <v>0.66666666666666652</v>
      </c>
      <c r="P13" s="99">
        <f t="shared" ref="P13:P14" si="2">N13*O13</f>
        <v>0.66666666666666652</v>
      </c>
      <c r="R13" s="156"/>
    </row>
    <row r="14" spans="1:20" ht="15" customHeight="1" x14ac:dyDescent="0.25">
      <c r="B14" s="16">
        <v>3</v>
      </c>
      <c r="C14" s="16">
        <v>2</v>
      </c>
      <c r="D14" s="16">
        <v>2</v>
      </c>
      <c r="E14" s="16">
        <f t="shared" si="0"/>
        <v>4</v>
      </c>
      <c r="F14" s="16">
        <f t="shared" si="1"/>
        <v>4</v>
      </c>
      <c r="G14" s="89" t="s">
        <v>81</v>
      </c>
      <c r="H14" s="87" t="s">
        <v>89</v>
      </c>
      <c r="I14" s="87" t="s">
        <v>87</v>
      </c>
      <c r="J14" s="92" t="s">
        <v>93</v>
      </c>
      <c r="L14" s="5"/>
      <c r="M14" s="5"/>
      <c r="N14" s="105">
        <f>C14-2</f>
        <v>0</v>
      </c>
      <c r="O14" s="105">
        <f>D14-7/3</f>
        <v>-0.33333333333333348</v>
      </c>
      <c r="P14" s="99">
        <f t="shared" si="2"/>
        <v>0</v>
      </c>
    </row>
    <row r="15" spans="1:20" ht="18.75" x14ac:dyDescent="0.25">
      <c r="B15" s="17" t="s">
        <v>0</v>
      </c>
      <c r="C15" s="17">
        <f>SUM(C12:C14)</f>
        <v>6</v>
      </c>
      <c r="D15" s="17">
        <f>SUM(D12:D14)</f>
        <v>7</v>
      </c>
      <c r="E15" s="17">
        <f>SUM(E12:E14)</f>
        <v>15</v>
      </c>
      <c r="F15" s="17">
        <f>SUM(F12:F14)</f>
        <v>14</v>
      </c>
      <c r="G15" s="91" t="s">
        <v>84</v>
      </c>
      <c r="H15" s="90" t="s">
        <v>90</v>
      </c>
      <c r="I15" s="90" t="s">
        <v>88</v>
      </c>
      <c r="J15" s="91" t="s">
        <v>94</v>
      </c>
      <c r="K15" s="6"/>
      <c r="L15" s="5"/>
      <c r="M15" s="122">
        <f>SUM(M11:M14)</f>
        <v>0.5</v>
      </c>
      <c r="N15" s="45">
        <f>SUM(N12:N14)</f>
        <v>0</v>
      </c>
      <c r="O15" s="45">
        <f>SUM(O8:O14)</f>
        <v>-4.4408920985006262E-16</v>
      </c>
      <c r="P15" s="45">
        <f>SUM(P8:P14)</f>
        <v>1</v>
      </c>
    </row>
    <row r="16" spans="1:20" ht="20.25" customHeight="1" x14ac:dyDescent="0.25">
      <c r="C16" s="14"/>
      <c r="L16" s="5"/>
      <c r="M16"/>
    </row>
    <row r="17" spans="2:18" ht="21" x14ac:dyDescent="0.35">
      <c r="B17" s="4" t="s">
        <v>11</v>
      </c>
      <c r="C17" s="9"/>
      <c r="D17" s="9"/>
      <c r="E17" s="9"/>
      <c r="F17" s="9"/>
      <c r="G17" s="52"/>
      <c r="H17" s="79" t="s">
        <v>58</v>
      </c>
      <c r="I17" s="9"/>
      <c r="L17" s="5"/>
      <c r="M17"/>
      <c r="Q17" s="27"/>
    </row>
    <row r="18" spans="2:18" ht="27.75" customHeight="1" x14ac:dyDescent="0.35">
      <c r="B18" s="4"/>
      <c r="C18" s="9"/>
      <c r="D18" s="9"/>
      <c r="E18" s="9"/>
      <c r="F18" s="9"/>
      <c r="G18" s="52"/>
      <c r="H18" s="9"/>
      <c r="I18" s="9"/>
      <c r="J18" s="14"/>
      <c r="L18" s="5"/>
      <c r="M18"/>
      <c r="N18" t="s">
        <v>115</v>
      </c>
      <c r="Q18" s="27"/>
    </row>
    <row r="19" spans="2:18" ht="21.75" customHeight="1" x14ac:dyDescent="0.35">
      <c r="B19" s="247" t="s">
        <v>76</v>
      </c>
      <c r="C19" s="244"/>
      <c r="D19" s="244"/>
      <c r="E19" s="244"/>
      <c r="F19" s="244"/>
      <c r="G19" s="52"/>
      <c r="H19" s="79" t="s">
        <v>72</v>
      </c>
      <c r="I19" s="9"/>
      <c r="J19" s="3"/>
      <c r="L19" s="5"/>
      <c r="M19"/>
      <c r="N19" s="244" t="s">
        <v>117</v>
      </c>
      <c r="O19" s="244"/>
      <c r="P19" s="244"/>
      <c r="Q19" s="27"/>
    </row>
    <row r="20" spans="2:18" ht="21" x14ac:dyDescent="0.35">
      <c r="B20" s="4" t="s">
        <v>77</v>
      </c>
      <c r="C20" s="9"/>
      <c r="D20" s="9"/>
      <c r="E20" s="9"/>
      <c r="F20" s="9"/>
      <c r="G20" s="52"/>
      <c r="H20" s="79" t="s">
        <v>73</v>
      </c>
      <c r="I20" s="9"/>
      <c r="J20" s="3"/>
      <c r="L20" s="5"/>
      <c r="M20"/>
      <c r="N20" t="s">
        <v>104</v>
      </c>
      <c r="P20" s="111" t="s">
        <v>124</v>
      </c>
      <c r="Q20" s="27"/>
    </row>
    <row r="21" spans="2:18" ht="18" thickBot="1" x14ac:dyDescent="0.35">
      <c r="B21" s="9"/>
      <c r="C21" s="10"/>
      <c r="D21" s="9"/>
      <c r="E21" s="9"/>
      <c r="L21" s="5"/>
      <c r="M21"/>
      <c r="O21" s="244" t="s">
        <v>118</v>
      </c>
      <c r="P21" s="244"/>
      <c r="Q21" s="244"/>
      <c r="R21" s="244"/>
    </row>
    <row r="22" spans="2:18" ht="19.5" thickBot="1" x14ac:dyDescent="0.35">
      <c r="B22" s="239" t="s">
        <v>78</v>
      </c>
      <c r="C22" s="240"/>
      <c r="D22" s="240"/>
      <c r="E22" s="240"/>
      <c r="F22" s="241"/>
      <c r="M22"/>
      <c r="O22" s="244" t="s">
        <v>120</v>
      </c>
      <c r="P22" s="244"/>
      <c r="Q22" s="244"/>
      <c r="R22" s="244"/>
    </row>
    <row r="23" spans="2:18" ht="22.5" customHeight="1" thickBot="1" x14ac:dyDescent="0.35">
      <c r="B23" s="18"/>
      <c r="C23" s="19"/>
      <c r="D23" s="43"/>
      <c r="E23" s="19"/>
      <c r="M23"/>
      <c r="O23" s="244" t="s">
        <v>119</v>
      </c>
      <c r="P23" s="244"/>
      <c r="Q23" s="244"/>
      <c r="R23" s="244"/>
    </row>
    <row r="24" spans="2:18" ht="36" customHeight="1" thickBot="1" x14ac:dyDescent="0.35">
      <c r="B24" s="236" t="s">
        <v>91</v>
      </c>
      <c r="C24" s="237"/>
      <c r="D24" s="237"/>
      <c r="E24" s="237"/>
      <c r="F24" s="238"/>
      <c r="H24" s="80" t="s">
        <v>74</v>
      </c>
      <c r="P24" s="112"/>
    </row>
    <row r="25" spans="2:18" ht="18" customHeight="1" x14ac:dyDescent="0.25">
      <c r="D25" s="14"/>
      <c r="E25" s="14"/>
      <c r="F25" s="14"/>
    </row>
    <row r="27" spans="2:18" ht="17.25" customHeight="1" x14ac:dyDescent="0.25">
      <c r="B27" s="234" t="s">
        <v>82</v>
      </c>
      <c r="C27" s="235"/>
      <c r="D27" s="235"/>
      <c r="E27" s="235"/>
      <c r="F27" s="235"/>
      <c r="G27" s="244"/>
      <c r="H27" s="244"/>
    </row>
    <row r="29" spans="2:18" ht="17.25" customHeight="1" x14ac:dyDescent="0.25">
      <c r="M29" s="234"/>
      <c r="N29" s="235"/>
      <c r="O29" s="235"/>
      <c r="P29" s="235"/>
    </row>
  </sheetData>
  <mergeCells count="18">
    <mergeCell ref="B24:F24"/>
    <mergeCell ref="M29:P29"/>
    <mergeCell ref="B27:H27"/>
    <mergeCell ref="B8:J8"/>
    <mergeCell ref="C10:F10"/>
    <mergeCell ref="G10:I10"/>
    <mergeCell ref="B19:F19"/>
    <mergeCell ref="B22:F22"/>
    <mergeCell ref="N19:P19"/>
    <mergeCell ref="O21:R21"/>
    <mergeCell ref="O22:R22"/>
    <mergeCell ref="O23:R23"/>
    <mergeCell ref="B7:D7"/>
    <mergeCell ref="E7:J7"/>
    <mergeCell ref="B2:J2"/>
    <mergeCell ref="B4:J4"/>
    <mergeCell ref="M4:T4"/>
    <mergeCell ref="B6:G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51749-7AD9-48A7-963F-598C2E012D2E}">
  <dimension ref="A1:AA40"/>
  <sheetViews>
    <sheetView tabSelected="1" workbookViewId="0">
      <selection activeCell="M26" sqref="M26"/>
    </sheetView>
  </sheetViews>
  <sheetFormatPr baseColWidth="10" defaultRowHeight="15" x14ac:dyDescent="0.25"/>
  <cols>
    <col min="2" max="2" width="16.42578125" customWidth="1"/>
    <col min="3" max="3" width="8" customWidth="1"/>
    <col min="4" max="4" width="13" customWidth="1"/>
    <col min="5" max="5" width="11.28515625" customWidth="1"/>
    <col min="6" max="6" width="10.7109375" customWidth="1"/>
    <col min="7" max="7" width="9.7109375" customWidth="1"/>
  </cols>
  <sheetData>
    <row r="1" spans="2:27" ht="20.25" x14ac:dyDescent="0.3">
      <c r="B1" s="302"/>
      <c r="C1" s="302"/>
      <c r="D1" s="302"/>
      <c r="E1" s="164"/>
      <c r="F1" s="164"/>
      <c r="G1" s="165"/>
    </row>
    <row r="2" spans="2:27" ht="40.5" customHeight="1" x14ac:dyDescent="0.3">
      <c r="B2" s="163"/>
      <c r="C2" s="163"/>
      <c r="D2" s="247" t="s">
        <v>134</v>
      </c>
      <c r="E2" s="247"/>
      <c r="F2" s="247"/>
      <c r="G2" s="247"/>
      <c r="H2" s="247"/>
      <c r="I2" s="247"/>
      <c r="J2" s="247"/>
      <c r="K2" s="247"/>
      <c r="L2" s="247"/>
      <c r="M2" s="163"/>
      <c r="N2" s="164"/>
      <c r="O2" s="164"/>
      <c r="P2" s="165"/>
      <c r="S2" s="247"/>
      <c r="T2" s="247"/>
      <c r="U2" s="247"/>
      <c r="V2" s="247"/>
      <c r="W2" s="247"/>
      <c r="X2" s="247"/>
      <c r="Y2" s="247"/>
      <c r="Z2" s="247"/>
      <c r="AA2" s="247"/>
    </row>
    <row r="3" spans="2:27" ht="20.25" x14ac:dyDescent="0.3">
      <c r="B3" s="163"/>
      <c r="C3" s="163"/>
      <c r="D3" s="163"/>
      <c r="E3" s="164"/>
      <c r="F3" s="164"/>
      <c r="G3" s="165"/>
    </row>
    <row r="4" spans="2:27" ht="39" customHeight="1" x14ac:dyDescent="0.25">
      <c r="D4" s="303" t="s">
        <v>135</v>
      </c>
      <c r="E4" s="297"/>
      <c r="F4" s="297"/>
      <c r="G4" s="297"/>
      <c r="H4" s="297"/>
      <c r="I4" s="297"/>
      <c r="J4" s="297"/>
      <c r="K4" s="297"/>
      <c r="L4" s="297"/>
      <c r="M4" s="26"/>
      <c r="N4" s="26"/>
      <c r="O4" s="26"/>
      <c r="P4" s="26"/>
      <c r="Q4" s="26"/>
      <c r="R4" s="26"/>
      <c r="S4" s="26"/>
    </row>
    <row r="11" spans="2:27" ht="26.25" customHeight="1" x14ac:dyDescent="0.25"/>
    <row r="13" spans="2:27" ht="17.25" x14ac:dyDescent="0.3">
      <c r="F13" s="247"/>
      <c r="G13" s="248"/>
      <c r="H13" s="248"/>
      <c r="I13" s="248"/>
      <c r="J13" s="248"/>
      <c r="K13" s="248"/>
      <c r="L13" s="248"/>
      <c r="M13" s="244"/>
      <c r="N13" s="244"/>
    </row>
    <row r="24" spans="1:10" x14ac:dyDescent="0.25">
      <c r="D24" s="14"/>
    </row>
    <row r="25" spans="1:10" x14ac:dyDescent="0.25">
      <c r="A25" s="14"/>
      <c r="B25" s="167"/>
      <c r="C25" s="14"/>
      <c r="D25" s="14"/>
    </row>
    <row r="26" spans="1:10" x14ac:dyDescent="0.25">
      <c r="A26" s="14"/>
      <c r="B26" s="167"/>
      <c r="C26" s="168"/>
      <c r="D26" s="14"/>
      <c r="E26" s="14"/>
      <c r="F26" s="14"/>
      <c r="G26" s="14"/>
      <c r="H26" s="14"/>
      <c r="I26" s="14"/>
      <c r="J26" s="14"/>
    </row>
    <row r="27" spans="1:10" x14ac:dyDescent="0.25">
      <c r="A27" s="14"/>
      <c r="B27" s="167"/>
      <c r="C27" s="168"/>
      <c r="D27" s="14"/>
      <c r="E27" s="14"/>
      <c r="F27" s="14"/>
      <c r="G27" s="14"/>
      <c r="H27" s="14"/>
      <c r="I27" s="14"/>
      <c r="J27" s="14"/>
    </row>
    <row r="28" spans="1:10" x14ac:dyDescent="0.25">
      <c r="A28" s="14"/>
      <c r="B28" s="167"/>
      <c r="C28" s="168"/>
      <c r="D28" s="14"/>
      <c r="E28" s="14"/>
      <c r="F28" s="14"/>
      <c r="G28" s="14"/>
      <c r="H28" s="14"/>
      <c r="I28" s="14"/>
      <c r="J28" s="14"/>
    </row>
    <row r="29" spans="1:10" x14ac:dyDescent="0.25">
      <c r="A29" s="14"/>
      <c r="B29" s="167"/>
      <c r="C29" s="168"/>
      <c r="D29" s="14"/>
      <c r="E29" s="14"/>
      <c r="F29" s="14"/>
      <c r="G29" s="14"/>
      <c r="H29" s="14"/>
      <c r="I29" s="14"/>
      <c r="J29" s="14"/>
    </row>
    <row r="30" spans="1:10" x14ac:dyDescent="0.25">
      <c r="A30" s="14"/>
      <c r="B30" s="167"/>
      <c r="C30" s="168"/>
      <c r="D30" s="14"/>
      <c r="E30" s="14"/>
      <c r="F30" s="14"/>
      <c r="G30" s="14"/>
      <c r="H30" s="14"/>
      <c r="I30" s="14"/>
      <c r="J30" s="14"/>
    </row>
    <row r="31" spans="1:10" x14ac:dyDescent="0.25">
      <c r="A31" s="14"/>
      <c r="B31" s="167"/>
      <c r="C31" s="168"/>
      <c r="D31" s="14"/>
      <c r="E31" s="14"/>
      <c r="F31" s="14"/>
      <c r="G31" s="14"/>
      <c r="H31" s="14"/>
      <c r="I31" s="14"/>
      <c r="J31" s="14"/>
    </row>
    <row r="32" spans="1:10" x14ac:dyDescent="0.25">
      <c r="A32" s="14"/>
      <c r="B32" s="167"/>
      <c r="C32" s="168"/>
      <c r="D32" s="14"/>
      <c r="E32" s="14"/>
      <c r="F32" s="14"/>
      <c r="G32" s="14"/>
      <c r="H32" s="14"/>
      <c r="I32" s="14"/>
      <c r="J32" s="14"/>
    </row>
    <row r="33" spans="1:10" x14ac:dyDescent="0.25">
      <c r="A33" s="14"/>
      <c r="B33" s="167"/>
      <c r="C33" s="168"/>
      <c r="D33" s="14"/>
      <c r="E33" s="14"/>
      <c r="F33" s="14"/>
      <c r="G33" s="14"/>
      <c r="H33" s="14"/>
      <c r="I33" s="14"/>
      <c r="J33" s="14"/>
    </row>
    <row r="34" spans="1:10" x14ac:dyDescent="0.25">
      <c r="A34" s="14"/>
      <c r="B34" s="167"/>
      <c r="C34" s="168"/>
      <c r="D34" s="14"/>
      <c r="E34" s="14"/>
      <c r="F34" s="14"/>
      <c r="G34" s="14"/>
      <c r="H34" s="14"/>
      <c r="I34" s="14"/>
      <c r="J34" s="14"/>
    </row>
    <row r="35" spans="1:10" x14ac:dyDescent="0.25">
      <c r="A35" s="14"/>
      <c r="B35" s="167"/>
      <c r="C35" s="16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67"/>
      <c r="C36" s="168"/>
      <c r="D36" s="14"/>
      <c r="E36" s="14"/>
      <c r="F36" s="14"/>
      <c r="G36" s="14"/>
      <c r="H36" s="14"/>
      <c r="I36" s="14"/>
      <c r="J36" s="14"/>
    </row>
    <row r="37" spans="1:10" x14ac:dyDescent="0.25">
      <c r="A37" s="14"/>
      <c r="B37" s="167"/>
      <c r="C37" s="16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70"/>
      <c r="C38" s="170"/>
      <c r="D38" s="14"/>
      <c r="E38" s="14"/>
      <c r="F38" s="14"/>
      <c r="G38" s="14"/>
      <c r="H38" s="14"/>
      <c r="I38" s="14"/>
      <c r="J38" s="14"/>
    </row>
    <row r="39" spans="1:10" x14ac:dyDescent="0.25">
      <c r="A39" s="14"/>
      <c r="B39" s="170"/>
      <c r="C39" s="170"/>
      <c r="D39" s="170"/>
      <c r="E39" s="166"/>
      <c r="F39" s="166"/>
      <c r="G39" s="166"/>
      <c r="H39" s="14"/>
      <c r="I39" s="14"/>
    </row>
    <row r="40" spans="1:10" x14ac:dyDescent="0.25">
      <c r="A40" s="14"/>
      <c r="B40" s="170"/>
      <c r="C40" s="170"/>
      <c r="D40" s="170"/>
      <c r="E40" s="166"/>
      <c r="F40" s="166"/>
      <c r="G40" s="169"/>
      <c r="H40" s="14"/>
      <c r="I40" s="14"/>
    </row>
  </sheetData>
  <mergeCells count="5">
    <mergeCell ref="B1:D1"/>
    <mergeCell ref="F13:N13"/>
    <mergeCell ref="S2:AA2"/>
    <mergeCell ref="D4:L4"/>
    <mergeCell ref="D2:L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ML5-sLR Coeff.</vt:lpstr>
      <vt:lpstr>ML5-mLR Coeff.</vt:lpstr>
      <vt:lpstr>Example-E5.1</vt:lpstr>
      <vt:lpstr>Example-E5.2</vt:lpstr>
      <vt:lpstr>Example-E5.3</vt:lpstr>
      <vt:lpstr>Example-E5.4</vt:lpstr>
      <vt:lpstr>Homework-H5.1_a </vt:lpstr>
      <vt:lpstr>Homework-H5.1_b</vt:lpstr>
      <vt:lpstr>Example-E5.1 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2023-09-16T09:14:41Z</dcterms:modified>
</cp:coreProperties>
</file>