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9361\Desktop\在職\統計學\"/>
    </mc:Choice>
  </mc:AlternateContent>
  <xr:revisionPtr revIDLastSave="0" documentId="13_ncr:1_{D50461AF-974F-4CAA-AEC4-6A74119AC972}" xr6:coauthVersionLast="47" xr6:coauthVersionMax="47" xr10:uidLastSave="{00000000-0000-0000-0000-000000000000}"/>
  <bookViews>
    <workbookView xWindow="-110" yWindow="-110" windowWidth="19420" windowHeight="10300" xr2:uid="{FAF24491-FACC-47A3-91A1-021646E0C0B6}"/>
  </bookViews>
  <sheets>
    <sheet name="工作表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8" i="3" l="1"/>
  <c r="L147" i="3"/>
  <c r="M146" i="3"/>
  <c r="I148" i="3"/>
  <c r="J146" i="3"/>
  <c r="I147" i="3" s="1"/>
  <c r="J133" i="3"/>
  <c r="M132" i="3"/>
  <c r="M131" i="3"/>
  <c r="I134" i="3"/>
  <c r="P116" i="3"/>
  <c r="N118" i="3" s="1"/>
  <c r="O116" i="3"/>
  <c r="K116" i="3"/>
  <c r="M108" i="3"/>
  <c r="N109" i="3" s="1"/>
  <c r="I94" i="3"/>
  <c r="I90" i="3"/>
  <c r="J91" i="3"/>
  <c r="H94" i="3"/>
  <c r="I91" i="3"/>
  <c r="O84" i="3"/>
  <c r="N84" i="3"/>
  <c r="O80" i="3"/>
  <c r="P79" i="3"/>
  <c r="G69" i="3"/>
  <c r="C72" i="3" s="1"/>
  <c r="D70" i="3"/>
  <c r="F68" i="3"/>
  <c r="L54" i="3"/>
  <c r="C54" i="3"/>
  <c r="L53" i="3"/>
  <c r="J54" i="3"/>
  <c r="G55" i="3"/>
  <c r="E52" i="3"/>
  <c r="E53" i="3"/>
  <c r="E37" i="3"/>
  <c r="W21" i="3"/>
  <c r="V21" i="3"/>
  <c r="W20" i="3"/>
  <c r="W15" i="3"/>
  <c r="W14" i="3"/>
  <c r="V14" i="3"/>
  <c r="W13" i="3"/>
  <c r="W22" i="3"/>
  <c r="W16" i="3"/>
  <c r="W17" i="3"/>
  <c r="W18" i="3"/>
  <c r="W19" i="3"/>
  <c r="V19" i="3"/>
  <c r="V18" i="3"/>
  <c r="V17" i="3"/>
  <c r="V16" i="3"/>
  <c r="Q5" i="3"/>
  <c r="R5" i="3"/>
  <c r="Q6" i="3"/>
  <c r="R6" i="3"/>
  <c r="Q7" i="3"/>
  <c r="R7" i="3"/>
  <c r="Q8" i="3"/>
  <c r="R8" i="3"/>
  <c r="Q9" i="3"/>
  <c r="R9" i="3"/>
  <c r="Q10" i="3"/>
  <c r="R10" i="3"/>
</calcChain>
</file>

<file path=xl/sharedStrings.xml><?xml version="1.0" encoding="utf-8"?>
<sst xmlns="http://schemas.openxmlformats.org/spreadsheetml/2006/main" count="137" uniqueCount="82">
  <si>
    <t>a.</t>
    <phoneticPr fontId="1" type="noConversion"/>
  </si>
  <si>
    <t>b.</t>
    <phoneticPr fontId="1" type="noConversion"/>
  </si>
  <si>
    <t>c.</t>
    <phoneticPr fontId="1" type="noConversion"/>
  </si>
  <si>
    <t>CH07.02_07,8,9</t>
    <phoneticPr fontId="1" type="noConversion"/>
  </si>
  <si>
    <t>7.</t>
    <phoneticPr fontId="1" type="noConversion"/>
  </si>
  <si>
    <t>Data</t>
    <phoneticPr fontId="1" type="noConversion"/>
  </si>
  <si>
    <t>10,15</t>
    <phoneticPr fontId="1" type="noConversion"/>
  </si>
  <si>
    <t>n=2</t>
    <phoneticPr fontId="1" type="noConversion"/>
  </si>
  <si>
    <t>10,21</t>
    <phoneticPr fontId="1" type="noConversion"/>
  </si>
  <si>
    <t>10,22</t>
    <phoneticPr fontId="1" type="noConversion"/>
  </si>
  <si>
    <t>15,10</t>
    <phoneticPr fontId="1" type="noConversion"/>
  </si>
  <si>
    <t>15,21</t>
    <phoneticPr fontId="1" type="noConversion"/>
  </si>
  <si>
    <t>15,22</t>
    <phoneticPr fontId="1" type="noConversion"/>
  </si>
  <si>
    <t>21,10</t>
    <phoneticPr fontId="1" type="noConversion"/>
  </si>
  <si>
    <t>21,15,</t>
    <phoneticPr fontId="1" type="noConversion"/>
  </si>
  <si>
    <t>21,22</t>
    <phoneticPr fontId="1" type="noConversion"/>
  </si>
  <si>
    <t>22,10</t>
    <phoneticPr fontId="1" type="noConversion"/>
  </si>
  <si>
    <t>22,15</t>
    <phoneticPr fontId="1" type="noConversion"/>
  </si>
  <si>
    <t>22,21</t>
    <phoneticPr fontId="1" type="noConversion"/>
  </si>
  <si>
    <t xml:space="preserve">sample </t>
    <phoneticPr fontId="1" type="noConversion"/>
  </si>
  <si>
    <t>sample values</t>
    <phoneticPr fontId="1" type="noConversion"/>
  </si>
  <si>
    <t>x</t>
    <phoneticPr fontId="1" type="noConversion"/>
  </si>
  <si>
    <t>_</t>
    <phoneticPr fontId="1" type="noConversion"/>
  </si>
  <si>
    <t>p(x)</t>
    <phoneticPr fontId="1" type="noConversion"/>
  </si>
  <si>
    <t xml:space="preserve">   _</t>
    <phoneticPr fontId="1" type="noConversion"/>
  </si>
  <si>
    <t>u=</t>
    <phoneticPr fontId="1" type="noConversion"/>
  </si>
  <si>
    <t>8</t>
    <phoneticPr fontId="1" type="noConversion"/>
  </si>
  <si>
    <t>10,10</t>
    <phoneticPr fontId="1" type="noConversion"/>
  </si>
  <si>
    <t>15,15</t>
    <phoneticPr fontId="1" type="noConversion"/>
  </si>
  <si>
    <t>21,21</t>
    <phoneticPr fontId="1" type="noConversion"/>
  </si>
  <si>
    <t>21,15</t>
    <phoneticPr fontId="1" type="noConversion"/>
  </si>
  <si>
    <t>22,22</t>
    <phoneticPr fontId="1" type="noConversion"/>
  </si>
  <si>
    <t>9</t>
    <phoneticPr fontId="1" type="noConversion"/>
  </si>
  <si>
    <t>Yes</t>
    <phoneticPr fontId="1" type="noConversion"/>
  </si>
  <si>
    <t>CH07.03_15</t>
    <phoneticPr fontId="1" type="noConversion"/>
  </si>
  <si>
    <t>CH07.03_23</t>
    <phoneticPr fontId="1" type="noConversion"/>
  </si>
  <si>
    <t>x=</t>
    <phoneticPr fontId="1" type="noConversion"/>
  </si>
  <si>
    <t>standard error=</t>
    <phoneticPr fontId="1" type="noConversion"/>
  </si>
  <si>
    <t>=21/7</t>
    <phoneticPr fontId="1" type="noConversion"/>
  </si>
  <si>
    <r>
      <rPr>
        <sz val="12"/>
        <color theme="1"/>
        <rFont val="Calibri"/>
        <family val="3"/>
        <charset val="161"/>
      </rPr>
      <t>σ</t>
    </r>
    <r>
      <rPr>
        <sz val="12"/>
        <color theme="1"/>
        <rFont val="新細明體"/>
        <family val="1"/>
        <charset val="136"/>
      </rPr>
      <t>=</t>
    </r>
    <phoneticPr fontId="1" type="noConversion"/>
  </si>
  <si>
    <t>n=</t>
    <phoneticPr fontId="1" type="noConversion"/>
  </si>
  <si>
    <t>P(1100&lt;x&lt;1110)=</t>
    <phoneticPr fontId="1" type="noConversion"/>
  </si>
  <si>
    <t>P(x&gt;1120)=</t>
    <phoneticPr fontId="1" type="noConversion"/>
  </si>
  <si>
    <t>P(x&lt;900)=</t>
    <phoneticPr fontId="1" type="noConversion"/>
  </si>
  <si>
    <t>0.5-0.0062</t>
    <phoneticPr fontId="1" type="noConversion"/>
  </si>
  <si>
    <t>=</t>
    <phoneticPr fontId="1" type="noConversion"/>
  </si>
  <si>
    <t>P(-2.5&lt;z&lt;0)=</t>
    <phoneticPr fontId="1" type="noConversion"/>
  </si>
  <si>
    <t>P(z&gt;2.5)=</t>
    <phoneticPr fontId="1" type="noConversion"/>
  </si>
  <si>
    <t>0.5+0.4938</t>
    <phoneticPr fontId="1" type="noConversion"/>
  </si>
  <si>
    <t>P(z&lt;-52.5)=</t>
    <phoneticPr fontId="1" type="noConversion"/>
  </si>
  <si>
    <t>CH07.05_28</t>
    <phoneticPr fontId="1" type="noConversion"/>
  </si>
  <si>
    <t>CH07.05_31</t>
    <phoneticPr fontId="1" type="noConversion"/>
  </si>
  <si>
    <t>p=</t>
    <phoneticPr fontId="1" type="noConversion"/>
  </si>
  <si>
    <t>p(x&gt;0.8)=</t>
    <phoneticPr fontId="1" type="noConversion"/>
  </si>
  <si>
    <t>z=</t>
    <phoneticPr fontId="1" type="noConversion"/>
  </si>
  <si>
    <t>p(z&gt;1.54)=</t>
    <phoneticPr fontId="1" type="noConversion"/>
  </si>
  <si>
    <r>
      <rPr>
        <sz val="12"/>
        <color theme="1"/>
        <rFont val="Calibri"/>
        <family val="3"/>
        <charset val="161"/>
      </rPr>
      <t>σ^2</t>
    </r>
    <r>
      <rPr>
        <sz val="12"/>
        <color theme="1"/>
        <rFont val="新細明體"/>
        <family val="1"/>
        <charset val="136"/>
      </rPr>
      <t>=</t>
    </r>
    <phoneticPr fontId="1" type="noConversion"/>
  </si>
  <si>
    <t>npq=</t>
    <phoneticPr fontId="1" type="noConversion"/>
  </si>
  <si>
    <r>
      <rPr>
        <sz val="12"/>
        <color theme="1"/>
        <rFont val="新細明體"/>
        <family val="1"/>
        <charset val="136"/>
      </rPr>
      <t>σ=</t>
    </r>
    <phoneticPr fontId="1" type="noConversion"/>
  </si>
  <si>
    <t>P(x&lt;0.45)=P(z&lt;-0.4)=</t>
    <phoneticPr fontId="1" type="noConversion"/>
  </si>
  <si>
    <t>d.</t>
    <phoneticPr fontId="1" type="noConversion"/>
  </si>
  <si>
    <t>P(0.42&lt;x&lt;0.45)=P(-1&lt;z&lt;-0.4)</t>
    <phoneticPr fontId="1" type="noConversion"/>
  </si>
  <si>
    <t>P(x&lt;0.3)=P(z&lt;-3.4)=</t>
    <phoneticPr fontId="1" type="noConversion"/>
  </si>
  <si>
    <t>CH08.02_25</t>
    <phoneticPr fontId="1" type="noConversion"/>
  </si>
  <si>
    <t>CH08.02_26</t>
    <phoneticPr fontId="1" type="noConversion"/>
  </si>
  <si>
    <t>s=</t>
    <phoneticPr fontId="1" type="noConversion"/>
  </si>
  <si>
    <t>n=60</t>
    <phoneticPr fontId="1" type="noConversion"/>
  </si>
  <si>
    <t>Margin of error=</t>
    <phoneticPr fontId="1" type="noConversion"/>
  </si>
  <si>
    <t>+ &amp; -</t>
    <phoneticPr fontId="1" type="noConversion"/>
  </si>
  <si>
    <t>n=121</t>
    <phoneticPr fontId="1" type="noConversion"/>
  </si>
  <si>
    <t>pq=</t>
    <phoneticPr fontId="1" type="noConversion"/>
  </si>
  <si>
    <t>margin of error</t>
    <phoneticPr fontId="1" type="noConversion"/>
  </si>
  <si>
    <t>Ch08.03_17</t>
    <phoneticPr fontId="1" type="noConversion"/>
  </si>
  <si>
    <t>CH08.03_24</t>
    <phoneticPr fontId="1" type="noConversion"/>
  </si>
  <si>
    <t>q=</t>
    <phoneticPr fontId="1" type="noConversion"/>
  </si>
  <si>
    <t>weight</t>
    <phoneticPr fontId="1" type="noConversion"/>
  </si>
  <si>
    <t>height</t>
    <phoneticPr fontId="1" type="noConversion"/>
  </si>
  <si>
    <t>~50.08</t>
    <phoneticPr fontId="1" type="noConversion"/>
  </si>
  <si>
    <t>kg</t>
    <phoneticPr fontId="1" type="noConversion"/>
  </si>
  <si>
    <t>~67.5</t>
    <phoneticPr fontId="1" type="noConversion"/>
  </si>
  <si>
    <t>cm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</si>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</sst>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80" formatCode="0.00_ "/>
    <numFmt numFmtId="182" formatCode="0.000000000000_ 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D2125"/>
      <name val="Segoe UI"/>
      <family val="2"/>
    </font>
    <font>
      <sz val="12"/>
      <color theme="1"/>
      <name val="Calibri"/>
      <family val="3"/>
      <charset val="161"/>
    </font>
    <font>
      <sz val="12"/>
      <color theme="1"/>
      <name val="新細明體"/>
      <family val="1"/>
      <charset val="136"/>
    </font>
    <font>
      <sz val="12"/>
      <color theme="1"/>
      <name val="新細明體"/>
      <family val="3"/>
      <charset val="161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176" fontId="0" fillId="0" borderId="0" xfId="0" applyNumberFormat="1">
      <alignment vertical="center"/>
    </xf>
    <xf numFmtId="9" fontId="0" fillId="0" borderId="0" xfId="1" applyFont="1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   p(x)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工作表2!$R$2:$R$3</c:f>
              <c:strCache>
                <c:ptCount val="2"/>
                <c:pt idx="0">
                  <c:v>   _</c:v>
                </c:pt>
                <c:pt idx="1">
                  <c:v>p(x)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C2E-4523-9D8F-5757D574783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2E-4523-9D8F-5757D574783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C2E-4523-9D8F-5757D5747831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2E-4523-9D8F-5757D574783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C2E-4523-9D8F-5757D5747831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2E-4523-9D8F-5757D5747831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C2E-4523-9D8F-5757D5747831}"/>
              </c:ext>
            </c:extLst>
          </c:dPt>
          <c:cat>
            <c:numRef>
              <c:f>工作表2!$Q$4:$Q$11</c:f>
              <c:numCache>
                <c:formatCode>General</c:formatCode>
                <c:ptCount val="8"/>
                <c:pt idx="1">
                  <c:v>12.5</c:v>
                </c:pt>
                <c:pt idx="2">
                  <c:v>15.5</c:v>
                </c:pt>
                <c:pt idx="3">
                  <c:v>16</c:v>
                </c:pt>
                <c:pt idx="4">
                  <c:v>18</c:v>
                </c:pt>
                <c:pt idx="5">
                  <c:v>18.5</c:v>
                </c:pt>
                <c:pt idx="6">
                  <c:v>21.5</c:v>
                </c:pt>
              </c:numCache>
            </c:numRef>
          </c:cat>
          <c:val>
            <c:numRef>
              <c:f>工作表2!$R$4:$R$11</c:f>
              <c:numCache>
                <c:formatCode>0.00</c:formatCode>
                <c:ptCount val="8"/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E-4523-9D8F-5757D5747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63012367"/>
        <c:axId val="963011887"/>
      </c:barChart>
      <c:catAx>
        <c:axId val="96301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63011887"/>
        <c:crosses val="autoZero"/>
        <c:auto val="1"/>
        <c:lblAlgn val="ctr"/>
        <c:lblOffset val="100"/>
        <c:noMultiLvlLbl val="0"/>
      </c:catAx>
      <c:valAx>
        <c:axId val="96301188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6301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工作表2!$W$11</c:f>
              <c:strCache>
                <c:ptCount val="1"/>
                <c:pt idx="0">
                  <c:v>p(x)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>
                  <a:alpha val="96000"/>
                </a:schemeClr>
              </a:solidFill>
            </a:ln>
            <a:effectLst/>
          </c:spPr>
          <c:invertIfNegative val="0"/>
          <c:cat>
            <c:numRef>
              <c:f>工作表2!$V$12:$V$23</c:f>
              <c:numCache>
                <c:formatCode>General</c:formatCode>
                <c:ptCount val="12"/>
                <c:pt idx="1">
                  <c:v>10</c:v>
                </c:pt>
                <c:pt idx="2">
                  <c:v>12.5</c:v>
                </c:pt>
                <c:pt idx="3">
                  <c:v>15</c:v>
                </c:pt>
                <c:pt idx="4">
                  <c:v>15.5</c:v>
                </c:pt>
                <c:pt idx="5">
                  <c:v>16</c:v>
                </c:pt>
                <c:pt idx="6">
                  <c:v>18</c:v>
                </c:pt>
                <c:pt idx="7">
                  <c:v>18.5</c:v>
                </c:pt>
                <c:pt idx="8">
                  <c:v>21</c:v>
                </c:pt>
                <c:pt idx="9">
                  <c:v>21.5</c:v>
                </c:pt>
                <c:pt idx="10">
                  <c:v>22</c:v>
                </c:pt>
              </c:numCache>
            </c:numRef>
          </c:cat>
          <c:val>
            <c:numRef>
              <c:f>工作表2!$W$12:$W$23</c:f>
              <c:numCache>
                <c:formatCode>0.00</c:formatCode>
                <c:ptCount val="12"/>
                <c:pt idx="1">
                  <c:v>6.25E-2</c:v>
                </c:pt>
                <c:pt idx="2">
                  <c:v>0.125</c:v>
                </c:pt>
                <c:pt idx="3">
                  <c:v>6.25E-2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6.25E-2</c:v>
                </c:pt>
                <c:pt idx="9">
                  <c:v>0.125</c:v>
                </c:pt>
                <c:pt idx="10" formatCode="General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E-4F7F-9B7D-9221A8A0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4"/>
        <c:axId val="1083825279"/>
        <c:axId val="1083826719"/>
      </c:barChart>
      <c:catAx>
        <c:axId val="108382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3826719"/>
        <c:crosses val="autoZero"/>
        <c:auto val="1"/>
        <c:lblAlgn val="ctr"/>
        <c:lblOffset val="100"/>
        <c:noMultiLvlLbl val="0"/>
      </c:catAx>
      <c:valAx>
        <c:axId val="10838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382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image" Target="../media/image14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image" Target="../media/image13.png"/><Relationship Id="rId10" Type="http://schemas.openxmlformats.org/officeDocument/2006/relationships/image" Target="../media/image8.png"/><Relationship Id="rId4" Type="http://schemas.openxmlformats.org/officeDocument/2006/relationships/chart" Target="../charts/chart2.xml"/><Relationship Id="rId9" Type="http://schemas.openxmlformats.org/officeDocument/2006/relationships/image" Target="../media/image7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6</xdr:col>
      <xdr:colOff>370955</xdr:colOff>
      <xdr:row>14</xdr:row>
      <xdr:rowOff>114301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DEF7798-8E83-A76D-4952-AF54A8DB7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38151"/>
          <a:ext cx="3590405" cy="27051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1</xdr:row>
      <xdr:rowOff>114301</xdr:rowOff>
    </xdr:from>
    <xdr:to>
      <xdr:col>12</xdr:col>
      <xdr:colOff>388997</xdr:colOff>
      <xdr:row>4</xdr:row>
      <xdr:rowOff>69850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8609622-3001-4E09-9566-3D753E78C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336551"/>
          <a:ext cx="3462397" cy="603249"/>
        </a:xfrm>
        <a:prstGeom prst="rect">
          <a:avLst/>
        </a:prstGeom>
      </xdr:spPr>
    </xdr:pic>
    <xdr:clientData/>
  </xdr:twoCellAnchor>
  <xdr:twoCellAnchor>
    <xdr:from>
      <xdr:col>7</xdr:col>
      <xdr:colOff>365125</xdr:colOff>
      <xdr:row>11</xdr:row>
      <xdr:rowOff>168275</xdr:rowOff>
    </xdr:from>
    <xdr:to>
      <xdr:col>15</xdr:col>
      <xdr:colOff>60325</xdr:colOff>
      <xdr:row>19</xdr:row>
      <xdr:rowOff>196850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B00634B-8C61-F8EB-C270-F180C87A9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460375</xdr:colOff>
      <xdr:row>23</xdr:row>
      <xdr:rowOff>63501</xdr:rowOff>
    </xdr:from>
    <xdr:to>
      <xdr:col>20</xdr:col>
      <xdr:colOff>460375</xdr:colOff>
      <xdr:row>33</xdr:row>
      <xdr:rowOff>104775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05F89DD-4CBF-C607-63D1-30D2CE71C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88900</xdr:colOff>
      <xdr:row>23</xdr:row>
      <xdr:rowOff>76200</xdr:rowOff>
    </xdr:from>
    <xdr:to>
      <xdr:col>9</xdr:col>
      <xdr:colOff>232574</xdr:colOff>
      <xdr:row>32</xdr:row>
      <xdr:rowOff>171735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0A68D7E-8B23-AD08-FEB1-343D36BC6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900" y="5060950"/>
          <a:ext cx="5725324" cy="203863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40</xdr:row>
      <xdr:rowOff>146050</xdr:rowOff>
    </xdr:from>
    <xdr:to>
      <xdr:col>6</xdr:col>
      <xdr:colOff>425450</xdr:colOff>
      <xdr:row>48</xdr:row>
      <xdr:rowOff>153403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3F34C88B-541E-9C9F-DA1D-086669F9A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8801100"/>
          <a:ext cx="4044950" cy="1734553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59</xdr:row>
      <xdr:rowOff>95250</xdr:rowOff>
    </xdr:from>
    <xdr:to>
      <xdr:col>7</xdr:col>
      <xdr:colOff>44450</xdr:colOff>
      <xdr:row>66</xdr:row>
      <xdr:rowOff>34161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676D7E63-A652-B2F4-1425-038988EC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12865100"/>
          <a:ext cx="4311650" cy="145021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75</xdr:row>
      <xdr:rowOff>139700</xdr:rowOff>
    </xdr:from>
    <xdr:to>
      <xdr:col>6</xdr:col>
      <xdr:colOff>298450</xdr:colOff>
      <xdr:row>89</xdr:row>
      <xdr:rowOff>50800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24329A-2831-DEA3-72D4-5CF428DC8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000" y="16363950"/>
          <a:ext cx="4000500" cy="2933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12</xdr:col>
      <xdr:colOff>155489</xdr:colOff>
      <xdr:row>86</xdr:row>
      <xdr:rowOff>184150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E3345B3-472C-7C00-98D8-798782049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38650" y="16440150"/>
          <a:ext cx="3286039" cy="2343150"/>
        </a:xfrm>
        <a:prstGeom prst="rect">
          <a:avLst/>
        </a:prstGeom>
      </xdr:spPr>
    </xdr:pic>
    <xdr:clientData/>
  </xdr:twoCellAnchor>
  <xdr:twoCellAnchor editAs="oneCell">
    <xdr:from>
      <xdr:col>12</xdr:col>
      <xdr:colOff>368300</xdr:colOff>
      <xdr:row>85</xdr:row>
      <xdr:rowOff>68913</xdr:rowOff>
    </xdr:from>
    <xdr:to>
      <xdr:col>15</xdr:col>
      <xdr:colOff>273680</xdr:colOff>
      <xdr:row>90</xdr:row>
      <xdr:rowOff>19271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7A14936-275D-16B1-6AAC-80DA7D988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13700" y="18452163"/>
          <a:ext cx="2940680" cy="10298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8</xdr:col>
      <xdr:colOff>353179</xdr:colOff>
      <xdr:row>124</xdr:row>
      <xdr:rowOff>83164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FB5CEABC-9D98-4D1D-F1D1-D0486F52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2491700"/>
          <a:ext cx="5401429" cy="4401164"/>
        </a:xfrm>
        <a:prstGeom prst="rect">
          <a:avLst/>
        </a:prstGeom>
      </xdr:spPr>
    </xdr:pic>
    <xdr:clientData/>
  </xdr:twoCellAnchor>
  <xdr:twoCellAnchor editAs="oneCell">
    <xdr:from>
      <xdr:col>8</xdr:col>
      <xdr:colOff>546100</xdr:colOff>
      <xdr:row>110</xdr:row>
      <xdr:rowOff>7059</xdr:rowOff>
    </xdr:from>
    <xdr:to>
      <xdr:col>14</xdr:col>
      <xdr:colOff>477795</xdr:colOff>
      <xdr:row>114</xdr:row>
      <xdr:rowOff>63805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11A2E6AA-F0D5-979D-0E3E-88BEFF03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94350" y="23800509"/>
          <a:ext cx="4649745" cy="920346"/>
        </a:xfrm>
        <a:prstGeom prst="rect">
          <a:avLst/>
        </a:prstGeom>
      </xdr:spPr>
    </xdr:pic>
    <xdr:clientData/>
  </xdr:twoCellAnchor>
  <xdr:twoCellAnchor editAs="oneCell">
    <xdr:from>
      <xdr:col>8</xdr:col>
      <xdr:colOff>584200</xdr:colOff>
      <xdr:row>116</xdr:row>
      <xdr:rowOff>158750</xdr:rowOff>
    </xdr:from>
    <xdr:to>
      <xdr:col>11</xdr:col>
      <xdr:colOff>260579</xdr:colOff>
      <xdr:row>120</xdr:row>
      <xdr:rowOff>66783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898795D1-49AE-43B0-C26D-13133B3C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32450" y="25247600"/>
          <a:ext cx="1638529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273050</xdr:colOff>
      <xdr:row>127</xdr:row>
      <xdr:rowOff>66066</xdr:rowOff>
    </xdr:from>
    <xdr:to>
      <xdr:col>6</xdr:col>
      <xdr:colOff>445250</xdr:colOff>
      <xdr:row>137</xdr:row>
      <xdr:rowOff>155995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7BF4D299-742E-E5D6-9B56-8A7B701F4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3050" y="27529816"/>
          <a:ext cx="4001250" cy="2248929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142</xdr:row>
      <xdr:rowOff>96459</xdr:rowOff>
    </xdr:from>
    <xdr:to>
      <xdr:col>7</xdr:col>
      <xdr:colOff>372250</xdr:colOff>
      <xdr:row>158</xdr:row>
      <xdr:rowOff>99003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B850F49C-5DAC-3980-3DDE-2D37AE038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7800" y="30811409"/>
          <a:ext cx="4633100" cy="345694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10</xdr:col>
      <xdr:colOff>590792</xdr:colOff>
      <xdr:row>131</xdr:row>
      <xdr:rowOff>190617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12A95958-9283-F26F-9A3B-4CEF9A95C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048250" y="27686000"/>
          <a:ext cx="1733792" cy="838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F2E4-B0BE-4FD6-A119-2708D4CD4D5F}">
  <dimension ref="A1:X152"/>
  <sheetViews>
    <sheetView tabSelected="1" topLeftCell="A144" workbookViewId="0">
      <selection activeCell="I153" sqref="I153"/>
    </sheetView>
  </sheetViews>
  <sheetFormatPr defaultRowHeight="17" x14ac:dyDescent="0.4"/>
  <cols>
    <col min="3" max="3" width="11.1796875" customWidth="1"/>
    <col min="9" max="9" width="7.6328125" customWidth="1"/>
    <col min="11" max="11" width="11" customWidth="1"/>
    <col min="13" max="13" width="14.36328125" bestFit="1" customWidth="1"/>
    <col min="14" max="14" width="16.90625" bestFit="1" customWidth="1"/>
    <col min="15" max="15" width="12.1796875" bestFit="1" customWidth="1"/>
    <col min="16" max="16" width="13.08984375" bestFit="1" customWidth="1"/>
  </cols>
  <sheetData>
    <row r="1" spans="1:24" ht="17.5" x14ac:dyDescent="0.4">
      <c r="A1" s="2" t="s">
        <v>3</v>
      </c>
    </row>
    <row r="2" spans="1:24" x14ac:dyDescent="0.4">
      <c r="Q2" t="s">
        <v>22</v>
      </c>
      <c r="R2" t="s">
        <v>24</v>
      </c>
      <c r="S2" s="1" t="s">
        <v>26</v>
      </c>
      <c r="X2" s="1" t="s">
        <v>32</v>
      </c>
    </row>
    <row r="3" spans="1:24" x14ac:dyDescent="0.4">
      <c r="O3" t="s">
        <v>19</v>
      </c>
      <c r="P3" t="s">
        <v>20</v>
      </c>
      <c r="Q3" t="s">
        <v>21</v>
      </c>
      <c r="R3" t="s">
        <v>23</v>
      </c>
      <c r="T3" t="s">
        <v>7</v>
      </c>
      <c r="X3" t="s">
        <v>33</v>
      </c>
    </row>
    <row r="4" spans="1:24" x14ac:dyDescent="0.4">
      <c r="R4" s="3"/>
      <c r="T4" t="s">
        <v>27</v>
      </c>
      <c r="U4" t="s">
        <v>6</v>
      </c>
      <c r="V4" t="s">
        <v>8</v>
      </c>
      <c r="W4" t="s">
        <v>9</v>
      </c>
    </row>
    <row r="5" spans="1:24" x14ac:dyDescent="0.4">
      <c r="O5">
        <v>1</v>
      </c>
      <c r="P5" t="s">
        <v>6</v>
      </c>
      <c r="Q5">
        <f>(10+15)/2</f>
        <v>12.5</v>
      </c>
      <c r="R5" s="3">
        <f>1/6</f>
        <v>0.16666666666666666</v>
      </c>
      <c r="T5" t="s">
        <v>10</v>
      </c>
      <c r="U5" t="s">
        <v>28</v>
      </c>
      <c r="V5" t="s">
        <v>11</v>
      </c>
      <c r="W5" t="s">
        <v>12</v>
      </c>
    </row>
    <row r="6" spans="1:24" x14ac:dyDescent="0.4">
      <c r="O6">
        <v>2</v>
      </c>
      <c r="P6" t="s">
        <v>8</v>
      </c>
      <c r="Q6">
        <f>(10+21)/2</f>
        <v>15.5</v>
      </c>
      <c r="R6" s="3">
        <f t="shared" ref="R6:R10" si="0">1/6</f>
        <v>0.16666666666666666</v>
      </c>
      <c r="T6" t="s">
        <v>13</v>
      </c>
      <c r="U6" t="s">
        <v>30</v>
      </c>
      <c r="V6" t="s">
        <v>29</v>
      </c>
      <c r="W6" t="s">
        <v>15</v>
      </c>
    </row>
    <row r="7" spans="1:24" x14ac:dyDescent="0.4">
      <c r="H7" s="1" t="s">
        <v>4</v>
      </c>
      <c r="I7" t="s">
        <v>5</v>
      </c>
      <c r="K7" t="s">
        <v>7</v>
      </c>
      <c r="O7">
        <v>3</v>
      </c>
      <c r="P7" t="s">
        <v>9</v>
      </c>
      <c r="Q7">
        <f>(10+22)/2</f>
        <v>16</v>
      </c>
      <c r="R7" s="3">
        <f t="shared" si="0"/>
        <v>0.16666666666666666</v>
      </c>
      <c r="T7" t="s">
        <v>16</v>
      </c>
      <c r="U7" t="s">
        <v>17</v>
      </c>
      <c r="V7" t="s">
        <v>18</v>
      </c>
      <c r="W7" t="s">
        <v>31</v>
      </c>
    </row>
    <row r="8" spans="1:24" x14ac:dyDescent="0.4">
      <c r="I8">
        <v>10</v>
      </c>
      <c r="K8" t="s">
        <v>6</v>
      </c>
      <c r="L8" t="s">
        <v>8</v>
      </c>
      <c r="M8" t="s">
        <v>9</v>
      </c>
      <c r="O8">
        <v>4</v>
      </c>
      <c r="P8" t="s">
        <v>11</v>
      </c>
      <c r="Q8">
        <f>(15+21)/2</f>
        <v>18</v>
      </c>
      <c r="R8" s="3">
        <f t="shared" si="0"/>
        <v>0.16666666666666666</v>
      </c>
    </row>
    <row r="9" spans="1:24" x14ac:dyDescent="0.4">
      <c r="I9">
        <v>15</v>
      </c>
      <c r="K9" t="s">
        <v>10</v>
      </c>
      <c r="L9" t="s">
        <v>11</v>
      </c>
      <c r="M9" t="s">
        <v>12</v>
      </c>
      <c r="O9">
        <v>5</v>
      </c>
      <c r="P9" t="s">
        <v>12</v>
      </c>
      <c r="Q9">
        <f>(15+22)/2</f>
        <v>18.5</v>
      </c>
      <c r="R9" s="3">
        <f t="shared" si="0"/>
        <v>0.16666666666666666</v>
      </c>
    </row>
    <row r="10" spans="1:24" x14ac:dyDescent="0.4">
      <c r="I10">
        <v>21</v>
      </c>
      <c r="K10" t="s">
        <v>13</v>
      </c>
      <c r="L10" t="s">
        <v>14</v>
      </c>
      <c r="M10" t="s">
        <v>15</v>
      </c>
      <c r="O10">
        <v>6</v>
      </c>
      <c r="P10" t="s">
        <v>15</v>
      </c>
      <c r="Q10">
        <f>(21+22)/2</f>
        <v>21.5</v>
      </c>
      <c r="R10" s="3">
        <f t="shared" si="0"/>
        <v>0.16666666666666666</v>
      </c>
      <c r="V10" t="s">
        <v>22</v>
      </c>
      <c r="W10" t="s">
        <v>24</v>
      </c>
    </row>
    <row r="11" spans="1:24" x14ac:dyDescent="0.4">
      <c r="I11">
        <v>22</v>
      </c>
      <c r="K11" t="s">
        <v>16</v>
      </c>
      <c r="L11" t="s">
        <v>17</v>
      </c>
      <c r="M11" t="s">
        <v>18</v>
      </c>
      <c r="T11" t="s">
        <v>19</v>
      </c>
      <c r="U11" t="s">
        <v>20</v>
      </c>
      <c r="V11" t="s">
        <v>21</v>
      </c>
      <c r="W11" t="s">
        <v>23</v>
      </c>
    </row>
    <row r="12" spans="1:24" x14ac:dyDescent="0.4">
      <c r="P12" s="4" t="s">
        <v>25</v>
      </c>
      <c r="Q12">
        <v>17</v>
      </c>
      <c r="W12" s="3"/>
    </row>
    <row r="13" spans="1:24" x14ac:dyDescent="0.4">
      <c r="T13">
        <v>1</v>
      </c>
      <c r="U13" t="s">
        <v>27</v>
      </c>
      <c r="V13">
        <v>10</v>
      </c>
      <c r="W13" s="3">
        <f t="shared" ref="W13" si="1">1/16</f>
        <v>6.25E-2</v>
      </c>
    </row>
    <row r="14" spans="1:24" x14ac:dyDescent="0.4">
      <c r="T14">
        <v>2</v>
      </c>
      <c r="U14" t="s">
        <v>6</v>
      </c>
      <c r="V14">
        <f>(10+15)/2</f>
        <v>12.5</v>
      </c>
      <c r="W14" s="3">
        <f>2/16</f>
        <v>0.125</v>
      </c>
    </row>
    <row r="15" spans="1:24" x14ac:dyDescent="0.4">
      <c r="T15">
        <v>3</v>
      </c>
      <c r="U15" t="s">
        <v>28</v>
      </c>
      <c r="V15">
        <v>15</v>
      </c>
      <c r="W15" s="3">
        <f t="shared" ref="W15" si="2">1/16</f>
        <v>6.25E-2</v>
      </c>
    </row>
    <row r="16" spans="1:24" x14ac:dyDescent="0.4">
      <c r="S16" s="3"/>
      <c r="T16">
        <v>4</v>
      </c>
      <c r="U16" t="s">
        <v>8</v>
      </c>
      <c r="V16">
        <f>(10+21)/2</f>
        <v>15.5</v>
      </c>
      <c r="W16" s="3">
        <f t="shared" ref="W16:W19" si="3">2/16</f>
        <v>0.125</v>
      </c>
    </row>
    <row r="17" spans="1:23" x14ac:dyDescent="0.4">
      <c r="S17" s="3"/>
      <c r="T17">
        <v>5</v>
      </c>
      <c r="U17" t="s">
        <v>9</v>
      </c>
      <c r="V17">
        <f>(10+22)/2</f>
        <v>16</v>
      </c>
      <c r="W17" s="3">
        <f t="shared" si="3"/>
        <v>0.125</v>
      </c>
    </row>
    <row r="18" spans="1:23" x14ac:dyDescent="0.4">
      <c r="T18">
        <v>6</v>
      </c>
      <c r="U18" t="s">
        <v>11</v>
      </c>
      <c r="V18">
        <f>(15+21)/2</f>
        <v>18</v>
      </c>
      <c r="W18" s="3">
        <f t="shared" si="3"/>
        <v>0.125</v>
      </c>
    </row>
    <row r="19" spans="1:23" x14ac:dyDescent="0.4">
      <c r="T19">
        <v>7</v>
      </c>
      <c r="U19" t="s">
        <v>12</v>
      </c>
      <c r="V19">
        <f>(15+22)/2</f>
        <v>18.5</v>
      </c>
      <c r="W19" s="3">
        <f t="shared" si="3"/>
        <v>0.125</v>
      </c>
    </row>
    <row r="20" spans="1:23" x14ac:dyDescent="0.4">
      <c r="S20" s="3"/>
      <c r="T20">
        <v>8</v>
      </c>
      <c r="U20" t="s">
        <v>29</v>
      </c>
      <c r="V20">
        <v>21</v>
      </c>
      <c r="W20" s="3">
        <f>1/16</f>
        <v>6.25E-2</v>
      </c>
    </row>
    <row r="21" spans="1:23" x14ac:dyDescent="0.4">
      <c r="S21" s="3"/>
      <c r="T21">
        <v>9</v>
      </c>
      <c r="U21" t="s">
        <v>15</v>
      </c>
      <c r="V21">
        <f>(21+22)/2</f>
        <v>21.5</v>
      </c>
      <c r="W21" s="3">
        <f t="shared" ref="W21" si="4">2/16</f>
        <v>0.125</v>
      </c>
    </row>
    <row r="22" spans="1:23" ht="17.5" x14ac:dyDescent="0.4">
      <c r="A22" s="2" t="s">
        <v>34</v>
      </c>
      <c r="T22">
        <v>10</v>
      </c>
      <c r="U22" t="s">
        <v>31</v>
      </c>
      <c r="V22">
        <v>22</v>
      </c>
      <c r="W22">
        <f>1/16</f>
        <v>6.25E-2</v>
      </c>
    </row>
    <row r="24" spans="1:23" x14ac:dyDescent="0.4">
      <c r="V24" s="4" t="s">
        <v>25</v>
      </c>
      <c r="W24">
        <v>17</v>
      </c>
    </row>
    <row r="35" spans="1:5" x14ac:dyDescent="0.4">
      <c r="B35" t="s">
        <v>22</v>
      </c>
    </row>
    <row r="36" spans="1:5" x14ac:dyDescent="0.4">
      <c r="B36" t="s">
        <v>36</v>
      </c>
      <c r="C36" s="5">
        <v>53</v>
      </c>
    </row>
    <row r="37" spans="1:5" x14ac:dyDescent="0.4">
      <c r="B37" t="s">
        <v>37</v>
      </c>
      <c r="D37" s="1" t="s">
        <v>38</v>
      </c>
      <c r="E37">
        <f>3</f>
        <v>3</v>
      </c>
    </row>
    <row r="40" spans="1:5" ht="17.5" x14ac:dyDescent="0.4">
      <c r="A40" s="2" t="s">
        <v>35</v>
      </c>
    </row>
    <row r="50" spans="1:14" x14ac:dyDescent="0.4">
      <c r="E50" t="s">
        <v>0</v>
      </c>
      <c r="I50" t="s">
        <v>1</v>
      </c>
      <c r="K50" t="s">
        <v>2</v>
      </c>
    </row>
    <row r="51" spans="1:14" x14ac:dyDescent="0.4">
      <c r="B51" t="s">
        <v>25</v>
      </c>
      <c r="C51">
        <v>1110</v>
      </c>
      <c r="E51" t="s">
        <v>41</v>
      </c>
      <c r="I51" t="s">
        <v>42</v>
      </c>
      <c r="K51" t="s">
        <v>43</v>
      </c>
      <c r="L51" t="s">
        <v>49</v>
      </c>
      <c r="N51" s="5">
        <v>0</v>
      </c>
    </row>
    <row r="52" spans="1:14" x14ac:dyDescent="0.4">
      <c r="B52" s="6" t="s">
        <v>39</v>
      </c>
      <c r="C52">
        <v>80</v>
      </c>
      <c r="E52">
        <f>(1100-C51)/4</f>
        <v>-2.5</v>
      </c>
    </row>
    <row r="53" spans="1:14" x14ac:dyDescent="0.4">
      <c r="B53" t="s">
        <v>40</v>
      </c>
      <c r="C53">
        <v>400</v>
      </c>
      <c r="E53">
        <f>1110-C51</f>
        <v>0</v>
      </c>
      <c r="I53" t="s">
        <v>47</v>
      </c>
      <c r="J53" t="s">
        <v>48</v>
      </c>
      <c r="L53">
        <f>900-C51</f>
        <v>-210</v>
      </c>
    </row>
    <row r="54" spans="1:14" x14ac:dyDescent="0.4">
      <c r="A54" t="s">
        <v>37</v>
      </c>
      <c r="C54">
        <f>80/20</f>
        <v>4</v>
      </c>
      <c r="E54" t="s">
        <v>46</v>
      </c>
      <c r="G54" s="1" t="s">
        <v>44</v>
      </c>
      <c r="I54" s="4" t="s">
        <v>45</v>
      </c>
      <c r="J54">
        <f>0.5+0.4938</f>
        <v>0.99380000000000002</v>
      </c>
      <c r="L54">
        <f>L53/4</f>
        <v>-52.5</v>
      </c>
    </row>
    <row r="55" spans="1:14" x14ac:dyDescent="0.4">
      <c r="F55" s="4" t="s">
        <v>45</v>
      </c>
      <c r="G55">
        <f>0.5-0.0062</f>
        <v>0.49380000000000002</v>
      </c>
    </row>
    <row r="58" spans="1:14" ht="17.5" x14ac:dyDescent="0.4">
      <c r="A58" s="2" t="s">
        <v>50</v>
      </c>
    </row>
    <row r="68" spans="1:16" x14ac:dyDescent="0.4">
      <c r="B68" t="s">
        <v>52</v>
      </c>
      <c r="C68">
        <v>0.7</v>
      </c>
      <c r="E68" s="6" t="s">
        <v>39</v>
      </c>
      <c r="F68">
        <f>SQRT(C69*C68*0.3)</f>
        <v>3.2403703492039302</v>
      </c>
    </row>
    <row r="69" spans="1:16" x14ac:dyDescent="0.4">
      <c r="B69" t="s">
        <v>40</v>
      </c>
      <c r="C69">
        <v>50</v>
      </c>
      <c r="G69">
        <f>SQRT(0.7*0.3/50)</f>
        <v>6.4807406984078594E-2</v>
      </c>
    </row>
    <row r="70" spans="1:16" x14ac:dyDescent="0.4">
      <c r="B70" t="s">
        <v>53</v>
      </c>
      <c r="C70" t="s">
        <v>55</v>
      </c>
      <c r="D70">
        <f>1-0.5871</f>
        <v>0.41290000000000004</v>
      </c>
    </row>
    <row r="72" spans="1:16" x14ac:dyDescent="0.4">
      <c r="B72" t="s">
        <v>54</v>
      </c>
      <c r="C72">
        <f>0.1/G69</f>
        <v>1.5430334996209194</v>
      </c>
    </row>
    <row r="75" spans="1:16" ht="17.5" x14ac:dyDescent="0.4">
      <c r="A75" s="2" t="s">
        <v>51</v>
      </c>
    </row>
    <row r="77" spans="1:16" x14ac:dyDescent="0.4">
      <c r="N77" t="s">
        <v>0</v>
      </c>
    </row>
    <row r="78" spans="1:16" x14ac:dyDescent="0.4">
      <c r="N78" t="s">
        <v>25</v>
      </c>
      <c r="O78">
        <v>0.47</v>
      </c>
    </row>
    <row r="79" spans="1:16" x14ac:dyDescent="0.4">
      <c r="N79" s="6" t="s">
        <v>56</v>
      </c>
      <c r="O79" t="s">
        <v>57</v>
      </c>
      <c r="P79">
        <f>100*0.47*0.53</f>
        <v>24.91</v>
      </c>
    </row>
    <row r="80" spans="1:16" x14ac:dyDescent="0.4">
      <c r="N80" s="6" t="s">
        <v>58</v>
      </c>
      <c r="O80" s="7">
        <f>SQRT(P79)</f>
        <v>4.9909918853871122</v>
      </c>
    </row>
    <row r="81" spans="8:16" x14ac:dyDescent="0.4">
      <c r="N81" s="6" t="s">
        <v>1</v>
      </c>
    </row>
    <row r="82" spans="8:16" x14ac:dyDescent="0.4">
      <c r="N82" s="6" t="s">
        <v>59</v>
      </c>
      <c r="P82">
        <v>0.34460000000000002</v>
      </c>
    </row>
    <row r="84" spans="8:16" x14ac:dyDescent="0.4">
      <c r="N84">
        <f>SQRT(0.47*0.53/100)</f>
        <v>4.9909918853871117E-2</v>
      </c>
      <c r="O84">
        <f>(0.45-0.47)/N84</f>
        <v>-0.4007219498504298</v>
      </c>
    </row>
    <row r="89" spans="8:16" x14ac:dyDescent="0.4">
      <c r="H89" t="s">
        <v>2</v>
      </c>
      <c r="I89" s="6" t="s">
        <v>61</v>
      </c>
    </row>
    <row r="90" spans="8:16" x14ac:dyDescent="0.4">
      <c r="H90" s="4" t="s">
        <v>45</v>
      </c>
      <c r="I90">
        <f>0.3446-0.1587</f>
        <v>0.18590000000000001</v>
      </c>
    </row>
    <row r="91" spans="8:16" x14ac:dyDescent="0.4">
      <c r="I91">
        <f>SQRT(0.47*0.53/100)</f>
        <v>4.9909918853871117E-2</v>
      </c>
      <c r="J91">
        <f>(0.42-0.47)/I91</f>
        <v>-1.0018048746260761</v>
      </c>
    </row>
    <row r="93" spans="8:16" x14ac:dyDescent="0.4">
      <c r="H93" t="s">
        <v>60</v>
      </c>
      <c r="I93" s="6" t="s">
        <v>62</v>
      </c>
      <c r="K93">
        <v>2.9999999999999997E-4</v>
      </c>
    </row>
    <row r="94" spans="8:16" x14ac:dyDescent="0.4">
      <c r="H94">
        <f>SQRT(0.47*0.53/100)</f>
        <v>4.9909918853871117E-2</v>
      </c>
      <c r="I94">
        <f>(0.3-0.47)/H94</f>
        <v>-3.4061365737286593</v>
      </c>
    </row>
    <row r="103" spans="1:14" ht="17.5" x14ac:dyDescent="0.4">
      <c r="A103" s="2" t="s">
        <v>63</v>
      </c>
    </row>
    <row r="104" spans="1:14" ht="17.5" x14ac:dyDescent="0.4">
      <c r="A104" s="2" t="s">
        <v>64</v>
      </c>
    </row>
    <row r="107" spans="1:14" x14ac:dyDescent="0.4">
      <c r="J107" t="s">
        <v>25</v>
      </c>
      <c r="K107">
        <v>1020</v>
      </c>
    </row>
    <row r="108" spans="1:14" x14ac:dyDescent="0.4">
      <c r="J108" t="s">
        <v>65</v>
      </c>
      <c r="K108">
        <v>90</v>
      </c>
      <c r="M108">
        <f>SQRT(60)</f>
        <v>7.745966692414834</v>
      </c>
    </row>
    <row r="109" spans="1:14" x14ac:dyDescent="0.4">
      <c r="J109" t="s">
        <v>66</v>
      </c>
      <c r="K109" t="s">
        <v>67</v>
      </c>
      <c r="M109" s="1" t="s">
        <v>68</v>
      </c>
      <c r="N109">
        <f>1.96*K108/M108</f>
        <v>22.77314207569961</v>
      </c>
    </row>
    <row r="116" spans="1:16" x14ac:dyDescent="0.4">
      <c r="J116" t="s">
        <v>52</v>
      </c>
      <c r="K116">
        <f>79/121</f>
        <v>0.65289256198347112</v>
      </c>
      <c r="M116" t="s">
        <v>69</v>
      </c>
      <c r="N116" t="s">
        <v>70</v>
      </c>
      <c r="O116">
        <f>K116*(1-K116)</f>
        <v>0.22662386449013044</v>
      </c>
      <c r="P116">
        <f>SQRT(O116/121)</f>
        <v>4.3277297742793895E-2</v>
      </c>
    </row>
    <row r="118" spans="1:16" x14ac:dyDescent="0.4">
      <c r="M118" t="s">
        <v>71</v>
      </c>
      <c r="N118" s="8">
        <f>1.96*P116</f>
        <v>8.4823503575876036E-2</v>
      </c>
    </row>
    <row r="127" spans="1:16" ht="17.5" x14ac:dyDescent="0.4">
      <c r="A127" s="2" t="s">
        <v>72</v>
      </c>
    </row>
    <row r="130" spans="1:13" x14ac:dyDescent="0.4">
      <c r="L130" t="s">
        <v>40</v>
      </c>
      <c r="M130">
        <v>500</v>
      </c>
    </row>
    <row r="131" spans="1:13" x14ac:dyDescent="0.4">
      <c r="L131" t="s">
        <v>52</v>
      </c>
      <c r="M131">
        <f>27/500</f>
        <v>5.3999999999999999E-2</v>
      </c>
    </row>
    <row r="132" spans="1:13" x14ac:dyDescent="0.4">
      <c r="L132" t="s">
        <v>74</v>
      </c>
      <c r="M132">
        <f>1-M131</f>
        <v>0.94599999999999995</v>
      </c>
    </row>
    <row r="133" spans="1:13" x14ac:dyDescent="0.4">
      <c r="J133">
        <f>SQRT(M131*M132/M130)</f>
        <v>1.0107818755794942E-2</v>
      </c>
    </row>
    <row r="134" spans="1:13" x14ac:dyDescent="0.4">
      <c r="I134" s="8">
        <f>1.96*J133</f>
        <v>1.9811324761358086E-2</v>
      </c>
    </row>
    <row r="142" spans="1:13" ht="17.5" x14ac:dyDescent="0.4">
      <c r="A142" s="2" t="s">
        <v>73</v>
      </c>
      <c r="I142" t="s">
        <v>40</v>
      </c>
      <c r="J142">
        <v>50</v>
      </c>
    </row>
    <row r="143" spans="1:13" x14ac:dyDescent="0.4">
      <c r="I143" t="s">
        <v>75</v>
      </c>
      <c r="L143" t="s">
        <v>76</v>
      </c>
    </row>
    <row r="144" spans="1:13" x14ac:dyDescent="0.4">
      <c r="I144" t="s">
        <v>25</v>
      </c>
      <c r="J144">
        <v>8</v>
      </c>
      <c r="L144" t="s">
        <v>25</v>
      </c>
      <c r="M144">
        <v>67.3</v>
      </c>
    </row>
    <row r="145" spans="9:14" x14ac:dyDescent="0.4">
      <c r="I145" s="6" t="s">
        <v>58</v>
      </c>
      <c r="J145">
        <v>0.3</v>
      </c>
      <c r="L145" s="6" t="s">
        <v>58</v>
      </c>
      <c r="M145">
        <v>0.64</v>
      </c>
    </row>
    <row r="146" spans="9:14" x14ac:dyDescent="0.4">
      <c r="J146">
        <f>J145/SQRT(J142)</f>
        <v>4.2426406871192847E-2</v>
      </c>
      <c r="M146">
        <f>M145/SQRT(J142)</f>
        <v>9.0509667991878082E-2</v>
      </c>
    </row>
    <row r="147" spans="9:14" x14ac:dyDescent="0.4">
      <c r="I147" s="3">
        <f>1.96*J146</f>
        <v>8.3155757467537977E-2</v>
      </c>
      <c r="L147" s="3">
        <f>2.58*M146</f>
        <v>0.23351494341904547</v>
      </c>
    </row>
    <row r="148" spans="9:14" x14ac:dyDescent="0.4">
      <c r="I148" s="9">
        <f>50-I147</f>
        <v>49.916844242532463</v>
      </c>
      <c r="J148" t="s">
        <v>77</v>
      </c>
      <c r="K148" t="s">
        <v>78</v>
      </c>
      <c r="L148" s="9">
        <f>67.3-L147</f>
        <v>67.066485056580959</v>
      </c>
      <c r="M148" t="s">
        <v>79</v>
      </c>
      <c r="N148" s="10" t="s">
        <v>80</v>
      </c>
    </row>
    <row r="152" spans="9:14" x14ac:dyDescent="0.4">
      <c r="I152" t="s">
        <v>81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劉怡伶</dc:creator>
  <cp:lastModifiedBy>劉怡伶</cp:lastModifiedBy>
  <dcterms:created xsi:type="dcterms:W3CDTF">2025-10-05T06:49:16Z</dcterms:created>
  <dcterms:modified xsi:type="dcterms:W3CDTF">2025-11-21T10:17:36Z</dcterms:modified>
</cp:coreProperties>
</file>