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ktikum\prozessmodellierung\tests\"/>
    </mc:Choice>
  </mc:AlternateContent>
  <xr:revisionPtr revIDLastSave="0" documentId="13_ncr:1_{B6DC3930-4ADF-408C-898B-5EF23C75DCDC}" xr6:coauthVersionLast="45" xr6:coauthVersionMax="45" xr10:uidLastSave="{00000000-0000-0000-0000-000000000000}"/>
  <bookViews>
    <workbookView xWindow="-19310" yWindow="3440" windowWidth="19420" windowHeight="10420" xr2:uid="{4841A0AC-136D-4CFB-B27C-1C07DA64A98E}"/>
  </bookViews>
  <sheets>
    <sheet name="Test" sheetId="1" r:id="rId1"/>
    <sheet name="ValidierungFenske" sheetId="9" r:id="rId2"/>
    <sheet name="Tabelle2" sheetId="10" r:id="rId3"/>
    <sheet name="Tabelle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J10" i="1"/>
  <c r="H4" i="1" l="1"/>
  <c r="G4" i="1"/>
  <c r="E4" i="1"/>
  <c r="D4" i="1"/>
  <c r="H3" i="1"/>
  <c r="G3" i="1"/>
  <c r="E3" i="1"/>
  <c r="D3" i="1"/>
  <c r="G7" i="1"/>
  <c r="D7" i="1"/>
  <c r="H7" i="1"/>
  <c r="E7" i="1"/>
  <c r="H6" i="1"/>
  <c r="G6" i="1"/>
  <c r="E6" i="1"/>
  <c r="D6" i="1"/>
  <c r="H5" i="1"/>
  <c r="G5" i="1"/>
  <c r="E5" i="1"/>
  <c r="D5" i="1"/>
  <c r="H9" i="1"/>
  <c r="G9" i="1"/>
  <c r="E9" i="1"/>
  <c r="D9" i="1"/>
  <c r="H8" i="1"/>
  <c r="G8" i="1"/>
  <c r="E8" i="1"/>
  <c r="D8" i="1"/>
  <c r="G2" i="1"/>
  <c r="H2" i="1"/>
  <c r="E2" i="1"/>
  <c r="I9" i="11"/>
  <c r="K9" i="11" s="1"/>
  <c r="L9" i="11" s="1"/>
  <c r="E9" i="11"/>
  <c r="F9" i="11" s="1"/>
  <c r="C9" i="11"/>
  <c r="I8" i="11"/>
  <c r="K8" i="11" s="1"/>
  <c r="L8" i="11" s="1"/>
  <c r="C8" i="11"/>
  <c r="E8" i="11" s="1"/>
  <c r="F8" i="11" s="1"/>
  <c r="I7" i="11"/>
  <c r="K7" i="11" s="1"/>
  <c r="L7" i="11" s="1"/>
  <c r="E7" i="11"/>
  <c r="F7" i="11" s="1"/>
  <c r="C7" i="11"/>
  <c r="C24" i="10"/>
  <c r="B24" i="10"/>
  <c r="O7" i="10" s="1"/>
  <c r="P9" i="10"/>
  <c r="Q9" i="10" s="1"/>
  <c r="O9" i="10"/>
  <c r="R9" i="10" s="1"/>
  <c r="N9" i="10"/>
  <c r="J9" i="10"/>
  <c r="P8" i="10"/>
  <c r="N8" i="10"/>
  <c r="Q8" i="10" s="1"/>
  <c r="J8" i="10"/>
  <c r="Q7" i="10"/>
  <c r="P7" i="10"/>
  <c r="N7" i="10"/>
  <c r="J7" i="10"/>
  <c r="C24" i="9"/>
  <c r="B24" i="9"/>
  <c r="E13" i="9"/>
  <c r="F13" i="9" s="1"/>
  <c r="D13" i="9"/>
  <c r="E12" i="9"/>
  <c r="D12" i="9"/>
  <c r="F12" i="9" s="1"/>
  <c r="M9" i="9"/>
  <c r="M8" i="9"/>
  <c r="E8" i="9"/>
  <c r="F8" i="9" s="1"/>
  <c r="D8" i="9"/>
  <c r="M7" i="9"/>
  <c r="E7" i="9"/>
  <c r="F7" i="9" s="1"/>
  <c r="D7" i="9"/>
  <c r="E3" i="9"/>
  <c r="D3" i="9"/>
  <c r="F3" i="9" s="1"/>
  <c r="E2" i="9"/>
  <c r="D2" i="9"/>
  <c r="F2" i="9" s="1"/>
  <c r="S7" i="10" l="1"/>
  <c r="R7" i="10"/>
  <c r="N9" i="9"/>
  <c r="N7" i="9"/>
  <c r="N8" i="9"/>
  <c r="S9" i="10"/>
  <c r="O8" i="10"/>
  <c r="P8" i="9" l="1"/>
  <c r="Q8" i="9" s="1"/>
  <c r="O8" i="9"/>
  <c r="P7" i="9"/>
  <c r="Q7" i="9" s="1"/>
  <c r="O7" i="9"/>
  <c r="R8" i="10"/>
  <c r="S8" i="10"/>
  <c r="O9" i="9"/>
  <c r="P9" i="9"/>
  <c r="Q9" i="9" s="1"/>
  <c r="K8" i="1" l="1"/>
</calcChain>
</file>

<file path=xl/sharedStrings.xml><?xml version="1.0" encoding="utf-8"?>
<sst xmlns="http://schemas.openxmlformats.org/spreadsheetml/2006/main" count="120" uniqueCount="59">
  <si>
    <t>feed_purity</t>
  </si>
  <si>
    <t>product_yield</t>
  </si>
  <si>
    <t>product_purity</t>
  </si>
  <si>
    <t>N_min</t>
  </si>
  <si>
    <t>R_min</t>
  </si>
  <si>
    <t>N</t>
  </si>
  <si>
    <t>tray_position</t>
  </si>
  <si>
    <t>acetone</t>
  </si>
  <si>
    <t>Sec-ButylAcetate</t>
  </si>
  <si>
    <t>Pa</t>
  </si>
  <si>
    <t>propane</t>
  </si>
  <si>
    <t>ethane</t>
  </si>
  <si>
    <t>heptane</t>
  </si>
  <si>
    <t>cyclohexane</t>
  </si>
  <si>
    <t>light_substance</t>
  </si>
  <si>
    <t>heavy_substance</t>
  </si>
  <si>
    <t>ps_light_bottom</t>
  </si>
  <si>
    <t>ps_heavy_bottom</t>
  </si>
  <si>
    <t>ps_light_top</t>
  </si>
  <si>
    <t>ps_heavy_top</t>
  </si>
  <si>
    <t>True</t>
  </si>
  <si>
    <t>product_is_distillate</t>
  </si>
  <si>
    <t>False</t>
  </si>
  <si>
    <t>Sec-ButylAcetate und acetone</t>
  </si>
  <si>
    <t>T</t>
  </si>
  <si>
    <t>Comp1</t>
  </si>
  <si>
    <t>Comp2</t>
  </si>
  <si>
    <t>alpha</t>
  </si>
  <si>
    <t>alpha_bottom:</t>
  </si>
  <si>
    <t>~450</t>
  </si>
  <si>
    <t xml:space="preserve">alpha_top: </t>
  </si>
  <si>
    <t xml:space="preserve">average: </t>
  </si>
  <si>
    <t xml:space="preserve">alpha : </t>
  </si>
  <si>
    <t>Design Case</t>
  </si>
  <si>
    <t>propane und ethane</t>
  </si>
  <si>
    <t>Stufenzahlen</t>
  </si>
  <si>
    <t>Alpha Res</t>
  </si>
  <si>
    <t>Alpha AVG</t>
  </si>
  <si>
    <t>S mit alpha AVG</t>
  </si>
  <si>
    <t xml:space="preserve">alpha_bottom: </t>
  </si>
  <si>
    <t>~273</t>
  </si>
  <si>
    <t>heptane und cyclohexane</t>
  </si>
  <si>
    <t>alpha_top:</t>
  </si>
  <si>
    <t>Zusammensetzung</t>
  </si>
  <si>
    <t>S</t>
  </si>
  <si>
    <t>Temp</t>
  </si>
  <si>
    <t>Antoine</t>
  </si>
  <si>
    <t>Stufenzahl</t>
  </si>
  <si>
    <t>Alpha_res/Alpha_avg</t>
  </si>
  <si>
    <t>Pa_CHEMCAD</t>
  </si>
  <si>
    <t>DIF</t>
  </si>
  <si>
    <t>norm DIF</t>
  </si>
  <si>
    <t>Sec</t>
  </si>
  <si>
    <t>Propane</t>
  </si>
  <si>
    <t>Heptane</t>
  </si>
  <si>
    <t>Cyclohexane</t>
  </si>
  <si>
    <t>temp_bottom</t>
  </si>
  <si>
    <t>temp_top</t>
  </si>
  <si>
    <t>Norweger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</si>
</sst>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2FA-3677-4DC4-B502-E265EBFAA469}">
  <dimension ref="A1:P13"/>
  <sheetViews>
    <sheetView tabSelected="1" topLeftCell="F1" zoomScaleNormal="100" workbookViewId="0">
      <selection activeCell="O11" sqref="O11"/>
    </sheetView>
  </sheetViews>
  <sheetFormatPr baseColWidth="10" defaultRowHeight="15" x14ac:dyDescent="0.25"/>
  <cols>
    <col min="1" max="1" width="23.42578125" customWidth="1"/>
    <col min="2" max="2" width="20" customWidth="1"/>
    <col min="3" max="3" width="14.7109375" customWidth="1"/>
    <col min="4" max="4" width="17" customWidth="1"/>
    <col min="5" max="5" width="18.140625" customWidth="1"/>
    <col min="6" max="6" width="15.85546875" customWidth="1"/>
    <col min="7" max="7" width="17" customWidth="1"/>
    <col min="8" max="8" width="17.28515625" customWidth="1"/>
    <col min="9" max="9" width="19.28515625" customWidth="1"/>
    <col min="10" max="10" width="12.5703125" customWidth="1"/>
    <col min="11" max="11" width="21.5703125" customWidth="1"/>
    <col min="13" max="13" width="16.5703125" customWidth="1"/>
  </cols>
  <sheetData>
    <row r="1" spans="1:16" x14ac:dyDescent="0.25">
      <c r="A1" s="2" t="s">
        <v>14</v>
      </c>
      <c r="B1" s="2" t="s">
        <v>15</v>
      </c>
      <c r="C1" t="s">
        <v>56</v>
      </c>
      <c r="D1" s="2" t="s">
        <v>16</v>
      </c>
      <c r="E1" s="2" t="s">
        <v>17</v>
      </c>
      <c r="F1" t="s">
        <v>57</v>
      </c>
      <c r="G1" s="2" t="s">
        <v>18</v>
      </c>
      <c r="H1" s="2" t="s">
        <v>19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21</v>
      </c>
    </row>
    <row r="2" spans="1:16" x14ac:dyDescent="0.25">
      <c r="A2" s="2" t="s">
        <v>7</v>
      </c>
      <c r="B2" s="2" t="s">
        <v>8</v>
      </c>
      <c r="C2">
        <v>382.28300000000002</v>
      </c>
      <c r="D2" s="1">
        <f>EXP(Tabelle3!$I$1+Tabelle3!$J$1/C2+Tabelle3!$K$1*LN(C2)+Tabelle3!$L$1*C2^Tabelle3!$M$1)</f>
        <v>469428.48474097258</v>
      </c>
      <c r="E2" s="1">
        <f>EXP(Tabelle3!$C$1+Tabelle3!$D$1/C2+Tabelle3!$E$1*LN(C2)+Tabelle3!$F$1*C2^Tabelle3!$G$1)</f>
        <v>92892.125778683665</v>
      </c>
      <c r="F2">
        <v>346.202</v>
      </c>
      <c r="G2" s="1">
        <f>EXP(Tabelle3!$I$1+Tabelle3!$J$1/F2+Tabelle3!$K$1*LN(F2)+Tabelle3!$L$1*F2^Tabelle3!$M$1)</f>
        <v>175006.93940191882</v>
      </c>
      <c r="H2" s="1">
        <f>EXP(Tabelle3!$C$1+Tabelle3!$D$1/F2+Tabelle3!$E$1*LN(F2)+Tabelle3!$F$1*F2^Tabelle3!$G$1)</f>
        <v>26824.986154977745</v>
      </c>
      <c r="I2" s="2">
        <v>0.5</v>
      </c>
      <c r="J2" s="2">
        <v>0.95</v>
      </c>
      <c r="K2" s="2">
        <v>0.95</v>
      </c>
      <c r="L2" s="2">
        <v>3.2818000000000001</v>
      </c>
      <c r="M2" s="2">
        <v>0.258855</v>
      </c>
      <c r="N2" s="2">
        <v>4.3731400000000002</v>
      </c>
      <c r="O2" s="2">
        <v>2.1865700000000001</v>
      </c>
      <c r="P2" t="s">
        <v>20</v>
      </c>
    </row>
    <row r="3" spans="1:16" x14ac:dyDescent="0.25">
      <c r="A3" s="2" t="s">
        <v>11</v>
      </c>
      <c r="B3" s="2" t="s">
        <v>10</v>
      </c>
      <c r="C3">
        <v>224.46299999999999</v>
      </c>
      <c r="D3" s="1">
        <f>EXP(Tabelle3!$I$2+Tabelle3!$J$2/C3+Tabelle3!$K$2*LN(C3)+Tabelle3!$L$2*C3^Tabelle3!$M$2)</f>
        <v>578038.86681417609</v>
      </c>
      <c r="E3" s="1">
        <f>EXP(Tabelle3!$C$2+Tabelle3!$D$2/C3+Tabelle3!$E$2*LN(C3)+Tabelle3!$F$2*C3^Tabelle3!$G$2)</f>
        <v>74836.890322222011</v>
      </c>
      <c r="F3">
        <v>192.95500000000001</v>
      </c>
      <c r="G3" s="1">
        <f>EXP(Tabelle3!$I$2+Tabelle3!$J$2/F3+Tabelle3!$K$2*LN(F3)+Tabelle3!$L$2*F3^Tabelle3!$M$2)</f>
        <v>156075.96468113773</v>
      </c>
      <c r="H3" s="1">
        <f>EXP(Tabelle3!$C$2+Tabelle3!$D$2/F3+Tabelle3!$E$2*LN(F3)+Tabelle3!$F$2*F3^Tabelle3!$G$2)</f>
        <v>12779.003705742674</v>
      </c>
      <c r="I3" s="2">
        <v>0.5</v>
      </c>
      <c r="J3" s="2">
        <v>0.95</v>
      </c>
      <c r="K3" s="2">
        <v>0.95</v>
      </c>
      <c r="L3" s="2">
        <v>2.5903</v>
      </c>
      <c r="M3" s="2">
        <v>0.106598</v>
      </c>
      <c r="N3" s="2">
        <v>3.3549600000000002</v>
      </c>
      <c r="O3" s="2">
        <v>1.6774800000000001</v>
      </c>
      <c r="P3" t="s">
        <v>20</v>
      </c>
    </row>
    <row r="4" spans="1:16" x14ac:dyDescent="0.25">
      <c r="A4" s="2" t="s">
        <v>13</v>
      </c>
      <c r="B4" s="2" t="s">
        <v>12</v>
      </c>
      <c r="C4">
        <v>370.17099999999999</v>
      </c>
      <c r="D4" s="1">
        <f>EXP(Tabelle3!$I$3+Tabelle3!$J$3/C4+Tabelle3!$K$3*LN(C4)+Tabelle3!$L$3*C4^Tabelle3!$M$3)</f>
        <v>160708.47456938191</v>
      </c>
      <c r="E4" s="1">
        <f>EXP(Tabelle3!$C$3+Tabelle3!$D$3/C4+Tabelle3!$E$3*LN(C4)+Tabelle3!$F$3*C4^Tabelle3!$G$3)</f>
        <v>96803.10893516049</v>
      </c>
      <c r="F4">
        <v>354.68700000000001</v>
      </c>
      <c r="G4" s="1">
        <f>EXP(Tabelle3!$I$3+Tabelle3!$J$3/F4+Tabelle3!$K$3*LN(F4)+Tabelle3!$L$3*F4^Tabelle3!$M$3)</f>
        <v>103665.40693786072</v>
      </c>
      <c r="H4" s="1">
        <f>EXP(Tabelle3!$C$3+Tabelle3!$D$3/F4+Tabelle3!$E$3*LN(F4)+Tabelle3!$F$3*F4^Tabelle3!$G$3)</f>
        <v>59854.102601584171</v>
      </c>
      <c r="I4" s="2">
        <v>0.5</v>
      </c>
      <c r="J4" s="2">
        <v>0.95</v>
      </c>
      <c r="K4" s="2">
        <v>0.95</v>
      </c>
      <c r="L4" s="2">
        <v>11.151199999999999</v>
      </c>
      <c r="M4" s="2">
        <v>2.4873500000000002</v>
      </c>
      <c r="N4" s="2">
        <v>242.14599999999999</v>
      </c>
      <c r="O4" s="2">
        <v>121.07299999999999</v>
      </c>
      <c r="P4" t="s">
        <v>20</v>
      </c>
    </row>
    <row r="5" spans="1:16" x14ac:dyDescent="0.25">
      <c r="A5" s="2" t="s">
        <v>7</v>
      </c>
      <c r="B5" s="2" t="s">
        <v>8</v>
      </c>
      <c r="C5">
        <v>382.28300000000002</v>
      </c>
      <c r="D5" s="1">
        <f>EXP(Tabelle3!$I$1+Tabelle3!$J$1/C5+Tabelle3!$K$1*LN(C5)+Tabelle3!$L$1*C5^Tabelle3!$M$1)</f>
        <v>469428.48474097258</v>
      </c>
      <c r="E5" s="1">
        <f>EXP(Tabelle3!$C$1+Tabelle3!$D$1/C5+Tabelle3!$E$1*LN(C5)+Tabelle3!$F$1*C5^Tabelle3!$G$1)</f>
        <v>92892.125778683665</v>
      </c>
      <c r="F5">
        <v>346.202</v>
      </c>
      <c r="G5" s="1">
        <f>EXP(Tabelle3!$I$1+Tabelle3!$J$1/F5+Tabelle3!$K$1*LN(F5)+Tabelle3!$L$1*F5^Tabelle3!$M$1)</f>
        <v>175006.93940191882</v>
      </c>
      <c r="H5" s="1">
        <f>EXP(Tabelle3!$C$1+Tabelle3!$D$1/F5+Tabelle3!$E$1*LN(F5)+Tabelle3!$F$1*F5^Tabelle3!$G$1)</f>
        <v>26824.986154977745</v>
      </c>
      <c r="I5" s="2">
        <v>0.5</v>
      </c>
      <c r="J5" s="2">
        <v>0.95</v>
      </c>
      <c r="K5" s="2">
        <v>0.95</v>
      </c>
      <c r="L5" s="2">
        <v>3.2818000000000001</v>
      </c>
      <c r="M5" s="2">
        <v>0.258855</v>
      </c>
      <c r="N5" s="2">
        <v>4.3731400000000002</v>
      </c>
      <c r="O5" s="2">
        <v>2.1865700000000001</v>
      </c>
      <c r="P5" t="s">
        <v>22</v>
      </c>
    </row>
    <row r="6" spans="1:16" x14ac:dyDescent="0.25">
      <c r="A6" s="2" t="s">
        <v>11</v>
      </c>
      <c r="B6" s="2" t="s">
        <v>10</v>
      </c>
      <c r="C6">
        <v>224.46299999999999</v>
      </c>
      <c r="D6" s="1">
        <f>EXP(Tabelle3!$I$2+Tabelle3!$J$2/C6+Tabelle3!$K$2*LN(C6)+Tabelle3!$L$2*C6^Tabelle3!$M$2)</f>
        <v>578038.86681417609</v>
      </c>
      <c r="E6" s="1">
        <f>EXP(Tabelle3!$C$2+Tabelle3!$D$2/C6+Tabelle3!$E$2*LN(C6)+Tabelle3!$F$2*C6^Tabelle3!$G$2)</f>
        <v>74836.890322222011</v>
      </c>
      <c r="F6">
        <v>192.95500000000001</v>
      </c>
      <c r="G6" s="1">
        <f>EXP(Tabelle3!$I$2+Tabelle3!$J$2/F6+Tabelle3!$K$2*LN(F6)+Tabelle3!$L$2*F6^Tabelle3!$M$2)</f>
        <v>156075.96468113773</v>
      </c>
      <c r="H6" s="1">
        <f>EXP(Tabelle3!$C$2+Tabelle3!$D$2/F6+Tabelle3!$E$2*LN(F6)+Tabelle3!$F$2*F6^Tabelle3!$G$2)</f>
        <v>12779.003705742674</v>
      </c>
      <c r="I6" s="2">
        <v>0.5</v>
      </c>
      <c r="J6" s="2">
        <v>0.95</v>
      </c>
      <c r="K6" s="2">
        <v>0.95</v>
      </c>
      <c r="L6" s="2">
        <v>2.5903</v>
      </c>
      <c r="M6" s="2">
        <v>0.106598</v>
      </c>
      <c r="N6" s="2">
        <v>3.3549600000000002</v>
      </c>
      <c r="O6" s="2">
        <v>1.6774800000000001</v>
      </c>
      <c r="P6" t="s">
        <v>22</v>
      </c>
    </row>
    <row r="7" spans="1:16" x14ac:dyDescent="0.25">
      <c r="A7" s="2" t="s">
        <v>13</v>
      </c>
      <c r="B7" s="2" t="s">
        <v>12</v>
      </c>
      <c r="C7">
        <v>370.17099999999999</v>
      </c>
      <c r="D7" s="1">
        <f>EXP(Tabelle3!$I$3+Tabelle3!$J$3/C7+Tabelle3!$K$3*LN(C7)+Tabelle3!$L$3*C7^Tabelle3!$M$3)</f>
        <v>160708.47456938191</v>
      </c>
      <c r="E7" s="1">
        <f>EXP(Tabelle3!$C$3+Tabelle3!$D$3/C7+Tabelle3!$E$3*LN(C7)+Tabelle3!$F$3*C7^Tabelle3!$G$3)</f>
        <v>96803.10893516049</v>
      </c>
      <c r="F7">
        <v>354.68700000000001</v>
      </c>
      <c r="G7" s="1">
        <f>EXP(Tabelle3!$I$3+Tabelle3!$J$3/F7+Tabelle3!$K$3*LN(F7)+Tabelle3!$L$3*F7^Tabelle3!$M$3)</f>
        <v>103665.40693786072</v>
      </c>
      <c r="H7" s="1">
        <f>EXP(Tabelle3!$C$3+Tabelle3!$D$3/F7+Tabelle3!$E$3*LN(F7)+Tabelle3!$F$3*F7^Tabelle3!$G$3)</f>
        <v>59854.102601584171</v>
      </c>
      <c r="I7" s="2">
        <v>0.5</v>
      </c>
      <c r="J7" s="2">
        <v>0.95</v>
      </c>
      <c r="K7" s="2">
        <v>0.95</v>
      </c>
      <c r="L7" s="2">
        <v>11.151199999999999</v>
      </c>
      <c r="M7" s="2">
        <v>2.4873500000000002</v>
      </c>
      <c r="N7" s="2">
        <v>242.14599999999999</v>
      </c>
      <c r="O7" s="2">
        <v>121.07299999999999</v>
      </c>
      <c r="P7" t="s">
        <v>22</v>
      </c>
    </row>
    <row r="8" spans="1:16" x14ac:dyDescent="0.25">
      <c r="A8" s="2" t="s">
        <v>7</v>
      </c>
      <c r="B8" s="2" t="s">
        <v>8</v>
      </c>
      <c r="C8">
        <v>382.28300000000002</v>
      </c>
      <c r="D8" s="1">
        <f>EXP(Tabelle3!$I$1+Tabelle3!$J$1/C8+Tabelle3!$K$1*LN(C8)+Tabelle3!$L$1*C8^Tabelle3!$M$1)</f>
        <v>469428.48474097258</v>
      </c>
      <c r="E8" s="1">
        <f>EXP(Tabelle3!$C$1+Tabelle3!$D$1/C8+Tabelle3!$E$1*LN(C8)+Tabelle3!$F$1*C8^Tabelle3!$G$1)</f>
        <v>92892.125778683665</v>
      </c>
      <c r="F8">
        <v>346.202</v>
      </c>
      <c r="G8" s="1">
        <f>EXP(Tabelle3!$I$1+Tabelle3!$J$1/F8+Tabelle3!$K$1*LN(F8)+Tabelle3!$L$1*F8^Tabelle3!$M$1)</f>
        <v>175006.93940191882</v>
      </c>
      <c r="H8" s="1">
        <f>EXP(Tabelle3!$C$1+Tabelle3!$D$1/F8+Tabelle3!$E$1*LN(F8)+Tabelle3!$F$1*F8^Tabelle3!$G$1)</f>
        <v>26824.986154977745</v>
      </c>
      <c r="I8" s="2">
        <v>0.25</v>
      </c>
      <c r="J8" s="2">
        <v>0.95</v>
      </c>
      <c r="K8" s="2">
        <f>0.475/0.55</f>
        <v>0.86363636363636354</v>
      </c>
      <c r="L8" s="2">
        <v>3.37941</v>
      </c>
      <c r="M8" s="2">
        <v>0.51272899999999999</v>
      </c>
      <c r="N8" s="2">
        <v>4.8519500000000004</v>
      </c>
      <c r="O8" s="2">
        <v>1.9169</v>
      </c>
      <c r="P8" t="s">
        <v>20</v>
      </c>
    </row>
    <row r="9" spans="1:16" x14ac:dyDescent="0.25">
      <c r="A9" s="2" t="s">
        <v>7</v>
      </c>
      <c r="B9" s="2" t="s">
        <v>8</v>
      </c>
      <c r="C9">
        <v>382.28300000000002</v>
      </c>
      <c r="D9" s="1">
        <f>EXP(Tabelle3!$I$1+Tabelle3!$J$1/C9+Tabelle3!$K$1*LN(C9)+Tabelle3!$L$1*C9^Tabelle3!$M$1)</f>
        <v>469428.48474097258</v>
      </c>
      <c r="E9" s="1">
        <f>EXP(Tabelle3!$C$1+Tabelle3!$D$1/C9+Tabelle3!$E$1*LN(C9)+Tabelle3!$F$1*C9^Tabelle3!$G$1)</f>
        <v>92892.125778683665</v>
      </c>
      <c r="F9">
        <v>346.202</v>
      </c>
      <c r="G9" s="1">
        <f>EXP(Tabelle3!$I$1+Tabelle3!$J$1/F9+Tabelle3!$K$1*LN(F9)+Tabelle3!$L$1*F9^Tabelle3!$M$1)</f>
        <v>175006.93940191882</v>
      </c>
      <c r="H9" s="1">
        <f>EXP(Tabelle3!$C$1+Tabelle3!$D$1/F9+Tabelle3!$E$1*LN(F9)+Tabelle3!$F$1*F9^Tabelle3!$G$1)</f>
        <v>26824.986154977745</v>
      </c>
      <c r="I9" s="2">
        <v>0.75</v>
      </c>
      <c r="J9" s="2">
        <v>0.95</v>
      </c>
      <c r="K9" s="2">
        <v>0.98299999999999998</v>
      </c>
      <c r="L9" s="2">
        <v>3.37941</v>
      </c>
      <c r="M9" s="2">
        <v>0.51272899999999999</v>
      </c>
      <c r="N9" s="2">
        <v>4.8519500000000004</v>
      </c>
      <c r="O9" s="2">
        <v>1.9169</v>
      </c>
      <c r="P9" t="s">
        <v>22</v>
      </c>
    </row>
    <row r="10" spans="1:16" x14ac:dyDescent="0.25">
      <c r="A10" s="2" t="s">
        <v>58</v>
      </c>
      <c r="B10" s="2" t="s">
        <v>58</v>
      </c>
      <c r="C10" s="1">
        <v>0</v>
      </c>
      <c r="D10" s="1">
        <v>3.89</v>
      </c>
      <c r="E10" s="1">
        <v>1</v>
      </c>
      <c r="F10" s="1">
        <v>0</v>
      </c>
      <c r="G10" s="1">
        <v>3.89</v>
      </c>
      <c r="H10" s="1">
        <v>1</v>
      </c>
      <c r="I10" s="1">
        <v>0.8</v>
      </c>
      <c r="J10" s="2">
        <f>(0.99*(0.8-0.00002))/(0.8*(0.99-0.00002))</f>
        <v>0.99999520192327118</v>
      </c>
      <c r="K10" s="1">
        <v>0.99</v>
      </c>
      <c r="L10" s="1">
        <v>11.35</v>
      </c>
      <c r="M10" s="1">
        <v>0.34599999999999997</v>
      </c>
      <c r="N10" s="1">
        <v>23</v>
      </c>
      <c r="O10" s="1">
        <v>0.96</v>
      </c>
      <c r="P10" t="s">
        <v>20</v>
      </c>
    </row>
    <row r="12" spans="1:16" x14ac:dyDescent="0.25">
      <c r="B12" s="2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</row>
    <row r="13" spans="1:16" x14ac:dyDescent="0.25">
      <c r="B13" s="2"/>
      <c r="C13" s="1"/>
      <c r="D13" s="1"/>
      <c r="E13" s="1"/>
      <c r="F13" s="1"/>
      <c r="H13" s="2"/>
      <c r="I13" s="2"/>
      <c r="J13" s="2"/>
      <c r="K13" s="2"/>
      <c r="L13" s="2"/>
      <c r="M13" s="2"/>
      <c r="N13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62C1-AE53-4A48-8D20-E5B5C557CC3E}">
  <dimension ref="A1:Q25"/>
  <sheetViews>
    <sheetView workbookViewId="0">
      <selection activeCell="E6" sqref="E6"/>
    </sheetView>
  </sheetViews>
  <sheetFormatPr baseColWidth="10" defaultRowHeight="15" x14ac:dyDescent="0.25"/>
  <cols>
    <col min="2" max="2" width="20.42578125" customWidth="1"/>
  </cols>
  <sheetData>
    <row r="1" spans="1:17" ht="66" x14ac:dyDescent="0.25">
      <c r="A1" s="3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17" ht="33" x14ac:dyDescent="0.25">
      <c r="A2" s="3" t="s">
        <v>28</v>
      </c>
      <c r="B2">
        <v>4.89302721542626</v>
      </c>
      <c r="C2">
        <v>382.28300000000002</v>
      </c>
      <c r="D2" s="1">
        <f>EXP(Tabelle3!$C$1+Tabelle3!$D$1/C2+Tabelle3!$E$1*LN(C2)+Tabelle3!$F$1*C2^Tabelle3!$G$1)</f>
        <v>92892.125778683665</v>
      </c>
      <c r="E2" s="1">
        <f>EXP(Tabelle3!$I$1+Tabelle3!$J$1/C2+Tabelle3!$K$1*LN(C2)+Tabelle3!$L$1*C2^Tabelle3!$M$1)</f>
        <v>469428.48474097258</v>
      </c>
      <c r="F2">
        <f>(D2/E2)^-1</f>
        <v>5.0534798381015653</v>
      </c>
      <c r="H2" t="s">
        <v>29</v>
      </c>
    </row>
    <row r="3" spans="1:17" ht="16.5" x14ac:dyDescent="0.25">
      <c r="A3" s="3" t="s">
        <v>30</v>
      </c>
      <c r="B3">
        <v>7.6369436030715603</v>
      </c>
      <c r="C3">
        <v>346.202</v>
      </c>
      <c r="D3" s="1">
        <f>EXP(Tabelle3!$C$1+Tabelle3!$D$1/C3+Tabelle3!$E$1*LN(C3)+Tabelle3!$F$1*C3^Tabelle3!$G$1)</f>
        <v>26824.986154977745</v>
      </c>
      <c r="E3" s="1">
        <f>EXP(Tabelle3!$I$1+Tabelle3!$J$1/C3+Tabelle3!$K$1*LN(C3)+Tabelle3!$L$1*C3^Tabelle3!$M$1)</f>
        <v>175006.93940191882</v>
      </c>
      <c r="F3">
        <f>(D3/E3)^-1</f>
        <v>6.5240272032514675</v>
      </c>
    </row>
    <row r="4" spans="1:17" ht="16.5" x14ac:dyDescent="0.25">
      <c r="A4" s="3" t="s">
        <v>31</v>
      </c>
      <c r="B4">
        <v>6.1129185249359104</v>
      </c>
      <c r="D4" s="1"/>
      <c r="E4" s="1"/>
    </row>
    <row r="5" spans="1:17" ht="16.5" x14ac:dyDescent="0.25">
      <c r="A5" s="3" t="s">
        <v>32</v>
      </c>
      <c r="B5">
        <v>3.7713613634149699</v>
      </c>
      <c r="D5" s="1"/>
      <c r="E5" s="1"/>
      <c r="L5" t="s">
        <v>33</v>
      </c>
    </row>
    <row r="6" spans="1:17" ht="49.5" x14ac:dyDescent="0.25">
      <c r="A6" s="3" t="s">
        <v>34</v>
      </c>
      <c r="D6" s="1"/>
      <c r="E6" s="1"/>
      <c r="L6" s="3" t="s">
        <v>35</v>
      </c>
      <c r="M6" t="s">
        <v>36</v>
      </c>
      <c r="N6" t="s">
        <v>37</v>
      </c>
      <c r="O6" t="s">
        <v>38</v>
      </c>
    </row>
    <row r="7" spans="1:17" ht="66" x14ac:dyDescent="0.25">
      <c r="A7" s="3" t="s">
        <v>39</v>
      </c>
      <c r="B7">
        <v>14.1509138152456</v>
      </c>
      <c r="C7">
        <v>224.46299999999999</v>
      </c>
      <c r="D7" s="1">
        <f>EXP(Tabelle3!$C$2+Tabelle3!$D$2/C7+Tabelle3!$E$2*LN(C7)+Tabelle3!$F$2*C7^Tabelle3!$G$2)</f>
        <v>74836.890322222011</v>
      </c>
      <c r="E7" s="1">
        <f>EXP(Tabelle3!$I$2+Tabelle3!$J$2/C7+Tabelle3!$K$2*LN(C7)+Tabelle3!$L$2*C7^Tabelle3!$M$2)</f>
        <v>578038.86681417609</v>
      </c>
      <c r="F7">
        <f>(D7/E7)^-1</f>
        <v>7.7239829758470551</v>
      </c>
      <c r="H7" t="s">
        <v>40</v>
      </c>
      <c r="J7" s="4"/>
      <c r="K7" s="3" t="s">
        <v>23</v>
      </c>
      <c r="L7" s="4">
        <v>3.2818000000000001</v>
      </c>
      <c r="M7">
        <f>EXP($B$24/L7)</f>
        <v>6.0158935201858821</v>
      </c>
      <c r="N7">
        <f>SQRT(F2*F3)</f>
        <v>5.7418672864197617</v>
      </c>
      <c r="O7">
        <f>L7*LN(N7)</f>
        <v>5.735879069222813</v>
      </c>
      <c r="P7">
        <f>$B$24/LN(N7)</f>
        <v>3.3693387622754489</v>
      </c>
      <c r="Q7">
        <f>P7/L7</f>
        <v>1.0266740088596042</v>
      </c>
    </row>
    <row r="8" spans="1:17" ht="49.5" x14ac:dyDescent="0.25">
      <c r="A8" s="3" t="s">
        <v>30</v>
      </c>
      <c r="B8">
        <v>7.1749088816822297</v>
      </c>
      <c r="C8">
        <v>185.1832</v>
      </c>
      <c r="D8" s="1">
        <f>EXP(Tabelle3!$C$2+Tabelle3!$D$2/C8+Tabelle3!$E$2*LN(C8)+Tabelle3!$F$2*C8^Tabelle3!$G$2)</f>
        <v>7435.5217582581945</v>
      </c>
      <c r="E8" s="1">
        <f>EXP(Tabelle3!$I$2+Tabelle3!$J$2/C8+Tabelle3!$K$2*LN(C8)+Tabelle3!$L$2*C8^Tabelle3!$M$2)</f>
        <v>104867.52751798328</v>
      </c>
      <c r="F8">
        <f>(D8/E8)^-1</f>
        <v>14.103586934099564</v>
      </c>
      <c r="J8" s="4"/>
      <c r="K8" s="3" t="s">
        <v>34</v>
      </c>
      <c r="L8" s="4">
        <v>2.5903</v>
      </c>
      <c r="M8">
        <f>EXP($B$24/L8)</f>
        <v>9.7127040181539943</v>
      </c>
      <c r="N8">
        <f>SQRT(F7*F8)</f>
        <v>10.437234565600411</v>
      </c>
      <c r="O8">
        <f>L8*LN(N8)</f>
        <v>6.0752369307411813</v>
      </c>
      <c r="P8">
        <f t="shared" ref="P8:P9" si="0">$B$24/LN(N8)</f>
        <v>2.510842087208716</v>
      </c>
      <c r="Q8">
        <f t="shared" ref="Q8:Q9" si="1">P8/L8</f>
        <v>0.96932482230194028</v>
      </c>
    </row>
    <row r="9" spans="1:17" ht="66" x14ac:dyDescent="0.25">
      <c r="A9" s="3" t="s">
        <v>31</v>
      </c>
      <c r="B9">
        <v>10.076284891611801</v>
      </c>
      <c r="D9" s="1"/>
      <c r="E9" s="1"/>
      <c r="J9" s="4"/>
      <c r="K9" s="3" t="s">
        <v>41</v>
      </c>
      <c r="L9" s="4">
        <v>11.151199999999999</v>
      </c>
      <c r="M9">
        <f>EXP($B$24/L9)</f>
        <v>1.695696641523879</v>
      </c>
      <c r="N9">
        <f>SQRT(F12*F13)</f>
        <v>1.6969022413508708</v>
      </c>
      <c r="O9">
        <f>L9*LN(N9)</f>
        <v>5.8968033782370846</v>
      </c>
      <c r="P9">
        <f t="shared" si="0"/>
        <v>11.136212567527359</v>
      </c>
      <c r="Q9">
        <f t="shared" si="1"/>
        <v>0.99865598030053804</v>
      </c>
    </row>
    <row r="10" spans="1:17" ht="16.5" x14ac:dyDescent="0.25">
      <c r="A10" s="3" t="s">
        <v>32</v>
      </c>
      <c r="B10">
        <v>4.9737540995474401</v>
      </c>
      <c r="D10" s="1"/>
      <c r="E10" s="1"/>
    </row>
    <row r="11" spans="1:17" ht="66" x14ac:dyDescent="0.25">
      <c r="A11" s="3" t="s">
        <v>41</v>
      </c>
      <c r="D11" s="1"/>
      <c r="E11" s="1"/>
    </row>
    <row r="12" spans="1:17" ht="33" x14ac:dyDescent="0.25">
      <c r="A12" s="3" t="s">
        <v>39</v>
      </c>
      <c r="B12">
        <v>1.0512111142245599</v>
      </c>
      <c r="C12">
        <v>370.1712</v>
      </c>
      <c r="D12" s="1">
        <f>EXP(Tabelle3!$C$3+Tabelle3!$D$3/C12+Tabelle3!$E$3*LN(C12)+Tabelle3!$F$3*C12^Tabelle3!$G$3)</f>
        <v>96803.68023811125</v>
      </c>
      <c r="E12" s="1">
        <f>EXP(Tabelle3!$I$3+Tabelle3!$J$3/C12+Tabelle3!$K$3*LN(C12)+Tabelle3!$L$3*C12^Tabelle3!$M$3)</f>
        <v>160709.34085120808</v>
      </c>
      <c r="F12">
        <f>(D12/E12)^-1</f>
        <v>1.6601573458354675</v>
      </c>
    </row>
    <row r="13" spans="1:17" ht="16.5" x14ac:dyDescent="0.25">
      <c r="A13" s="3" t="s">
        <v>42</v>
      </c>
      <c r="B13">
        <v>1.74147865004958</v>
      </c>
      <c r="C13">
        <v>354.19670000000002</v>
      </c>
      <c r="D13" s="1">
        <f>EXP(Tabelle3!$C$3+Tabelle3!$D$3/C13+Tabelle3!$E$3*LN(C13)+Tabelle3!$F$3*C13^Tabelle3!$G$3)</f>
        <v>58901.237517299509</v>
      </c>
      <c r="E13" s="1">
        <f>EXP(Tabelle3!$I$3+Tabelle3!$J$3/C13+Tabelle3!$K$3*LN(C13)+Tabelle3!$L$3*C13^Tabelle3!$M$3)</f>
        <v>102161.86549549077</v>
      </c>
      <c r="F13">
        <f>(D13/E13)^-1</f>
        <v>1.7344604256487046</v>
      </c>
    </row>
    <row r="14" spans="1:17" ht="16.5" x14ac:dyDescent="0.25">
      <c r="A14" s="3" t="s">
        <v>31</v>
      </c>
      <c r="B14">
        <v>1.3530194795777699</v>
      </c>
      <c r="D14" s="1"/>
      <c r="E14" s="1"/>
    </row>
    <row r="15" spans="1:17" ht="16.5" x14ac:dyDescent="0.25">
      <c r="A15" s="3" t="s">
        <v>32</v>
      </c>
      <c r="B15">
        <v>1.5726971577448801</v>
      </c>
      <c r="D15" s="1"/>
      <c r="E15" s="1"/>
    </row>
    <row r="16" spans="1:17" x14ac:dyDescent="0.25">
      <c r="D16" s="1"/>
      <c r="E16" s="1"/>
    </row>
    <row r="17" spans="1:5" x14ac:dyDescent="0.25">
      <c r="D17" s="1"/>
      <c r="E17" s="1"/>
    </row>
    <row r="23" spans="1:5" x14ac:dyDescent="0.25">
      <c r="A23" t="s">
        <v>43</v>
      </c>
      <c r="B23" t="s">
        <v>44</v>
      </c>
    </row>
    <row r="24" spans="1:5" x14ac:dyDescent="0.25">
      <c r="A24">
        <v>0.95</v>
      </c>
      <c r="B24">
        <f>LN((A24/A25)/(A25/A24))</f>
        <v>5.8888779583328805</v>
      </c>
      <c r="C24">
        <f>LN((A24/A25)/(A25/A24))</f>
        <v>5.8888779583328805</v>
      </c>
    </row>
    <row r="25" spans="1:5" x14ac:dyDescent="0.25">
      <c r="A25">
        <v>0.05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D9BF-045D-470A-8CAE-112463533200}">
  <dimension ref="A1:S25"/>
  <sheetViews>
    <sheetView workbookViewId="0">
      <selection activeCell="E2" sqref="E2"/>
    </sheetView>
  </sheetViews>
  <sheetFormatPr baseColWidth="10" defaultRowHeight="15" x14ac:dyDescent="0.25"/>
  <sheetData>
    <row r="1" spans="1:19" ht="66" x14ac:dyDescent="0.25">
      <c r="A1" s="3" t="s">
        <v>23</v>
      </c>
      <c r="C1" t="s">
        <v>45</v>
      </c>
      <c r="E1" t="s">
        <v>46</v>
      </c>
    </row>
    <row r="2" spans="1:19" ht="33" x14ac:dyDescent="0.25">
      <c r="A2" s="3" t="s">
        <v>28</v>
      </c>
      <c r="B2">
        <v>4.89302721542626</v>
      </c>
      <c r="C2">
        <v>373</v>
      </c>
    </row>
    <row r="3" spans="1:19" ht="16.5" x14ac:dyDescent="0.25">
      <c r="A3" s="3" t="s">
        <v>30</v>
      </c>
      <c r="B3">
        <v>7.6369436030715603</v>
      </c>
      <c r="C3">
        <v>330</v>
      </c>
    </row>
    <row r="4" spans="1:19" ht="16.5" x14ac:dyDescent="0.25">
      <c r="A4" s="3" t="s">
        <v>31</v>
      </c>
      <c r="B4">
        <v>6.1129185249359104</v>
      </c>
    </row>
    <row r="5" spans="1:19" ht="16.5" x14ac:dyDescent="0.25">
      <c r="A5" s="3" t="s">
        <v>32</v>
      </c>
      <c r="B5">
        <v>3.7713613634149699</v>
      </c>
      <c r="N5" t="s">
        <v>33</v>
      </c>
    </row>
    <row r="6" spans="1:19" ht="49.5" x14ac:dyDescent="0.25">
      <c r="A6" s="3" t="s">
        <v>34</v>
      </c>
      <c r="J6" t="s">
        <v>47</v>
      </c>
      <c r="N6" s="3" t="s">
        <v>35</v>
      </c>
      <c r="O6" t="s">
        <v>36</v>
      </c>
      <c r="P6" t="s">
        <v>37</v>
      </c>
      <c r="Q6" t="s">
        <v>38</v>
      </c>
      <c r="R6" t="s">
        <v>48</v>
      </c>
    </row>
    <row r="7" spans="1:19" ht="66" x14ac:dyDescent="0.25">
      <c r="A7" s="3" t="s">
        <v>39</v>
      </c>
      <c r="B7">
        <v>14.1509138152456</v>
      </c>
      <c r="C7">
        <v>219</v>
      </c>
      <c r="J7">
        <f>C24/LN(B5)</f>
        <v>4.4362800000000044</v>
      </c>
      <c r="K7" s="4">
        <v>4.2817999999999996</v>
      </c>
      <c r="M7" s="3" t="s">
        <v>23</v>
      </c>
      <c r="N7" s="4">
        <f>K7-1</f>
        <v>3.2817999999999996</v>
      </c>
      <c r="O7">
        <f>EXP($B$24/N7)</f>
        <v>6.015893520185883</v>
      </c>
      <c r="P7">
        <f>B4</f>
        <v>6.1129185249359104</v>
      </c>
      <c r="Q7">
        <f>N7*LN(P7)</f>
        <v>5.9413849065458972</v>
      </c>
      <c r="R7">
        <f>O7/P7</f>
        <v>0.98412787535867829</v>
      </c>
      <c r="S7">
        <f>LN(ABS(O7-P7))</f>
        <v>-2.3327865527704312</v>
      </c>
    </row>
    <row r="8" spans="1:19" ht="49.5" x14ac:dyDescent="0.25">
      <c r="A8" s="3" t="s">
        <v>30</v>
      </c>
      <c r="B8">
        <v>7.1749088816822297</v>
      </c>
      <c r="C8">
        <v>185</v>
      </c>
      <c r="J8">
        <f>$C$24/LN(B9)</f>
        <v>2.5490940749174364</v>
      </c>
      <c r="K8" s="4">
        <v>3.5903</v>
      </c>
      <c r="M8" s="3" t="s">
        <v>34</v>
      </c>
      <c r="N8" s="4">
        <f t="shared" ref="N8:N9" si="0">K8-1</f>
        <v>2.5903</v>
      </c>
      <c r="O8">
        <f>EXP($B$24/N8)</f>
        <v>9.7127040181539943</v>
      </c>
      <c r="P8">
        <f>B9</f>
        <v>10.076284891611801</v>
      </c>
      <c r="Q8">
        <f>N8*LN(P8)</f>
        <v>5.9840712532210985</v>
      </c>
      <c r="R8">
        <f t="shared" ref="R8:R9" si="1">O8/P8</f>
        <v>0.96391717013078138</v>
      </c>
      <c r="S8">
        <f t="shared" ref="S8:S9" si="2">LN(ABS(O8-P8))</f>
        <v>-1.0117535213137705</v>
      </c>
    </row>
    <row r="9" spans="1:19" ht="66" x14ac:dyDescent="0.25">
      <c r="A9" s="3" t="s">
        <v>31</v>
      </c>
      <c r="B9">
        <v>10.076284891611801</v>
      </c>
      <c r="J9">
        <f>C24/LN(B14)</f>
        <v>19.477748149386517</v>
      </c>
      <c r="K9" s="4">
        <v>12.151199999999999</v>
      </c>
      <c r="M9" s="3" t="s">
        <v>41</v>
      </c>
      <c r="N9" s="4">
        <f t="shared" si="0"/>
        <v>11.151199999999999</v>
      </c>
      <c r="O9">
        <f>EXP($B$24/N9)</f>
        <v>1.695696641523879</v>
      </c>
      <c r="P9">
        <f>B14</f>
        <v>1.3530194795777699</v>
      </c>
      <c r="Q9">
        <f>N9*LN(P9)</f>
        <v>3.3714398289429539</v>
      </c>
      <c r="R9">
        <f t="shared" si="1"/>
        <v>1.2532684614807221</v>
      </c>
      <c r="S9">
        <f t="shared" si="2"/>
        <v>-1.0709664938567716</v>
      </c>
    </row>
    <row r="10" spans="1:19" ht="16.5" x14ac:dyDescent="0.25">
      <c r="A10" s="3" t="s">
        <v>32</v>
      </c>
      <c r="B10">
        <v>4.9737540995474401</v>
      </c>
    </row>
    <row r="11" spans="1:19" ht="66" x14ac:dyDescent="0.25">
      <c r="A11" s="3" t="s">
        <v>41</v>
      </c>
    </row>
    <row r="12" spans="1:19" ht="33" x14ac:dyDescent="0.25">
      <c r="A12" s="3" t="s">
        <v>39</v>
      </c>
      <c r="B12">
        <v>1.0512111142245599</v>
      </c>
      <c r="C12">
        <v>369</v>
      </c>
    </row>
    <row r="13" spans="1:19" ht="16.5" x14ac:dyDescent="0.25">
      <c r="A13" s="3" t="s">
        <v>42</v>
      </c>
      <c r="B13">
        <v>1.74147865004958</v>
      </c>
      <c r="C13">
        <v>354</v>
      </c>
    </row>
    <row r="14" spans="1:19" ht="16.5" x14ac:dyDescent="0.25">
      <c r="A14" s="3" t="s">
        <v>31</v>
      </c>
      <c r="B14">
        <v>1.3530194795777699</v>
      </c>
    </row>
    <row r="15" spans="1:19" ht="16.5" x14ac:dyDescent="0.25">
      <c r="A15" s="3" t="s">
        <v>32</v>
      </c>
      <c r="B15">
        <v>1.5726971577448801</v>
      </c>
    </row>
    <row r="23" spans="1:3" x14ac:dyDescent="0.25">
      <c r="A23" t="s">
        <v>43</v>
      </c>
      <c r="B23" t="s">
        <v>44</v>
      </c>
    </row>
    <row r="24" spans="1:3" x14ac:dyDescent="0.25">
      <c r="A24">
        <v>0.95</v>
      </c>
      <c r="B24">
        <f>LN((A24/A25)/(A25/A24))</f>
        <v>5.8888779583328805</v>
      </c>
      <c r="C24">
        <f>LN((A24/A25)/(A25/A24))</f>
        <v>5.8888779583328805</v>
      </c>
    </row>
    <row r="25" spans="1:3" x14ac:dyDescent="0.25">
      <c r="A25">
        <v>0.05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9710-8B43-45C8-AF3B-EC97B0281340}">
  <dimension ref="A1:M16"/>
  <sheetViews>
    <sheetView workbookViewId="0">
      <selection activeCell="I2" sqref="I2:M2"/>
    </sheetView>
  </sheetViews>
  <sheetFormatPr baseColWidth="10" defaultRowHeight="15" x14ac:dyDescent="0.25"/>
  <sheetData>
    <row r="1" spans="1:13" ht="66" x14ac:dyDescent="0.25">
      <c r="B1" s="3" t="s">
        <v>23</v>
      </c>
      <c r="C1">
        <v>52.600999999999999</v>
      </c>
      <c r="D1">
        <v>-6097.9</v>
      </c>
      <c r="E1">
        <v>-4.2397999999999998</v>
      </c>
      <c r="F1" s="1">
        <v>2.1505999999999999E-18</v>
      </c>
      <c r="G1">
        <v>0</v>
      </c>
      <c r="I1">
        <v>70.72</v>
      </c>
      <c r="J1">
        <v>-5685</v>
      </c>
      <c r="K1">
        <v>-7.351</v>
      </c>
      <c r="L1" s="1">
        <v>6.2999999999999998E-6</v>
      </c>
      <c r="M1">
        <v>2</v>
      </c>
    </row>
    <row r="2" spans="1:13" ht="49.5" x14ac:dyDescent="0.25">
      <c r="B2" s="3" t="s">
        <v>34</v>
      </c>
      <c r="C2">
        <v>54.276000000000003</v>
      </c>
      <c r="D2">
        <v>-3368</v>
      </c>
      <c r="E2">
        <v>-5.2610000000000001</v>
      </c>
      <c r="F2" s="1">
        <v>8.6000000000000007E-6</v>
      </c>
      <c r="G2">
        <v>2</v>
      </c>
      <c r="I2">
        <v>52.55</v>
      </c>
      <c r="J2">
        <v>-2611.4</v>
      </c>
      <c r="K2">
        <v>-5.2514000000000003</v>
      </c>
      <c r="L2" s="1">
        <v>1.5500000000000001E-5</v>
      </c>
      <c r="M2">
        <v>2</v>
      </c>
    </row>
    <row r="3" spans="1:13" ht="66" x14ac:dyDescent="0.25">
      <c r="B3" s="3" t="s">
        <v>41</v>
      </c>
      <c r="C3">
        <v>154.62</v>
      </c>
      <c r="D3">
        <v>-8793.1</v>
      </c>
      <c r="E3">
        <v>-21.684000000000001</v>
      </c>
      <c r="F3">
        <v>2.3916E-2</v>
      </c>
      <c r="G3">
        <v>1</v>
      </c>
      <c r="I3">
        <v>116.69</v>
      </c>
      <c r="J3">
        <v>-7109.1</v>
      </c>
      <c r="K3">
        <v>-15.521000000000001</v>
      </c>
      <c r="L3">
        <v>1.7000000000000001E-2</v>
      </c>
      <c r="M3">
        <v>1</v>
      </c>
    </row>
    <row r="6" spans="1:13" x14ac:dyDescent="0.25">
      <c r="C6" t="s">
        <v>9</v>
      </c>
      <c r="D6" t="s">
        <v>49</v>
      </c>
      <c r="E6" t="s">
        <v>50</v>
      </c>
      <c r="F6" t="s">
        <v>51</v>
      </c>
      <c r="I6" t="s">
        <v>9</v>
      </c>
      <c r="J6" t="s">
        <v>49</v>
      </c>
      <c r="K6" t="s">
        <v>50</v>
      </c>
      <c r="L6" t="s">
        <v>51</v>
      </c>
    </row>
    <row r="7" spans="1:13" x14ac:dyDescent="0.25">
      <c r="A7" t="s">
        <v>52</v>
      </c>
      <c r="B7">
        <v>280.86700000000002</v>
      </c>
      <c r="C7" s="1">
        <f>EXP(C1+D1/B7+E1*LN(B7)+F1*B7^G1)</f>
        <v>1081.9533276311342</v>
      </c>
      <c r="D7" s="1">
        <v>1083.1099999999999</v>
      </c>
      <c r="E7">
        <f t="shared" ref="E7:E8" si="0">D7-C7</f>
        <v>1.1566723688656566</v>
      </c>
      <c r="F7">
        <f t="shared" ref="F7:F8" si="1">E7/D7</f>
        <v>1.0679177266073221E-3</v>
      </c>
      <c r="G7" t="s">
        <v>7</v>
      </c>
      <c r="H7">
        <v>303.52800000000002</v>
      </c>
      <c r="I7" s="1">
        <f>EXP(I1+J1/H7+K1*LN(H7)+L1*H7^M1)</f>
        <v>38415.934297399574</v>
      </c>
      <c r="J7" s="1">
        <v>38644</v>
      </c>
      <c r="K7">
        <f t="shared" ref="K7:K8" si="2">J7-I7</f>
        <v>228.06570260042645</v>
      </c>
      <c r="L7">
        <f t="shared" ref="L7:L8" si="3">K7/J7</f>
        <v>5.9017105527488468E-3</v>
      </c>
    </row>
    <row r="8" spans="1:13" x14ac:dyDescent="0.25">
      <c r="A8" t="s">
        <v>53</v>
      </c>
      <c r="B8">
        <v>203.114</v>
      </c>
      <c r="C8" s="1">
        <f t="shared" ref="C8:C9" si="4">EXP(C2+D2/B8+E2*LN(B8)+F2*B8^G2)</f>
        <v>24179.107871471104</v>
      </c>
      <c r="D8" s="1">
        <v>24275.7</v>
      </c>
      <c r="E8">
        <f t="shared" si="0"/>
        <v>96.592128528896865</v>
      </c>
      <c r="F8">
        <f t="shared" si="1"/>
        <v>3.9789636768001275E-3</v>
      </c>
      <c r="G8" t="s">
        <v>11</v>
      </c>
      <c r="H8">
        <v>179.34399999999999</v>
      </c>
      <c r="I8" s="1">
        <f t="shared" ref="I8:I9" si="5">EXP(I2+J2/H8+K2*LN(H8)+L2*H8^M2)</f>
        <v>75855.236030192085</v>
      </c>
      <c r="J8" s="1">
        <v>75540.5</v>
      </c>
      <c r="K8">
        <f t="shared" si="2"/>
        <v>-314.73603019208531</v>
      </c>
      <c r="L8">
        <f t="shared" si="3"/>
        <v>-4.1664541562749166E-3</v>
      </c>
    </row>
    <row r="9" spans="1:13" x14ac:dyDescent="0.25">
      <c r="A9" t="s">
        <v>54</v>
      </c>
      <c r="B9">
        <v>318.23899999999998</v>
      </c>
      <c r="C9" s="1">
        <f t="shared" si="4"/>
        <v>15365.795055477694</v>
      </c>
      <c r="D9" s="1">
        <v>15382.5</v>
      </c>
      <c r="E9">
        <f>D9-C9</f>
        <v>16.704944522305595</v>
      </c>
      <c r="F9">
        <f>E9/D9</f>
        <v>1.0859707149231657E-3</v>
      </c>
      <c r="G9" t="s">
        <v>55</v>
      </c>
      <c r="H9">
        <v>364.678</v>
      </c>
      <c r="I9" s="1">
        <f t="shared" si="5"/>
        <v>138238.23367850448</v>
      </c>
      <c r="J9" s="1">
        <v>138560</v>
      </c>
      <c r="K9">
        <f>J9-I9</f>
        <v>321.76632149552461</v>
      </c>
      <c r="L9">
        <f>K9/J9</f>
        <v>2.3222165234954143E-3</v>
      </c>
    </row>
    <row r="16" spans="1:13" x14ac:dyDescent="0.25">
      <c r="H16" s="1"/>
      <c r="I1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</vt:lpstr>
      <vt:lpstr>ValidierungFenske</vt:lpstr>
      <vt:lpstr>Tabelle2</vt:lpstr>
      <vt:lpstr>Tabelle3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 Mueller</dc:creator>
  <cp:lastModifiedBy>Tom A Mueller</cp:lastModifiedBy>
  <dcterms:created xsi:type="dcterms:W3CDTF">2021-02-11T08:44:14Z</dcterms:created>
  <dcterms:modified xsi:type="dcterms:W3CDTF">2021-02-19T13:24:56Z</dcterms:modified>
</cp:coreProperties>
</file>